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34.xml" ContentType="application/vnd.openxmlformats-officedocument.drawing+xml"/>
  <Override PartName="/xl/comments34.xml" ContentType="application/vnd.openxmlformats-officedocument.spreadsheetml.comments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0\"/>
    </mc:Choice>
  </mc:AlternateContent>
  <xr:revisionPtr revIDLastSave="0" documentId="13_ncr:1_{C357EF99-37D4-46E9-B387-C6367C20C518}" xr6:coauthVersionLast="47" xr6:coauthVersionMax="47" xr10:uidLastSave="{00000000-0000-0000-0000-000000000000}"/>
  <bookViews>
    <workbookView xWindow="28680" yWindow="-120" windowWidth="20730" windowHeight="11040" tabRatio="586" firstSheet="17" activeTab="31" xr2:uid="{F6B3B537-DDB4-43AB-85A1-0EE50579251C}"/>
  </bookViews>
  <sheets>
    <sheet name="00" sheetId="1" r:id="rId1"/>
    <sheet name="01" sheetId="3" r:id="rId2"/>
    <sheet name="02" sheetId="4" r:id="rId3"/>
    <sheet name="03" sheetId="5" r:id="rId4"/>
    <sheet name="04" sheetId="6" r:id="rId5"/>
    <sheet name="05" sheetId="7" r:id="rId6"/>
    <sheet name="06" sheetId="8" r:id="rId7"/>
    <sheet name="07" sheetId="9" r:id="rId8"/>
    <sheet name="08" sheetId="10" r:id="rId9"/>
    <sheet name="09" sheetId="11" r:id="rId10"/>
    <sheet name="10" sheetId="12" r:id="rId11"/>
    <sheet name="11" sheetId="13" r:id="rId12"/>
    <sheet name="12" sheetId="14" r:id="rId13"/>
    <sheet name="13" sheetId="15" r:id="rId14"/>
    <sheet name="14" sheetId="16" r:id="rId15"/>
    <sheet name="15" sheetId="17" r:id="rId16"/>
    <sheet name="16" sheetId="18" r:id="rId17"/>
    <sheet name="17" sheetId="19" r:id="rId18"/>
    <sheet name="18" sheetId="20" r:id="rId19"/>
    <sheet name="19" sheetId="21" r:id="rId20"/>
    <sheet name="20" sheetId="22" r:id="rId21"/>
    <sheet name="21" sheetId="24" r:id="rId22"/>
    <sheet name="22" sheetId="25" r:id="rId23"/>
    <sheet name="23" sheetId="26" r:id="rId24"/>
    <sheet name="24" sheetId="27" r:id="rId25"/>
    <sheet name="25" sheetId="29" r:id="rId26"/>
    <sheet name="26" sheetId="30" r:id="rId27"/>
    <sheet name="27" sheetId="32" r:id="rId28"/>
    <sheet name="28" sheetId="33" r:id="rId29"/>
    <sheet name="29" sheetId="34" r:id="rId30"/>
    <sheet name="30" sheetId="35" r:id="rId31"/>
    <sheet name="31" sheetId="37" r:id="rId32"/>
    <sheet name="Sheet1" sheetId="23" r:id="rId33"/>
    <sheet name="Sheet2" sheetId="31" r:id="rId34"/>
    <sheet name="sample (2)" sheetId="36" r:id="rId35"/>
    <sheet name="sample" sheetId="2" r:id="rId36"/>
  </sheets>
  <externalReferences>
    <externalReference r:id="rId37"/>
  </externalReferences>
  <definedNames>
    <definedName name="IPP" localSheetId="0">#REF!</definedName>
    <definedName name="IPP" localSheetId="1">#REF!</definedName>
    <definedName name="IPP" localSheetId="2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9">#REF!</definedName>
    <definedName name="IPP" localSheetId="30">#REF!</definedName>
    <definedName name="IPP" localSheetId="31">#REF!</definedName>
    <definedName name="IPP" localSheetId="35">#REF!</definedName>
    <definedName name="IPP" localSheetId="34">#REF!</definedName>
    <definedName name="IPP">#REF!</definedName>
    <definedName name="ippp" localSheetId="0">#REF!</definedName>
    <definedName name="ippp" localSheetId="1">#REF!</definedName>
    <definedName name="ippp" localSheetId="2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9">#REF!</definedName>
    <definedName name="ippp" localSheetId="30">#REF!</definedName>
    <definedName name="ippp" localSheetId="31">#REF!</definedName>
    <definedName name="ippp" localSheetId="35">#REF!</definedName>
    <definedName name="ippp" localSheetId="34">#REF!</definedName>
    <definedName name="ippp">#REF!</definedName>
    <definedName name="sdasdf" localSheetId="0">#REF!</definedName>
    <definedName name="sdasdf" localSheetId="1">#REF!</definedName>
    <definedName name="sdasdf" localSheetId="2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9">#REF!</definedName>
    <definedName name="sdasdf" localSheetId="30">#REF!</definedName>
    <definedName name="sdasdf" localSheetId="31">#REF!</definedName>
    <definedName name="sdasdf" localSheetId="35">#REF!</definedName>
    <definedName name="sdasdf" localSheetId="34">#REF!</definedName>
    <definedName name="sdasd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3" i="37" l="1"/>
  <c r="Y113" i="37"/>
  <c r="Y100" i="37"/>
  <c r="Z100" i="37"/>
  <c r="Y54" i="37"/>
  <c r="Z54" i="37"/>
  <c r="X113" i="37"/>
  <c r="W113" i="37"/>
  <c r="V50" i="37"/>
  <c r="V54" i="37"/>
  <c r="V68" i="37"/>
  <c r="U50" i="37"/>
  <c r="U54" i="37"/>
  <c r="U68" i="37"/>
  <c r="U72" i="37"/>
  <c r="U84" i="37"/>
  <c r="S113" i="37"/>
  <c r="U89" i="37" l="1"/>
  <c r="U91" i="37" s="1"/>
  <c r="U92" i="37" s="1"/>
  <c r="D113" i="37"/>
  <c r="AH75" i="37"/>
  <c r="D50" i="37"/>
  <c r="D54" i="37"/>
  <c r="D68" i="37"/>
  <c r="D72" i="37"/>
  <c r="D84" i="37"/>
  <c r="D100" i="37" s="1"/>
  <c r="D110" i="37"/>
  <c r="C113" i="37"/>
  <c r="C50" i="37"/>
  <c r="C54" i="37"/>
  <c r="C68" i="37"/>
  <c r="C72" i="37"/>
  <c r="C84" i="37"/>
  <c r="C100" i="37" s="1"/>
  <c r="B113" i="37"/>
  <c r="B110" i="37"/>
  <c r="B84" i="37"/>
  <c r="B100" i="37" s="1"/>
  <c r="B72" i="37"/>
  <c r="B68" i="37"/>
  <c r="B54" i="37"/>
  <c r="B50" i="37"/>
  <c r="AF274" i="37"/>
  <c r="AE274" i="37"/>
  <c r="AD274" i="37"/>
  <c r="AC274" i="37"/>
  <c r="AB274" i="37"/>
  <c r="AA274" i="37"/>
  <c r="Z274" i="37"/>
  <c r="Y274" i="37"/>
  <c r="X274" i="37"/>
  <c r="W274" i="37"/>
  <c r="V274" i="37"/>
  <c r="U274" i="37"/>
  <c r="T274" i="37"/>
  <c r="S274" i="37"/>
  <c r="R274" i="37"/>
  <c r="Q274" i="37"/>
  <c r="P274" i="37"/>
  <c r="O274" i="37"/>
  <c r="N274" i="37"/>
  <c r="M274" i="37"/>
  <c r="L274" i="37"/>
  <c r="K274" i="37"/>
  <c r="J274" i="37"/>
  <c r="I274" i="37"/>
  <c r="H274" i="37"/>
  <c r="G274" i="37"/>
  <c r="F274" i="37"/>
  <c r="E274" i="37"/>
  <c r="D274" i="37"/>
  <c r="C274" i="37"/>
  <c r="B274" i="37"/>
  <c r="A274" i="37"/>
  <c r="AF273" i="37"/>
  <c r="AE273" i="37"/>
  <c r="AD273" i="37"/>
  <c r="AC273" i="37"/>
  <c r="AB273" i="37"/>
  <c r="AA273" i="37"/>
  <c r="Z273" i="37"/>
  <c r="Y273" i="37"/>
  <c r="X273" i="37"/>
  <c r="W273" i="37"/>
  <c r="V273" i="37"/>
  <c r="U273" i="37"/>
  <c r="T273" i="37"/>
  <c r="S273" i="37"/>
  <c r="R273" i="37"/>
  <c r="Q273" i="37"/>
  <c r="P273" i="37"/>
  <c r="O273" i="37"/>
  <c r="N273" i="37"/>
  <c r="M273" i="37"/>
  <c r="L273" i="37"/>
  <c r="K273" i="37"/>
  <c r="J273" i="37"/>
  <c r="I273" i="37"/>
  <c r="H273" i="37"/>
  <c r="G273" i="37"/>
  <c r="F273" i="37"/>
  <c r="E273" i="37"/>
  <c r="D273" i="37"/>
  <c r="C273" i="37"/>
  <c r="B273" i="37"/>
  <c r="A273" i="37"/>
  <c r="AF272" i="37"/>
  <c r="AE272" i="37"/>
  <c r="AD272" i="37"/>
  <c r="AC272" i="37"/>
  <c r="AB272" i="37"/>
  <c r="AA272" i="37"/>
  <c r="Z272" i="37"/>
  <c r="Y272" i="37"/>
  <c r="X272" i="37"/>
  <c r="W272" i="37"/>
  <c r="V272" i="37"/>
  <c r="U272" i="37"/>
  <c r="T272" i="37"/>
  <c r="S272" i="37"/>
  <c r="R272" i="37"/>
  <c r="Q272" i="37"/>
  <c r="P272" i="37"/>
  <c r="O272" i="37"/>
  <c r="N272" i="37"/>
  <c r="M272" i="37"/>
  <c r="L272" i="37"/>
  <c r="K272" i="37"/>
  <c r="J272" i="37"/>
  <c r="I272" i="37"/>
  <c r="H272" i="37"/>
  <c r="G272" i="37"/>
  <c r="F272" i="37"/>
  <c r="E272" i="37"/>
  <c r="D272" i="37"/>
  <c r="C272" i="37"/>
  <c r="B272" i="37"/>
  <c r="A272" i="37"/>
  <c r="AF271" i="37"/>
  <c r="AE271" i="37"/>
  <c r="AD271" i="37"/>
  <c r="AC271" i="37"/>
  <c r="AB271" i="37"/>
  <c r="AA271" i="37"/>
  <c r="Z271" i="37"/>
  <c r="Y271" i="37"/>
  <c r="X271" i="37"/>
  <c r="W271" i="37"/>
  <c r="V271" i="37"/>
  <c r="U271" i="37"/>
  <c r="T271" i="37"/>
  <c r="S271" i="37"/>
  <c r="R271" i="37"/>
  <c r="Q271" i="37"/>
  <c r="P271" i="37"/>
  <c r="O271" i="37"/>
  <c r="N271" i="37"/>
  <c r="M271" i="37"/>
  <c r="L271" i="37"/>
  <c r="K271" i="37"/>
  <c r="J271" i="37"/>
  <c r="I271" i="37"/>
  <c r="H271" i="37"/>
  <c r="G271" i="37"/>
  <c r="F271" i="37"/>
  <c r="E271" i="37"/>
  <c r="D271" i="37"/>
  <c r="C271" i="37"/>
  <c r="B271" i="37"/>
  <c r="A271" i="37"/>
  <c r="AE270" i="37"/>
  <c r="AD270" i="37"/>
  <c r="AC270" i="37"/>
  <c r="AB270" i="37"/>
  <c r="AA270" i="37"/>
  <c r="Z270" i="37"/>
  <c r="Y270" i="37"/>
  <c r="X270" i="37"/>
  <c r="W270" i="37"/>
  <c r="V270" i="37"/>
  <c r="U270" i="37"/>
  <c r="T270" i="37"/>
  <c r="S270" i="37"/>
  <c r="R270" i="37"/>
  <c r="Q270" i="37"/>
  <c r="P270" i="37"/>
  <c r="B270" i="37"/>
  <c r="S245" i="37"/>
  <c r="AG235" i="37"/>
  <c r="AF235" i="37"/>
  <c r="AE235" i="37"/>
  <c r="AD235" i="37"/>
  <c r="AC235" i="37"/>
  <c r="AB235" i="37"/>
  <c r="AA235" i="37"/>
  <c r="Z235" i="37"/>
  <c r="Y235" i="37"/>
  <c r="X235" i="37"/>
  <c r="W235" i="37"/>
  <c r="V235" i="37"/>
  <c r="U235" i="37"/>
  <c r="T235" i="37"/>
  <c r="S235" i="37"/>
  <c r="R235" i="37"/>
  <c r="Q235" i="37"/>
  <c r="C235" i="37"/>
  <c r="D234" i="37"/>
  <c r="B234" i="37"/>
  <c r="AF270" i="37" s="1"/>
  <c r="J233" i="37"/>
  <c r="K233" i="37" s="1"/>
  <c r="L233" i="37" s="1"/>
  <c r="M233" i="37" s="1"/>
  <c r="N233" i="37" s="1"/>
  <c r="O233" i="37" s="1"/>
  <c r="P233" i="37" s="1"/>
  <c r="G233" i="37"/>
  <c r="H233" i="37" s="1"/>
  <c r="I233" i="37" s="1"/>
  <c r="F233" i="37"/>
  <c r="E233" i="37"/>
  <c r="D233" i="37"/>
  <c r="B233" i="37"/>
  <c r="H232" i="37"/>
  <c r="I232" i="37" s="1"/>
  <c r="E232" i="37"/>
  <c r="F232" i="37" s="1"/>
  <c r="G232" i="37" s="1"/>
  <c r="D232" i="37"/>
  <c r="B232" i="37"/>
  <c r="F231" i="37"/>
  <c r="G231" i="37" s="1"/>
  <c r="H231" i="37" s="1"/>
  <c r="E231" i="37"/>
  <c r="D231" i="37"/>
  <c r="B231" i="37"/>
  <c r="D230" i="37"/>
  <c r="B230" i="37"/>
  <c r="E229" i="37"/>
  <c r="F229" i="37" s="1"/>
  <c r="D229" i="37"/>
  <c r="B229" i="37"/>
  <c r="AG227" i="37"/>
  <c r="AF227" i="37"/>
  <c r="AE227" i="37"/>
  <c r="AD227" i="37"/>
  <c r="AC227" i="37"/>
  <c r="AB227" i="37"/>
  <c r="AA227" i="37"/>
  <c r="Z227" i="37"/>
  <c r="Y227" i="37"/>
  <c r="X227" i="37"/>
  <c r="W227" i="37"/>
  <c r="V227" i="37"/>
  <c r="U227" i="37"/>
  <c r="T227" i="37"/>
  <c r="S227" i="37"/>
  <c r="R227" i="37"/>
  <c r="Q227" i="37"/>
  <c r="P227" i="37"/>
  <c r="O227" i="37"/>
  <c r="N227" i="37"/>
  <c r="M227" i="37"/>
  <c r="L227" i="37"/>
  <c r="K227" i="37"/>
  <c r="J227" i="37"/>
  <c r="I227" i="37"/>
  <c r="H227" i="37"/>
  <c r="G227" i="37"/>
  <c r="F227" i="37"/>
  <c r="E227" i="37"/>
  <c r="D227" i="37"/>
  <c r="C227" i="37"/>
  <c r="B227" i="37"/>
  <c r="AI120" i="37"/>
  <c r="AH120" i="37"/>
  <c r="AI119" i="37"/>
  <c r="AH119" i="37"/>
  <c r="AI118" i="37"/>
  <c r="AH118" i="37"/>
  <c r="AI117" i="37"/>
  <c r="AH117" i="37"/>
  <c r="AI116" i="37"/>
  <c r="AH116" i="37"/>
  <c r="AI115" i="37"/>
  <c r="AH115" i="37"/>
  <c r="AI114" i="37"/>
  <c r="AH114" i="37"/>
  <c r="AI113" i="37"/>
  <c r="AH113" i="37"/>
  <c r="AI112" i="37"/>
  <c r="AH112" i="37"/>
  <c r="AI111" i="37"/>
  <c r="AH111" i="37"/>
  <c r="AF110" i="37"/>
  <c r="AE110" i="37"/>
  <c r="AC110" i="37"/>
  <c r="AB110" i="37"/>
  <c r="Z110" i="37"/>
  <c r="Y110" i="37"/>
  <c r="X110" i="37"/>
  <c r="W110" i="37"/>
  <c r="V110" i="37"/>
  <c r="U110" i="37"/>
  <c r="T110" i="37"/>
  <c r="S110" i="37"/>
  <c r="R110" i="37"/>
  <c r="Q110" i="37"/>
  <c r="C110" i="37"/>
  <c r="AI109" i="37"/>
  <c r="AH109" i="37"/>
  <c r="AI108" i="37"/>
  <c r="AH108" i="37"/>
  <c r="AI107" i="37"/>
  <c r="AH107" i="37"/>
  <c r="AI106" i="37"/>
  <c r="AH106" i="37"/>
  <c r="AI105" i="37"/>
  <c r="AH105" i="37"/>
  <c r="AI104" i="37"/>
  <c r="AH104" i="37"/>
  <c r="AI103" i="37"/>
  <c r="AH103" i="37"/>
  <c r="AI102" i="37"/>
  <c r="AH102" i="37"/>
  <c r="AI101" i="37"/>
  <c r="AH101" i="37"/>
  <c r="AI99" i="37"/>
  <c r="AH99" i="37"/>
  <c r="AI98" i="37"/>
  <c r="AH98" i="37"/>
  <c r="AI97" i="37"/>
  <c r="AH97" i="37"/>
  <c r="AI96" i="37"/>
  <c r="AH96" i="37"/>
  <c r="AI95" i="37"/>
  <c r="AH95" i="37"/>
  <c r="AI94" i="37"/>
  <c r="AH94" i="37"/>
  <c r="AI93" i="37"/>
  <c r="AH93" i="37"/>
  <c r="AI90" i="37"/>
  <c r="AH90" i="37"/>
  <c r="AI88" i="37"/>
  <c r="AH88" i="37"/>
  <c r="AG88" i="37"/>
  <c r="AI87" i="37"/>
  <c r="AH87" i="37"/>
  <c r="AI86" i="37"/>
  <c r="AH86" i="37"/>
  <c r="AI85" i="37"/>
  <c r="AH85" i="37"/>
  <c r="AN84" i="37"/>
  <c r="AG84" i="37"/>
  <c r="AG91" i="37" s="1"/>
  <c r="AF84" i="37"/>
  <c r="AE84" i="37"/>
  <c r="AD5" i="37" s="1"/>
  <c r="AD84" i="37"/>
  <c r="AC5" i="37" s="1"/>
  <c r="AC84" i="37"/>
  <c r="AC100" i="37" s="1"/>
  <c r="AB84" i="37"/>
  <c r="AB100" i="37" s="1"/>
  <c r="Z84" i="37"/>
  <c r="Y5" i="37" s="1"/>
  <c r="Y84" i="37"/>
  <c r="X84" i="37"/>
  <c r="W84" i="37"/>
  <c r="W100" i="37" s="1"/>
  <c r="V84" i="37"/>
  <c r="V89" i="37" s="1"/>
  <c r="V91" i="37" s="1"/>
  <c r="V92" i="37" s="1"/>
  <c r="U100" i="37"/>
  <c r="T84" i="37"/>
  <c r="T100" i="37" s="1"/>
  <c r="S84" i="37"/>
  <c r="S100" i="37" s="1"/>
  <c r="R84" i="37"/>
  <c r="R100" i="37" s="1"/>
  <c r="Q84" i="37"/>
  <c r="Q100" i="37" s="1"/>
  <c r="P84" i="37"/>
  <c r="O84" i="37"/>
  <c r="N5" i="37" s="1"/>
  <c r="N84" i="37"/>
  <c r="M5" i="37" s="1"/>
  <c r="M84" i="37"/>
  <c r="M100" i="37" s="1"/>
  <c r="L84" i="37"/>
  <c r="L100" i="37" s="1"/>
  <c r="K84" i="37"/>
  <c r="K100" i="37" s="1"/>
  <c r="J84" i="37"/>
  <c r="I5" i="37" s="1"/>
  <c r="I84" i="37"/>
  <c r="I100" i="37" s="1"/>
  <c r="H84" i="37"/>
  <c r="G84" i="37"/>
  <c r="F5" i="37" s="1"/>
  <c r="F84" i="37"/>
  <c r="F100" i="37" s="1"/>
  <c r="E84" i="37"/>
  <c r="E100" i="37" s="1"/>
  <c r="AN83" i="37"/>
  <c r="AI83" i="37"/>
  <c r="AH83" i="37"/>
  <c r="AN82" i="37"/>
  <c r="AI82" i="37"/>
  <c r="AH82" i="37"/>
  <c r="AN81" i="37"/>
  <c r="AI81" i="37"/>
  <c r="AH81" i="37"/>
  <c r="AI80" i="37"/>
  <c r="AH80" i="37"/>
  <c r="AI79" i="37"/>
  <c r="AH79" i="37"/>
  <c r="AI78" i="37"/>
  <c r="AH78" i="37"/>
  <c r="AI77" i="37"/>
  <c r="AH77" i="37"/>
  <c r="AI76" i="37"/>
  <c r="AH76" i="37"/>
  <c r="AI75" i="37"/>
  <c r="AI74" i="37"/>
  <c r="AH74" i="37"/>
  <c r="AI73" i="37"/>
  <c r="AH73" i="37"/>
  <c r="AG72" i="37"/>
  <c r="AG89" i="37" s="1"/>
  <c r="AF72" i="37"/>
  <c r="AE72" i="37"/>
  <c r="AD72" i="37"/>
  <c r="AC72" i="37"/>
  <c r="AB72" i="37"/>
  <c r="Z72" i="37"/>
  <c r="Y72" i="37"/>
  <c r="X72" i="37"/>
  <c r="W72" i="37"/>
  <c r="V72" i="37"/>
  <c r="T72" i="37"/>
  <c r="S72" i="37"/>
  <c r="R72" i="37"/>
  <c r="Q72" i="37"/>
  <c r="P72" i="37"/>
  <c r="O72" i="37"/>
  <c r="N72" i="37"/>
  <c r="M72" i="37"/>
  <c r="L72" i="37"/>
  <c r="AI71" i="37"/>
  <c r="AH71" i="37"/>
  <c r="AI70" i="37"/>
  <c r="AH70" i="37"/>
  <c r="AI69" i="37"/>
  <c r="AH69" i="37"/>
  <c r="AG68" i="37"/>
  <c r="AF68" i="37"/>
  <c r="AE68" i="37"/>
  <c r="AD68" i="37"/>
  <c r="AC68" i="37"/>
  <c r="AB68" i="37"/>
  <c r="Z68" i="37"/>
  <c r="Y68" i="37"/>
  <c r="X68" i="37"/>
  <c r="W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AI67" i="37"/>
  <c r="AH67" i="37"/>
  <c r="AG67" i="37"/>
  <c r="AI66" i="37"/>
  <c r="AH66" i="37"/>
  <c r="AI65" i="37"/>
  <c r="AH65" i="37"/>
  <c r="AI64" i="37"/>
  <c r="AH64" i="37"/>
  <c r="AI63" i="37"/>
  <c r="AH63" i="37"/>
  <c r="AI62" i="37"/>
  <c r="AH62" i="37"/>
  <c r="AI61" i="37"/>
  <c r="AH61" i="37"/>
  <c r="AI60" i="37"/>
  <c r="AH60" i="37"/>
  <c r="AI59" i="37"/>
  <c r="AH59" i="37"/>
  <c r="AI58" i="37"/>
  <c r="AH58" i="37"/>
  <c r="AI57" i="37"/>
  <c r="AH57" i="37"/>
  <c r="AI56" i="37"/>
  <c r="AH56" i="37"/>
  <c r="AI55" i="37"/>
  <c r="AH55" i="37"/>
  <c r="AG54" i="37"/>
  <c r="AF54" i="37"/>
  <c r="AE54" i="37"/>
  <c r="AD54" i="37"/>
  <c r="AC54" i="37"/>
  <c r="AB54" i="37"/>
  <c r="X54" i="37"/>
  <c r="W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AI53" i="37"/>
  <c r="AH53" i="37"/>
  <c r="AI52" i="37"/>
  <c r="AH52" i="37"/>
  <c r="AI51" i="37"/>
  <c r="AH51" i="37"/>
  <c r="AG50" i="37"/>
  <c r="AF50" i="37"/>
  <c r="AE50" i="37"/>
  <c r="AD50" i="37"/>
  <c r="AC50" i="37"/>
  <c r="AB50" i="37"/>
  <c r="Z50" i="37"/>
  <c r="Y50" i="37"/>
  <c r="X50" i="37"/>
  <c r="W50" i="37"/>
  <c r="T50" i="37"/>
  <c r="S50" i="37"/>
  <c r="R50" i="37"/>
  <c r="Q50" i="37"/>
  <c r="P50" i="37"/>
  <c r="O50" i="37"/>
  <c r="N50" i="37"/>
  <c r="M50" i="37"/>
  <c r="L50" i="37"/>
  <c r="K50" i="37"/>
  <c r="J50" i="37"/>
  <c r="I50" i="37"/>
  <c r="H50" i="37"/>
  <c r="G50" i="37"/>
  <c r="F50" i="37"/>
  <c r="E50" i="37"/>
  <c r="AI49" i="37"/>
  <c r="AH49" i="37"/>
  <c r="AI48" i="37"/>
  <c r="AH48" i="37"/>
  <c r="AI47" i="37"/>
  <c r="AH47" i="37"/>
  <c r="AI46" i="37"/>
  <c r="AH46" i="37"/>
  <c r="AI45" i="37"/>
  <c r="AH45" i="37"/>
  <c r="AI44" i="37"/>
  <c r="AH44" i="37"/>
  <c r="AI43" i="37"/>
  <c r="AH43" i="37"/>
  <c r="AI42" i="37"/>
  <c r="AH42" i="37"/>
  <c r="AI41" i="37"/>
  <c r="AH41" i="37"/>
  <c r="AI40" i="37"/>
  <c r="AH40" i="37"/>
  <c r="AI39" i="37"/>
  <c r="AH39" i="37"/>
  <c r="AI38" i="37"/>
  <c r="AH38" i="37"/>
  <c r="AI37" i="37"/>
  <c r="AH37" i="37"/>
  <c r="AI36" i="37"/>
  <c r="AH36" i="37"/>
  <c r="AI35" i="37"/>
  <c r="AH35" i="37"/>
  <c r="AI34" i="37"/>
  <c r="AH34" i="37"/>
  <c r="AI33" i="37"/>
  <c r="AH33" i="37"/>
  <c r="AI32" i="37"/>
  <c r="AH32" i="37"/>
  <c r="AI31" i="37"/>
  <c r="AH31" i="37"/>
  <c r="AI30" i="37"/>
  <c r="AH30" i="37"/>
  <c r="AI29" i="37"/>
  <c r="AH29" i="37"/>
  <c r="AI28" i="37"/>
  <c r="AH28" i="37"/>
  <c r="AI27" i="37"/>
  <c r="AH27" i="37"/>
  <c r="AI26" i="37"/>
  <c r="AH26" i="37"/>
  <c r="AI25" i="37"/>
  <c r="AH25" i="37"/>
  <c r="AI24" i="37"/>
  <c r="AH24" i="37"/>
  <c r="AI23" i="37"/>
  <c r="AH23" i="37"/>
  <c r="AI22" i="37"/>
  <c r="AH22" i="37"/>
  <c r="AI21" i="37"/>
  <c r="AH21" i="37"/>
  <c r="AI20" i="37"/>
  <c r="AH20" i="37"/>
  <c r="AI19" i="37"/>
  <c r="AH19" i="37"/>
  <c r="AI18" i="37"/>
  <c r="AH18" i="37"/>
  <c r="AI17" i="37"/>
  <c r="AH17" i="37"/>
  <c r="AI16" i="37"/>
  <c r="AH16" i="37"/>
  <c r="AI15" i="37"/>
  <c r="AH15" i="37"/>
  <c r="AI14" i="37"/>
  <c r="AH14" i="37"/>
  <c r="AI13" i="37"/>
  <c r="AH13" i="37"/>
  <c r="AI12" i="37"/>
  <c r="AH12" i="37"/>
  <c r="AI11" i="37"/>
  <c r="AH11" i="37"/>
  <c r="Z5" i="37"/>
  <c r="T5" i="37"/>
  <c r="AG4" i="37"/>
  <c r="K4" i="37"/>
  <c r="E4" i="37"/>
  <c r="H4" i="37" s="1"/>
  <c r="B4" i="37"/>
  <c r="S246" i="37" s="1"/>
  <c r="AG3" i="37"/>
  <c r="AG2" i="37"/>
  <c r="AG6" i="37" s="1"/>
  <c r="AF274" i="36"/>
  <c r="AE274" i="36"/>
  <c r="AD274" i="36"/>
  <c r="AC274" i="36"/>
  <c r="AB274" i="36"/>
  <c r="AA274" i="36"/>
  <c r="Z274" i="36"/>
  <c r="Y274" i="36"/>
  <c r="X274" i="36"/>
  <c r="W274" i="36"/>
  <c r="V274" i="36"/>
  <c r="U274" i="36"/>
  <c r="T274" i="36"/>
  <c r="S274" i="36"/>
  <c r="R274" i="36"/>
  <c r="Q274" i="36"/>
  <c r="P274" i="36"/>
  <c r="O274" i="36"/>
  <c r="N274" i="36"/>
  <c r="M274" i="36"/>
  <c r="L274" i="36"/>
  <c r="K274" i="36"/>
  <c r="J274" i="36"/>
  <c r="I274" i="36"/>
  <c r="H274" i="36"/>
  <c r="G274" i="36"/>
  <c r="F274" i="36"/>
  <c r="E274" i="36"/>
  <c r="D274" i="36"/>
  <c r="C274" i="36"/>
  <c r="B274" i="36"/>
  <c r="A274" i="36"/>
  <c r="AF273" i="36"/>
  <c r="AE273" i="36"/>
  <c r="AD273" i="36"/>
  <c r="AC273" i="36"/>
  <c r="AB273" i="36"/>
  <c r="AA273" i="36"/>
  <c r="Z273" i="36"/>
  <c r="Y273" i="36"/>
  <c r="X273" i="36"/>
  <c r="W273" i="36"/>
  <c r="V273" i="36"/>
  <c r="U273" i="36"/>
  <c r="T273" i="36"/>
  <c r="S273" i="36"/>
  <c r="R273" i="36"/>
  <c r="Q273" i="36"/>
  <c r="P273" i="36"/>
  <c r="O273" i="36"/>
  <c r="N273" i="36"/>
  <c r="M273" i="36"/>
  <c r="L273" i="36"/>
  <c r="K273" i="36"/>
  <c r="J273" i="36"/>
  <c r="I273" i="36"/>
  <c r="H273" i="36"/>
  <c r="G273" i="36"/>
  <c r="F273" i="36"/>
  <c r="E273" i="36"/>
  <c r="D273" i="36"/>
  <c r="C273" i="36"/>
  <c r="B273" i="36"/>
  <c r="A273" i="36"/>
  <c r="AF272" i="36"/>
  <c r="AE272" i="36"/>
  <c r="AD272" i="36"/>
  <c r="AC272" i="36"/>
  <c r="AB272" i="36"/>
  <c r="AA272" i="36"/>
  <c r="Z272" i="36"/>
  <c r="Y272" i="36"/>
  <c r="X272" i="36"/>
  <c r="W272" i="36"/>
  <c r="V272" i="36"/>
  <c r="U272" i="36"/>
  <c r="T272" i="36"/>
  <c r="S272" i="36"/>
  <c r="R272" i="36"/>
  <c r="Q272" i="36"/>
  <c r="P272" i="36"/>
  <c r="O272" i="36"/>
  <c r="N272" i="36"/>
  <c r="M272" i="36"/>
  <c r="L272" i="36"/>
  <c r="K272" i="36"/>
  <c r="J272" i="36"/>
  <c r="I272" i="36"/>
  <c r="H272" i="36"/>
  <c r="G272" i="36"/>
  <c r="F272" i="36"/>
  <c r="E272" i="36"/>
  <c r="D272" i="36"/>
  <c r="C272" i="36"/>
  <c r="B272" i="36"/>
  <c r="A272" i="36"/>
  <c r="AF271" i="36"/>
  <c r="AE271" i="36"/>
  <c r="AD271" i="36"/>
  <c r="AC271" i="36"/>
  <c r="AB271" i="36"/>
  <c r="AA271" i="36"/>
  <c r="Z271" i="36"/>
  <c r="Y271" i="36"/>
  <c r="X271" i="36"/>
  <c r="W271" i="36"/>
  <c r="V271" i="36"/>
  <c r="U271" i="36"/>
  <c r="T271" i="36"/>
  <c r="S271" i="36"/>
  <c r="R271" i="36"/>
  <c r="Q271" i="36"/>
  <c r="P271" i="36"/>
  <c r="O271" i="36"/>
  <c r="N271" i="36"/>
  <c r="M271" i="36"/>
  <c r="L271" i="36"/>
  <c r="K271" i="36"/>
  <c r="J271" i="36"/>
  <c r="I271" i="36"/>
  <c r="H271" i="36"/>
  <c r="G271" i="36"/>
  <c r="F271" i="36"/>
  <c r="E271" i="36"/>
  <c r="D271" i="36"/>
  <c r="C271" i="36"/>
  <c r="B271" i="36"/>
  <c r="A271" i="36"/>
  <c r="AE270" i="36"/>
  <c r="AD270" i="36"/>
  <c r="AC270" i="36"/>
  <c r="AB270" i="36"/>
  <c r="AA270" i="36"/>
  <c r="Z270" i="36"/>
  <c r="Y270" i="36"/>
  <c r="X270" i="36"/>
  <c r="W270" i="36"/>
  <c r="V270" i="36"/>
  <c r="U270" i="36"/>
  <c r="T270" i="36"/>
  <c r="S270" i="36"/>
  <c r="R270" i="36"/>
  <c r="Q270" i="36"/>
  <c r="P270" i="36"/>
  <c r="B270" i="36"/>
  <c r="S245" i="36"/>
  <c r="AG235" i="36"/>
  <c r="AF235" i="36"/>
  <c r="AE235" i="36"/>
  <c r="AD235" i="36"/>
  <c r="AC235" i="36"/>
  <c r="AB235" i="36"/>
  <c r="AA235" i="36"/>
  <c r="Z235" i="36"/>
  <c r="Y235" i="36"/>
  <c r="X235" i="36"/>
  <c r="W235" i="36"/>
  <c r="V235" i="36"/>
  <c r="U235" i="36"/>
  <c r="T235" i="36"/>
  <c r="S235" i="36"/>
  <c r="R235" i="36"/>
  <c r="Q235" i="36"/>
  <c r="C235" i="36"/>
  <c r="D234" i="36"/>
  <c r="B234" i="36"/>
  <c r="AF270" i="36" s="1"/>
  <c r="J233" i="36"/>
  <c r="K233" i="36" s="1"/>
  <c r="L233" i="36" s="1"/>
  <c r="M233" i="36" s="1"/>
  <c r="N233" i="36" s="1"/>
  <c r="O233" i="36" s="1"/>
  <c r="P233" i="36" s="1"/>
  <c r="E233" i="36"/>
  <c r="F233" i="36" s="1"/>
  <c r="G233" i="36" s="1"/>
  <c r="H233" i="36" s="1"/>
  <c r="I233" i="36" s="1"/>
  <c r="D233" i="36"/>
  <c r="B233" i="36"/>
  <c r="H232" i="36"/>
  <c r="I232" i="36" s="1"/>
  <c r="E232" i="36"/>
  <c r="F232" i="36" s="1"/>
  <c r="G232" i="36" s="1"/>
  <c r="D232" i="36"/>
  <c r="B232" i="36"/>
  <c r="F231" i="36"/>
  <c r="G231" i="36" s="1"/>
  <c r="H231" i="36" s="1"/>
  <c r="E231" i="36"/>
  <c r="D231" i="36"/>
  <c r="B231" i="36"/>
  <c r="D230" i="36"/>
  <c r="B230" i="36"/>
  <c r="E229" i="36"/>
  <c r="F229" i="36" s="1"/>
  <c r="D229" i="36"/>
  <c r="B229" i="36"/>
  <c r="B110" i="36" s="1"/>
  <c r="AG227" i="36"/>
  <c r="AF227" i="36"/>
  <c r="AE227" i="36"/>
  <c r="AD227" i="36"/>
  <c r="AC227" i="36"/>
  <c r="AB227" i="36"/>
  <c r="AA227" i="36"/>
  <c r="Z227" i="36"/>
  <c r="Y227" i="36"/>
  <c r="X227" i="36"/>
  <c r="W227" i="36"/>
  <c r="V227" i="36"/>
  <c r="U227" i="36"/>
  <c r="T227" i="36"/>
  <c r="S227" i="36"/>
  <c r="R227" i="36"/>
  <c r="Q227" i="36"/>
  <c r="P227" i="36"/>
  <c r="O227" i="36"/>
  <c r="N227" i="36"/>
  <c r="M227" i="36"/>
  <c r="L227" i="36"/>
  <c r="K227" i="36"/>
  <c r="J227" i="36"/>
  <c r="I227" i="36"/>
  <c r="H227" i="36"/>
  <c r="G227" i="36"/>
  <c r="F227" i="36"/>
  <c r="E227" i="36"/>
  <c r="D227" i="36"/>
  <c r="C227" i="36"/>
  <c r="B227" i="36"/>
  <c r="AI120" i="36"/>
  <c r="AH120" i="36"/>
  <c r="AI119" i="36"/>
  <c r="AH119" i="36"/>
  <c r="AI118" i="36"/>
  <c r="AH118" i="36"/>
  <c r="AI117" i="36"/>
  <c r="AH117" i="36"/>
  <c r="AI116" i="36"/>
  <c r="AH116" i="36"/>
  <c r="AI115" i="36"/>
  <c r="AH115" i="36"/>
  <c r="AI114" i="36"/>
  <c r="AH114" i="36"/>
  <c r="AI113" i="36"/>
  <c r="AH113" i="36"/>
  <c r="AI112" i="36"/>
  <c r="AH112" i="36"/>
  <c r="AI111" i="36"/>
  <c r="AH111" i="36"/>
  <c r="AF110" i="36"/>
  <c r="AE110" i="36"/>
  <c r="AC110" i="36"/>
  <c r="AB110" i="36"/>
  <c r="AA110" i="36"/>
  <c r="Z110" i="36"/>
  <c r="Y110" i="36"/>
  <c r="X110" i="36"/>
  <c r="W110" i="36"/>
  <c r="V110" i="36"/>
  <c r="U110" i="36"/>
  <c r="T110" i="36"/>
  <c r="S110" i="36"/>
  <c r="R110" i="36"/>
  <c r="Q110" i="36"/>
  <c r="D110" i="36"/>
  <c r="C110" i="36"/>
  <c r="AI109" i="36"/>
  <c r="AH109" i="36"/>
  <c r="AI108" i="36"/>
  <c r="AH108" i="36"/>
  <c r="AI107" i="36"/>
  <c r="AH107" i="36"/>
  <c r="AI106" i="36"/>
  <c r="AH106" i="36"/>
  <c r="AI105" i="36"/>
  <c r="AH105" i="36"/>
  <c r="AI104" i="36"/>
  <c r="AH104" i="36"/>
  <c r="AI103" i="36"/>
  <c r="AH103" i="36"/>
  <c r="AI102" i="36"/>
  <c r="AH102" i="36"/>
  <c r="AI101" i="36"/>
  <c r="AH101" i="36"/>
  <c r="AE100" i="36"/>
  <c r="AD100" i="36"/>
  <c r="Z100" i="36"/>
  <c r="W100" i="36"/>
  <c r="V100" i="36"/>
  <c r="R100" i="36"/>
  <c r="O100" i="36"/>
  <c r="N100" i="36"/>
  <c r="J100" i="36"/>
  <c r="G100" i="36"/>
  <c r="F100" i="36"/>
  <c r="B100" i="36"/>
  <c r="AI99" i="36"/>
  <c r="AH99" i="36"/>
  <c r="AI98" i="36"/>
  <c r="AH98" i="36"/>
  <c r="AI97" i="36"/>
  <c r="AH97" i="36"/>
  <c r="AI96" i="36"/>
  <c r="AH96" i="36"/>
  <c r="AI95" i="36"/>
  <c r="AH95" i="36"/>
  <c r="AI94" i="36"/>
  <c r="AH94" i="36"/>
  <c r="AI93" i="36"/>
  <c r="AH93" i="36"/>
  <c r="AD92" i="36"/>
  <c r="V92" i="36"/>
  <c r="AI90" i="36"/>
  <c r="AH90" i="36"/>
  <c r="AB89" i="36"/>
  <c r="AB91" i="36" s="1"/>
  <c r="T89" i="36"/>
  <c r="T91" i="36" s="1"/>
  <c r="L89" i="36"/>
  <c r="L91" i="36" s="1"/>
  <c r="L7" i="36" s="1"/>
  <c r="D89" i="36"/>
  <c r="D91" i="36" s="1"/>
  <c r="AI88" i="36"/>
  <c r="AH88" i="36"/>
  <c r="AG88" i="36"/>
  <c r="AI87" i="36"/>
  <c r="AH87" i="36"/>
  <c r="AI86" i="36"/>
  <c r="AH86" i="36"/>
  <c r="AI85" i="36"/>
  <c r="AH85" i="36"/>
  <c r="AN84" i="36"/>
  <c r="AG84" i="36"/>
  <c r="AG91" i="36" s="1"/>
  <c r="AF84" i="36"/>
  <c r="AE84" i="36"/>
  <c r="AD84" i="36"/>
  <c r="AC84" i="36"/>
  <c r="AC100" i="36" s="1"/>
  <c r="AB84" i="36"/>
  <c r="AB100" i="36" s="1"/>
  <c r="AA84" i="36"/>
  <c r="AA100" i="36" s="1"/>
  <c r="Z84" i="36"/>
  <c r="Y84" i="36"/>
  <c r="Y100" i="36" s="1"/>
  <c r="X84" i="36"/>
  <c r="W84" i="36"/>
  <c r="V84" i="36"/>
  <c r="U84" i="36"/>
  <c r="U100" i="36" s="1"/>
  <c r="T84" i="36"/>
  <c r="T100" i="36" s="1"/>
  <c r="S84" i="36"/>
  <c r="S100" i="36" s="1"/>
  <c r="R84" i="36"/>
  <c r="Q84" i="36"/>
  <c r="Q100" i="36" s="1"/>
  <c r="P84" i="36"/>
  <c r="P100" i="36" s="1"/>
  <c r="O84" i="36"/>
  <c r="N84" i="36"/>
  <c r="M84" i="36"/>
  <c r="M100" i="36" s="1"/>
  <c r="L84" i="36"/>
  <c r="L100" i="36" s="1"/>
  <c r="K84" i="36"/>
  <c r="K100" i="36" s="1"/>
  <c r="J84" i="36"/>
  <c r="I84" i="36"/>
  <c r="I100" i="36" s="1"/>
  <c r="H84" i="36"/>
  <c r="H100" i="36" s="1"/>
  <c r="G84" i="36"/>
  <c r="F84" i="36"/>
  <c r="E84" i="36"/>
  <c r="E100" i="36" s="1"/>
  <c r="D84" i="36"/>
  <c r="D100" i="36" s="1"/>
  <c r="C84" i="36"/>
  <c r="C100" i="36" s="1"/>
  <c r="B84" i="36"/>
  <c r="AN83" i="36"/>
  <c r="AI83" i="36"/>
  <c r="AH83" i="36"/>
  <c r="AN82" i="36"/>
  <c r="AI82" i="36"/>
  <c r="AH82" i="36"/>
  <c r="AN81" i="36"/>
  <c r="AI81" i="36"/>
  <c r="AH81" i="36"/>
  <c r="AI80" i="36"/>
  <c r="AH80" i="36"/>
  <c r="AI79" i="36"/>
  <c r="AH79" i="36"/>
  <c r="AI78" i="36"/>
  <c r="AH78" i="36"/>
  <c r="AI77" i="36"/>
  <c r="AH77" i="36"/>
  <c r="AI76" i="36"/>
  <c r="AH76" i="36"/>
  <c r="AI75" i="36"/>
  <c r="AH75" i="36"/>
  <c r="AI74" i="36"/>
  <c r="AH74" i="36"/>
  <c r="AI73" i="36"/>
  <c r="AH73" i="36"/>
  <c r="AI72" i="36"/>
  <c r="AG72" i="36"/>
  <c r="AF72" i="36"/>
  <c r="AE72" i="36"/>
  <c r="AD72" i="36"/>
  <c r="AC72" i="36"/>
  <c r="AB72" i="36"/>
  <c r="AA72" i="36"/>
  <c r="Z72" i="36"/>
  <c r="Y72" i="36"/>
  <c r="X72" i="36"/>
  <c r="W72" i="36"/>
  <c r="V72" i="36"/>
  <c r="U72" i="36"/>
  <c r="T72" i="36"/>
  <c r="S72" i="36"/>
  <c r="R72" i="36"/>
  <c r="Q72" i="36"/>
  <c r="P72" i="36"/>
  <c r="O72" i="36"/>
  <c r="N72" i="36"/>
  <c r="M72" i="36"/>
  <c r="L72" i="36"/>
  <c r="B72" i="36"/>
  <c r="AH72" i="36" s="1"/>
  <c r="AI71" i="36"/>
  <c r="AH71" i="36"/>
  <c r="AI70" i="36"/>
  <c r="AH70" i="36"/>
  <c r="AI69" i="36"/>
  <c r="AH69" i="36"/>
  <c r="AG68" i="36"/>
  <c r="AG3" i="36" s="1"/>
  <c r="AG6" i="36" s="1"/>
  <c r="AF68" i="36"/>
  <c r="AE68" i="36"/>
  <c r="AD68" i="36"/>
  <c r="AC68" i="36"/>
  <c r="AC89" i="36" s="1"/>
  <c r="AC91" i="36" s="1"/>
  <c r="AB68" i="36"/>
  <c r="AA68" i="36"/>
  <c r="Z68" i="36"/>
  <c r="Y68" i="36"/>
  <c r="Y89" i="36" s="1"/>
  <c r="Y91" i="36" s="1"/>
  <c r="X68" i="36"/>
  <c r="W68" i="36"/>
  <c r="V68" i="36"/>
  <c r="U68" i="36"/>
  <c r="U89" i="36" s="1"/>
  <c r="U91" i="36" s="1"/>
  <c r="T68" i="36"/>
  <c r="S68" i="36"/>
  <c r="R68" i="36"/>
  <c r="Q68" i="36"/>
  <c r="Q89" i="36" s="1"/>
  <c r="Q91" i="36" s="1"/>
  <c r="P68" i="36"/>
  <c r="O68" i="36"/>
  <c r="N68" i="36"/>
  <c r="M68" i="36"/>
  <c r="M89" i="36" s="1"/>
  <c r="M91" i="36" s="1"/>
  <c r="L68" i="36"/>
  <c r="K68" i="36"/>
  <c r="J68" i="36"/>
  <c r="I68" i="36"/>
  <c r="I89" i="36" s="1"/>
  <c r="I91" i="36" s="1"/>
  <c r="H68" i="36"/>
  <c r="G68" i="36"/>
  <c r="F68" i="36"/>
  <c r="E68" i="36"/>
  <c r="E89" i="36" s="1"/>
  <c r="E91" i="36" s="1"/>
  <c r="D68" i="36"/>
  <c r="C68" i="36"/>
  <c r="B68" i="36"/>
  <c r="AI67" i="36"/>
  <c r="AH67" i="36"/>
  <c r="AG67" i="36"/>
  <c r="AI66" i="36"/>
  <c r="AH66" i="36"/>
  <c r="AI65" i="36"/>
  <c r="AH65" i="36"/>
  <c r="AI64" i="36"/>
  <c r="AH64" i="36"/>
  <c r="AI63" i="36"/>
  <c r="AH63" i="36"/>
  <c r="AI62" i="36"/>
  <c r="AH62" i="36"/>
  <c r="AI61" i="36"/>
  <c r="AH61" i="36"/>
  <c r="AI60" i="36"/>
  <c r="AH60" i="36"/>
  <c r="AI59" i="36"/>
  <c r="AH59" i="36"/>
  <c r="AI58" i="36"/>
  <c r="AH58" i="36"/>
  <c r="AI57" i="36"/>
  <c r="AH57" i="36"/>
  <c r="AI56" i="36"/>
  <c r="AH56" i="36"/>
  <c r="AI55" i="36"/>
  <c r="AH55" i="36"/>
  <c r="AG54" i="36"/>
  <c r="AF54" i="36"/>
  <c r="AE54" i="36"/>
  <c r="AD54" i="36"/>
  <c r="AC54" i="36"/>
  <c r="AB54" i="36"/>
  <c r="AA54" i="36"/>
  <c r="Z54" i="36"/>
  <c r="Y54" i="36"/>
  <c r="X54" i="36"/>
  <c r="W54" i="36"/>
  <c r="V54" i="36"/>
  <c r="U54" i="36"/>
  <c r="T54" i="36"/>
  <c r="S54" i="36"/>
  <c r="R54" i="36"/>
  <c r="Q54" i="36"/>
  <c r="P54" i="36"/>
  <c r="O54" i="36"/>
  <c r="N54" i="36"/>
  <c r="M54" i="36"/>
  <c r="L54" i="36"/>
  <c r="K54" i="36"/>
  <c r="J54" i="36"/>
  <c r="I54" i="36"/>
  <c r="H54" i="36"/>
  <c r="G54" i="36"/>
  <c r="F54" i="36"/>
  <c r="E54" i="36"/>
  <c r="D54" i="36"/>
  <c r="C54" i="36"/>
  <c r="B54" i="36"/>
  <c r="AI53" i="36"/>
  <c r="AH53" i="36"/>
  <c r="AI52" i="36"/>
  <c r="AH52" i="36"/>
  <c r="AI51" i="36"/>
  <c r="AH51" i="36"/>
  <c r="AH50" i="36"/>
  <c r="AG50" i="36"/>
  <c r="AF50" i="36"/>
  <c r="AE50" i="36"/>
  <c r="AD50" i="36"/>
  <c r="AD89" i="36" s="1"/>
  <c r="AD91" i="36" s="1"/>
  <c r="AC50" i="36"/>
  <c r="AB50" i="36"/>
  <c r="AA50" i="36"/>
  <c r="AA89" i="36" s="1"/>
  <c r="AA91" i="36" s="1"/>
  <c r="Z50" i="36"/>
  <c r="Z89" i="36" s="1"/>
  <c r="Z91" i="36" s="1"/>
  <c r="Y50" i="36"/>
  <c r="X50" i="36"/>
  <c r="W50" i="36"/>
  <c r="V50" i="36"/>
  <c r="V89" i="36" s="1"/>
  <c r="V91" i="36" s="1"/>
  <c r="U50" i="36"/>
  <c r="T50" i="36"/>
  <c r="S50" i="36"/>
  <c r="S89" i="36" s="1"/>
  <c r="S91" i="36" s="1"/>
  <c r="R50" i="36"/>
  <c r="R89" i="36" s="1"/>
  <c r="R91" i="36" s="1"/>
  <c r="Q50" i="36"/>
  <c r="P50" i="36"/>
  <c r="O50" i="36"/>
  <c r="N50" i="36"/>
  <c r="N89" i="36" s="1"/>
  <c r="N91" i="36" s="1"/>
  <c r="M50" i="36"/>
  <c r="L50" i="36"/>
  <c r="K50" i="36"/>
  <c r="K89" i="36" s="1"/>
  <c r="K91" i="36" s="1"/>
  <c r="J50" i="36"/>
  <c r="J89" i="36" s="1"/>
  <c r="J91" i="36" s="1"/>
  <c r="I50" i="36"/>
  <c r="H50" i="36"/>
  <c r="G50" i="36"/>
  <c r="G89" i="36" s="1"/>
  <c r="G91" i="36" s="1"/>
  <c r="F50" i="36"/>
  <c r="F89" i="36" s="1"/>
  <c r="F91" i="36" s="1"/>
  <c r="E50" i="36"/>
  <c r="D50" i="36"/>
  <c r="C50" i="36"/>
  <c r="C89" i="36" s="1"/>
  <c r="C91" i="36" s="1"/>
  <c r="B50" i="36"/>
  <c r="B89" i="36" s="1"/>
  <c r="AI49" i="36"/>
  <c r="AH49" i="36"/>
  <c r="AI48" i="36"/>
  <c r="AH48" i="36"/>
  <c r="AI47" i="36"/>
  <c r="AH47" i="36"/>
  <c r="AI46" i="36"/>
  <c r="AH46" i="36"/>
  <c r="AI45" i="36"/>
  <c r="AH45" i="36"/>
  <c r="AI44" i="36"/>
  <c r="AH44" i="36"/>
  <c r="AI43" i="36"/>
  <c r="AH43" i="36"/>
  <c r="AI42" i="36"/>
  <c r="AH42" i="36"/>
  <c r="AI41" i="36"/>
  <c r="AH41" i="36"/>
  <c r="AI40" i="36"/>
  <c r="AH40" i="36"/>
  <c r="AI39" i="36"/>
  <c r="AH39" i="36"/>
  <c r="AI38" i="36"/>
  <c r="AH38" i="36"/>
  <c r="AI37" i="36"/>
  <c r="AH37" i="36"/>
  <c r="AI36" i="36"/>
  <c r="AH36" i="36"/>
  <c r="AI35" i="36"/>
  <c r="AH35" i="36"/>
  <c r="AI34" i="36"/>
  <c r="AH34" i="36"/>
  <c r="AI33" i="36"/>
  <c r="AH33" i="36"/>
  <c r="AI32" i="36"/>
  <c r="AH32" i="36"/>
  <c r="AI31" i="36"/>
  <c r="AH31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AI23" i="36"/>
  <c r="AH23" i="36"/>
  <c r="AI22" i="36"/>
  <c r="AH22" i="36"/>
  <c r="AI21" i="36"/>
  <c r="AH21" i="36"/>
  <c r="AI20" i="36"/>
  <c r="AH20" i="36"/>
  <c r="AI19" i="36"/>
  <c r="AH19" i="36"/>
  <c r="AI18" i="36"/>
  <c r="AH18" i="36"/>
  <c r="AI17" i="36"/>
  <c r="AH17" i="36"/>
  <c r="AI16" i="36"/>
  <c r="AH16" i="36"/>
  <c r="AI15" i="36"/>
  <c r="AH15" i="36"/>
  <c r="AI14" i="36"/>
  <c r="AH14" i="36"/>
  <c r="AI13" i="36"/>
  <c r="AH13" i="36"/>
  <c r="AI12" i="36"/>
  <c r="AH12" i="36"/>
  <c r="AI11" i="36"/>
  <c r="AH11" i="36"/>
  <c r="AB7" i="36"/>
  <c r="T7" i="36"/>
  <c r="K7" i="36"/>
  <c r="G7" i="36"/>
  <c r="D7" i="36"/>
  <c r="AF5" i="36"/>
  <c r="AD5" i="36"/>
  <c r="AC5" i="36"/>
  <c r="AA5" i="36"/>
  <c r="Z5" i="36"/>
  <c r="Y5" i="36"/>
  <c r="V5" i="36"/>
  <c r="U5" i="36"/>
  <c r="S5" i="36"/>
  <c r="R5" i="36"/>
  <c r="Q5" i="36"/>
  <c r="N5" i="36"/>
  <c r="M5" i="36"/>
  <c r="K5" i="36"/>
  <c r="J5" i="36"/>
  <c r="I5" i="36"/>
  <c r="F5" i="36"/>
  <c r="E5" i="36"/>
  <c r="C5" i="36"/>
  <c r="B5" i="36"/>
  <c r="AG4" i="36"/>
  <c r="K4" i="36"/>
  <c r="E4" i="36"/>
  <c r="H4" i="36" s="1"/>
  <c r="B4" i="36"/>
  <c r="S246" i="36" s="1"/>
  <c r="AG2" i="36"/>
  <c r="AF113" i="35"/>
  <c r="AE50" i="35"/>
  <c r="AF50" i="35"/>
  <c r="AE54" i="35"/>
  <c r="AF54" i="35"/>
  <c r="AE68" i="35"/>
  <c r="AF68" i="35"/>
  <c r="AE72" i="35"/>
  <c r="AF72" i="35"/>
  <c r="AB110" i="35"/>
  <c r="AB99" i="35"/>
  <c r="AB88" i="35"/>
  <c r="AB84" i="35"/>
  <c r="AB100" i="35" s="1"/>
  <c r="AB72" i="35"/>
  <c r="AB68" i="35"/>
  <c r="AB54" i="35"/>
  <c r="AB50" i="35"/>
  <c r="AA50" i="35"/>
  <c r="X50" i="35"/>
  <c r="X54" i="35"/>
  <c r="X68" i="35"/>
  <c r="X72" i="35"/>
  <c r="X84" i="35"/>
  <c r="X100" i="35" s="1"/>
  <c r="X110" i="35"/>
  <c r="W50" i="35"/>
  <c r="W54" i="35"/>
  <c r="W68" i="35"/>
  <c r="W72" i="35"/>
  <c r="W84" i="35"/>
  <c r="W100" i="35" s="1"/>
  <c r="W110" i="35"/>
  <c r="V72" i="35"/>
  <c r="AE100" i="37" l="1"/>
  <c r="AE89" i="37"/>
  <c r="AE91" i="37" s="1"/>
  <c r="AW249" i="37" s="1"/>
  <c r="AD100" i="37"/>
  <c r="AD89" i="37"/>
  <c r="AD91" i="37" s="1"/>
  <c r="AB5" i="37"/>
  <c r="AC89" i="37"/>
  <c r="AC91" i="37" s="1"/>
  <c r="AC92" i="37" s="1"/>
  <c r="AA5" i="37"/>
  <c r="AB89" i="37"/>
  <c r="AB91" i="37" s="1"/>
  <c r="AB7" i="37" s="1"/>
  <c r="Y89" i="37"/>
  <c r="Y91" i="37" s="1"/>
  <c r="Y7" i="37" s="1"/>
  <c r="V5" i="37"/>
  <c r="W89" i="37"/>
  <c r="W91" i="37" s="1"/>
  <c r="W92" i="37" s="1"/>
  <c r="U5" i="37"/>
  <c r="V100" i="37"/>
  <c r="T89" i="37"/>
  <c r="T91" i="37" s="1"/>
  <c r="T7" i="37" s="1"/>
  <c r="S5" i="37"/>
  <c r="R5" i="37"/>
  <c r="S89" i="37"/>
  <c r="S91" i="37" s="1"/>
  <c r="S92" i="37" s="1"/>
  <c r="Q5" i="37"/>
  <c r="Q89" i="37"/>
  <c r="Q91" i="37" s="1"/>
  <c r="AI249" i="37" s="1"/>
  <c r="O89" i="37"/>
  <c r="O91" i="37" s="1"/>
  <c r="O100" i="37"/>
  <c r="N100" i="37"/>
  <c r="AI68" i="37"/>
  <c r="N89" i="37"/>
  <c r="N91" i="37" s="1"/>
  <c r="N92" i="37" s="1"/>
  <c r="L5" i="37"/>
  <c r="M89" i="37"/>
  <c r="M91" i="37" s="1"/>
  <c r="K5" i="37"/>
  <c r="L89" i="37"/>
  <c r="L91" i="37" s="1"/>
  <c r="L7" i="37" s="1"/>
  <c r="AH72" i="37"/>
  <c r="J5" i="37"/>
  <c r="K89" i="37"/>
  <c r="K91" i="37" s="1"/>
  <c r="J100" i="37"/>
  <c r="AI54" i="37"/>
  <c r="I89" i="37"/>
  <c r="I91" i="37" s="1"/>
  <c r="G89" i="37"/>
  <c r="G91" i="37" s="1"/>
  <c r="Y249" i="37" s="1"/>
  <c r="G100" i="37"/>
  <c r="F89" i="37"/>
  <c r="F91" i="37" s="1"/>
  <c r="F92" i="37" s="1"/>
  <c r="E5" i="37"/>
  <c r="D5" i="37"/>
  <c r="E89" i="37"/>
  <c r="E91" i="37" s="1"/>
  <c r="C5" i="37"/>
  <c r="D89" i="37"/>
  <c r="D91" i="37" s="1"/>
  <c r="AI72" i="37"/>
  <c r="C89" i="37"/>
  <c r="C91" i="37" s="1"/>
  <c r="C92" i="37" s="1"/>
  <c r="B5" i="37"/>
  <c r="AF5" i="37"/>
  <c r="AH84" i="37"/>
  <c r="B89" i="37"/>
  <c r="B91" i="37" s="1"/>
  <c r="B92" i="37" s="1"/>
  <c r="D246" i="37"/>
  <c r="K7" i="37"/>
  <c r="K92" i="37"/>
  <c r="AC249" i="37"/>
  <c r="AA7" i="37"/>
  <c r="AS249" i="37"/>
  <c r="AH68" i="37"/>
  <c r="V249" i="37"/>
  <c r="D235" i="37"/>
  <c r="E230" i="37"/>
  <c r="C7" i="37"/>
  <c r="X249" i="37"/>
  <c r="F7" i="37"/>
  <c r="AF249" i="37"/>
  <c r="N7" i="37"/>
  <c r="AN249" i="37"/>
  <c r="V7" i="37"/>
  <c r="AV249" i="37"/>
  <c r="AD7" i="37"/>
  <c r="E92" i="37"/>
  <c r="W249" i="37"/>
  <c r="E7" i="37"/>
  <c r="AD92" i="37"/>
  <c r="G92" i="37"/>
  <c r="AG249" i="37"/>
  <c r="O7" i="37"/>
  <c r="O92" i="37"/>
  <c r="J232" i="37"/>
  <c r="K232" i="37" s="1"/>
  <c r="L232" i="37" s="1"/>
  <c r="M232" i="37" s="1"/>
  <c r="N232" i="37" s="1"/>
  <c r="O232" i="37" s="1"/>
  <c r="P232" i="37" s="1"/>
  <c r="H89" i="37"/>
  <c r="H91" i="37" s="1"/>
  <c r="P89" i="37"/>
  <c r="P91" i="37" s="1"/>
  <c r="X89" i="37"/>
  <c r="X91" i="37" s="1"/>
  <c r="AF89" i="37"/>
  <c r="AF91" i="37" s="1"/>
  <c r="Y92" i="37"/>
  <c r="M92" i="37"/>
  <c r="AE249" i="37"/>
  <c r="M7" i="37"/>
  <c r="C270" i="37"/>
  <c r="E234" i="37"/>
  <c r="H100" i="37"/>
  <c r="G5" i="37"/>
  <c r="P100" i="37"/>
  <c r="O5" i="37"/>
  <c r="X100" i="37"/>
  <c r="W5" i="37"/>
  <c r="AF100" i="37"/>
  <c r="AE5" i="37"/>
  <c r="J89" i="37"/>
  <c r="J91" i="37" s="1"/>
  <c r="R89" i="37"/>
  <c r="R91" i="37" s="1"/>
  <c r="Z89" i="37"/>
  <c r="Z91" i="37" s="1"/>
  <c r="I7" i="37"/>
  <c r="I92" i="37"/>
  <c r="AA249" i="37"/>
  <c r="AM249" i="37"/>
  <c r="U7" i="37"/>
  <c r="G229" i="37"/>
  <c r="H5" i="37"/>
  <c r="P5" i="37"/>
  <c r="X5" i="37"/>
  <c r="AH50" i="37"/>
  <c r="AH54" i="37"/>
  <c r="AI84" i="37"/>
  <c r="AI50" i="37"/>
  <c r="B235" i="37"/>
  <c r="D246" i="36"/>
  <c r="J7" i="36"/>
  <c r="J92" i="36"/>
  <c r="AB249" i="36"/>
  <c r="AF100" i="36"/>
  <c r="AH100" i="36" s="1"/>
  <c r="AE5" i="36"/>
  <c r="O5" i="36"/>
  <c r="C92" i="36"/>
  <c r="U249" i="36"/>
  <c r="K92" i="36"/>
  <c r="AC249" i="36"/>
  <c r="S92" i="36"/>
  <c r="AK249" i="36"/>
  <c r="AA92" i="36"/>
  <c r="AS249" i="36"/>
  <c r="I7" i="36"/>
  <c r="I92" i="36"/>
  <c r="AA249" i="36"/>
  <c r="Q7" i="36"/>
  <c r="Q92" i="36"/>
  <c r="AI249" i="36"/>
  <c r="Y7" i="36"/>
  <c r="Y92" i="36"/>
  <c r="AQ249" i="36"/>
  <c r="D235" i="36"/>
  <c r="E230" i="36"/>
  <c r="AI68" i="36"/>
  <c r="AH68" i="36"/>
  <c r="AH84" i="36"/>
  <c r="C270" i="36"/>
  <c r="E234" i="36"/>
  <c r="R7" i="36"/>
  <c r="R92" i="36"/>
  <c r="AJ249" i="36"/>
  <c r="J232" i="36"/>
  <c r="K232" i="36" s="1"/>
  <c r="L232" i="36" s="1"/>
  <c r="M232" i="36" s="1"/>
  <c r="N232" i="36" s="1"/>
  <c r="O232" i="36" s="1"/>
  <c r="P232" i="36" s="1"/>
  <c r="G5" i="36"/>
  <c r="X249" i="36"/>
  <c r="F7" i="36"/>
  <c r="AF249" i="36"/>
  <c r="N7" i="36"/>
  <c r="AN249" i="36"/>
  <c r="V7" i="36"/>
  <c r="AV249" i="36"/>
  <c r="AD7" i="36"/>
  <c r="D92" i="36"/>
  <c r="V249" i="36"/>
  <c r="Y249" i="36"/>
  <c r="G92" i="36"/>
  <c r="B91" i="36"/>
  <c r="Z7" i="36"/>
  <c r="Z92" i="36"/>
  <c r="AR249" i="36"/>
  <c r="X100" i="36"/>
  <c r="W5" i="36"/>
  <c r="AI100" i="36"/>
  <c r="S7" i="36"/>
  <c r="O89" i="36"/>
  <c r="O91" i="36" s="1"/>
  <c r="W89" i="36"/>
  <c r="W91" i="36" s="1"/>
  <c r="AE89" i="36"/>
  <c r="AE91" i="36" s="1"/>
  <c r="E92" i="36"/>
  <c r="W249" i="36"/>
  <c r="E7" i="36"/>
  <c r="M92" i="36"/>
  <c r="AE249" i="36"/>
  <c r="M7" i="36"/>
  <c r="U92" i="36"/>
  <c r="AM249" i="36"/>
  <c r="U7" i="36"/>
  <c r="AC92" i="36"/>
  <c r="AU249" i="36"/>
  <c r="AC7" i="36"/>
  <c r="L92" i="36"/>
  <c r="AD249" i="36"/>
  <c r="C7" i="36"/>
  <c r="H89" i="36"/>
  <c r="H91" i="36" s="1"/>
  <c r="P89" i="36"/>
  <c r="P91" i="36" s="1"/>
  <c r="X89" i="36"/>
  <c r="X91" i="36" s="1"/>
  <c r="AF89" i="36"/>
  <c r="AF91" i="36" s="1"/>
  <c r="T92" i="36"/>
  <c r="AL249" i="36"/>
  <c r="F92" i="36"/>
  <c r="G229" i="36"/>
  <c r="AA7" i="36"/>
  <c r="AH54" i="36"/>
  <c r="AB92" i="36"/>
  <c r="AT249" i="36"/>
  <c r="N92" i="36"/>
  <c r="H5" i="36"/>
  <c r="P5" i="36"/>
  <c r="X5" i="36"/>
  <c r="AI84" i="36"/>
  <c r="AI50" i="36"/>
  <c r="AI54" i="36"/>
  <c r="AG89" i="36"/>
  <c r="B235" i="36"/>
  <c r="D5" i="36"/>
  <c r="L5" i="36"/>
  <c r="T5" i="36"/>
  <c r="AB5" i="36"/>
  <c r="AB89" i="35"/>
  <c r="AB91" i="35" s="1"/>
  <c r="AB92" i="35" s="1"/>
  <c r="AB109" i="35" s="1"/>
  <c r="W89" i="35"/>
  <c r="W91" i="35" s="1"/>
  <c r="W92" i="35" s="1"/>
  <c r="X89" i="35"/>
  <c r="X91" i="35" s="1"/>
  <c r="X92" i="35" s="1"/>
  <c r="AC7" i="37" l="1"/>
  <c r="AU249" i="37"/>
  <c r="AB92" i="37"/>
  <c r="AT249" i="37"/>
  <c r="AE92" i="37"/>
  <c r="AE7" i="37"/>
  <c r="AQ249" i="37"/>
  <c r="AL249" i="37"/>
  <c r="T92" i="37"/>
  <c r="W7" i="37"/>
  <c r="AO249" i="37"/>
  <c r="AH100" i="37"/>
  <c r="S7" i="37"/>
  <c r="AK249" i="37"/>
  <c r="Q92" i="37"/>
  <c r="Q7" i="37"/>
  <c r="AD249" i="37"/>
  <c r="L92" i="37"/>
  <c r="G7" i="37"/>
  <c r="C244" i="37"/>
  <c r="B244" i="37"/>
  <c r="D7" i="37"/>
  <c r="D92" i="37"/>
  <c r="U249" i="37"/>
  <c r="X7" i="37"/>
  <c r="X92" i="37"/>
  <c r="AP249" i="37"/>
  <c r="AI100" i="37"/>
  <c r="H7" i="37"/>
  <c r="H92" i="37"/>
  <c r="Z249" i="37"/>
  <c r="Z7" i="37"/>
  <c r="Z92" i="37"/>
  <c r="AR249" i="37"/>
  <c r="H229" i="37"/>
  <c r="R7" i="37"/>
  <c r="R92" i="37"/>
  <c r="AJ249" i="37"/>
  <c r="D270" i="37"/>
  <c r="F234" i="37"/>
  <c r="E110" i="37"/>
  <c r="J7" i="37"/>
  <c r="J92" i="37"/>
  <c r="AB249" i="37"/>
  <c r="P7" i="37"/>
  <c r="P92" i="37"/>
  <c r="AH249" i="37"/>
  <c r="AI89" i="37"/>
  <c r="AH89" i="37"/>
  <c r="AF7" i="37"/>
  <c r="AF92" i="37"/>
  <c r="AX249" i="37"/>
  <c r="F230" i="37"/>
  <c r="E235" i="37"/>
  <c r="AW249" i="36"/>
  <c r="AE92" i="36"/>
  <c r="AE7" i="36"/>
  <c r="H229" i="36"/>
  <c r="AO249" i="36"/>
  <c r="W92" i="36"/>
  <c r="W7" i="36"/>
  <c r="AG249" i="36"/>
  <c r="O92" i="36"/>
  <c r="O7" i="36"/>
  <c r="B7" i="36"/>
  <c r="A7" i="36" s="1"/>
  <c r="B92" i="36"/>
  <c r="AI91" i="36"/>
  <c r="T249" i="36"/>
  <c r="AH91" i="36"/>
  <c r="AH89" i="36"/>
  <c r="D270" i="36"/>
  <c r="F234" i="36"/>
  <c r="E110" i="36"/>
  <c r="AF7" i="36"/>
  <c r="AF92" i="36"/>
  <c r="AX249" i="36"/>
  <c r="H7" i="36"/>
  <c r="H92" i="36"/>
  <c r="Z249" i="36"/>
  <c r="AI89" i="36"/>
  <c r="X7" i="36"/>
  <c r="X92" i="36"/>
  <c r="AP249" i="36"/>
  <c r="B244" i="36"/>
  <c r="K6" i="36" s="1"/>
  <c r="P7" i="36"/>
  <c r="P92" i="36"/>
  <c r="AH249" i="36"/>
  <c r="C244" i="36"/>
  <c r="F230" i="36"/>
  <c r="E235" i="36"/>
  <c r="K6" i="37" l="1"/>
  <c r="B7" i="37"/>
  <c r="A7" i="37" s="1"/>
  <c r="AI91" i="37"/>
  <c r="T249" i="37"/>
  <c r="AH91" i="37"/>
  <c r="I229" i="37"/>
  <c r="E270" i="37"/>
  <c r="G234" i="37"/>
  <c r="F110" i="37"/>
  <c r="G230" i="37"/>
  <c r="F235" i="37"/>
  <c r="AI92" i="36"/>
  <c r="AH92" i="36"/>
  <c r="G230" i="36"/>
  <c r="F235" i="36"/>
  <c r="E270" i="36"/>
  <c r="G234" i="36"/>
  <c r="F110" i="36"/>
  <c r="I229" i="36"/>
  <c r="H230" i="37" l="1"/>
  <c r="G235" i="37"/>
  <c r="J229" i="37"/>
  <c r="F270" i="37"/>
  <c r="H234" i="37"/>
  <c r="G110" i="37"/>
  <c r="AI92" i="37"/>
  <c r="AH92" i="37"/>
  <c r="F270" i="36"/>
  <c r="H234" i="36"/>
  <c r="G110" i="36"/>
  <c r="H230" i="36"/>
  <c r="G235" i="36"/>
  <c r="J229" i="36"/>
  <c r="K229" i="37" l="1"/>
  <c r="I230" i="37"/>
  <c r="H235" i="37"/>
  <c r="G270" i="37"/>
  <c r="I234" i="37"/>
  <c r="H110" i="37"/>
  <c r="I230" i="36"/>
  <c r="H235" i="36"/>
  <c r="G270" i="36"/>
  <c r="I234" i="36"/>
  <c r="H110" i="36"/>
  <c r="K229" i="36"/>
  <c r="H270" i="37" l="1"/>
  <c r="J234" i="37"/>
  <c r="I110" i="37"/>
  <c r="J230" i="37"/>
  <c r="L229" i="37"/>
  <c r="H270" i="36"/>
  <c r="J234" i="36"/>
  <c r="I110" i="36"/>
  <c r="J230" i="36"/>
  <c r="L229" i="36"/>
  <c r="K230" i="37" l="1"/>
  <c r="K234" i="37"/>
  <c r="I270" i="37"/>
  <c r="J110" i="37"/>
  <c r="M229" i="37"/>
  <c r="K230" i="36"/>
  <c r="K234" i="36"/>
  <c r="I270" i="36"/>
  <c r="J110" i="36"/>
  <c r="M229" i="36"/>
  <c r="N229" i="37" l="1"/>
  <c r="J270" i="37"/>
  <c r="L234" i="37"/>
  <c r="K110" i="37"/>
  <c r="L230" i="37"/>
  <c r="N229" i="36"/>
  <c r="J270" i="36"/>
  <c r="L234" i="36"/>
  <c r="K110" i="36"/>
  <c r="L230" i="36"/>
  <c r="M230" i="37" l="1"/>
  <c r="K270" i="37"/>
  <c r="M234" i="37"/>
  <c r="L110" i="37"/>
  <c r="O229" i="37"/>
  <c r="O229" i="36"/>
  <c r="M230" i="36"/>
  <c r="K270" i="36"/>
  <c r="M234" i="36"/>
  <c r="L110" i="36"/>
  <c r="L270" i="37" l="1"/>
  <c r="N234" i="37"/>
  <c r="M110" i="37"/>
  <c r="P229" i="37"/>
  <c r="N230" i="37"/>
  <c r="L270" i="36"/>
  <c r="N234" i="36"/>
  <c r="M110" i="36"/>
  <c r="N230" i="36"/>
  <c r="P229" i="36"/>
  <c r="O230" i="37" l="1"/>
  <c r="M270" i="37"/>
  <c r="O234" i="37"/>
  <c r="N110" i="37"/>
  <c r="O230" i="36"/>
  <c r="M270" i="36"/>
  <c r="O234" i="36"/>
  <c r="N110" i="36"/>
  <c r="N270" i="37" l="1"/>
  <c r="P234" i="37"/>
  <c r="O270" i="37" s="1"/>
  <c r="O110" i="37"/>
  <c r="P230" i="37"/>
  <c r="N270" i="36"/>
  <c r="P234" i="36"/>
  <c r="O270" i="36" s="1"/>
  <c r="O110" i="36"/>
  <c r="P230" i="36"/>
  <c r="AI110" i="37" l="1"/>
  <c r="AH110" i="37"/>
  <c r="AI110" i="36"/>
  <c r="AH110" i="36"/>
  <c r="S110" i="35" l="1"/>
  <c r="T50" i="35" l="1"/>
  <c r="S50" i="35"/>
  <c r="K50" i="35" l="1"/>
  <c r="L50" i="35"/>
  <c r="K54" i="35"/>
  <c r="L54" i="35"/>
  <c r="K68" i="35"/>
  <c r="L68" i="35"/>
  <c r="K84" i="35"/>
  <c r="K100" i="35" s="1"/>
  <c r="L84" i="35"/>
  <c r="L100" i="35" s="1"/>
  <c r="K110" i="35"/>
  <c r="L110" i="35"/>
  <c r="L89" i="35" l="1"/>
  <c r="L91" i="35" s="1"/>
  <c r="L92" i="35" s="1"/>
  <c r="K89" i="35"/>
  <c r="K91" i="35" s="1"/>
  <c r="K92" i="35" s="1"/>
  <c r="D113" i="35"/>
  <c r="D110" i="35" s="1"/>
  <c r="C113" i="35"/>
  <c r="C110" i="35" s="1"/>
  <c r="C50" i="35"/>
  <c r="C54" i="35"/>
  <c r="C68" i="35"/>
  <c r="C72" i="35"/>
  <c r="B113" i="35"/>
  <c r="B110" i="35"/>
  <c r="B84" i="35"/>
  <c r="B100" i="35" s="1"/>
  <c r="B72" i="35"/>
  <c r="B68" i="35"/>
  <c r="B54" i="35"/>
  <c r="B50" i="35"/>
  <c r="AF274" i="35"/>
  <c r="AE274" i="35"/>
  <c r="AD274" i="35"/>
  <c r="AC274" i="35"/>
  <c r="AB274" i="35"/>
  <c r="AA274" i="35"/>
  <c r="Z274" i="35"/>
  <c r="Y274" i="35"/>
  <c r="X274" i="35"/>
  <c r="W274" i="35"/>
  <c r="V274" i="35"/>
  <c r="U274" i="35"/>
  <c r="T274" i="35"/>
  <c r="S274" i="35"/>
  <c r="R274" i="35"/>
  <c r="Q274" i="35"/>
  <c r="P274" i="35"/>
  <c r="O274" i="35"/>
  <c r="N274" i="35"/>
  <c r="M274" i="35"/>
  <c r="L274" i="35"/>
  <c r="K274" i="35"/>
  <c r="J274" i="35"/>
  <c r="I274" i="35"/>
  <c r="H274" i="35"/>
  <c r="G274" i="35"/>
  <c r="F274" i="35"/>
  <c r="E274" i="35"/>
  <c r="D274" i="35"/>
  <c r="C274" i="35"/>
  <c r="B274" i="35"/>
  <c r="A274" i="35"/>
  <c r="AF273" i="35"/>
  <c r="AE273" i="35"/>
  <c r="AD273" i="35"/>
  <c r="AC273" i="35"/>
  <c r="AB273" i="35"/>
  <c r="AA273" i="35"/>
  <c r="Z273" i="35"/>
  <c r="Y273" i="35"/>
  <c r="X273" i="35"/>
  <c r="W273" i="35"/>
  <c r="V273" i="35"/>
  <c r="U273" i="35"/>
  <c r="T273" i="35"/>
  <c r="S273" i="35"/>
  <c r="R273" i="35"/>
  <c r="Q273" i="35"/>
  <c r="P273" i="35"/>
  <c r="O273" i="35"/>
  <c r="N273" i="35"/>
  <c r="M273" i="35"/>
  <c r="L273" i="35"/>
  <c r="K273" i="35"/>
  <c r="J273" i="35"/>
  <c r="I273" i="35"/>
  <c r="H273" i="35"/>
  <c r="G273" i="35"/>
  <c r="F273" i="35"/>
  <c r="E273" i="35"/>
  <c r="D273" i="35"/>
  <c r="C273" i="35"/>
  <c r="B273" i="35"/>
  <c r="A273" i="35"/>
  <c r="AF272" i="35"/>
  <c r="AE272" i="35"/>
  <c r="AD272" i="35"/>
  <c r="AC272" i="35"/>
  <c r="AB272" i="35"/>
  <c r="AA272" i="35"/>
  <c r="Z272" i="35"/>
  <c r="Y272" i="35"/>
  <c r="X272" i="35"/>
  <c r="W272" i="35"/>
  <c r="V272" i="35"/>
  <c r="U272" i="35"/>
  <c r="T272" i="35"/>
  <c r="S272" i="35"/>
  <c r="R272" i="35"/>
  <c r="Q272" i="35"/>
  <c r="P272" i="35"/>
  <c r="O272" i="35"/>
  <c r="N272" i="35"/>
  <c r="M272" i="35"/>
  <c r="L272" i="35"/>
  <c r="K272" i="35"/>
  <c r="J272" i="35"/>
  <c r="I272" i="35"/>
  <c r="H272" i="35"/>
  <c r="G272" i="35"/>
  <c r="F272" i="35"/>
  <c r="E272" i="35"/>
  <c r="D272" i="35"/>
  <c r="C272" i="35"/>
  <c r="B272" i="35"/>
  <c r="A272" i="35"/>
  <c r="AF271" i="35"/>
  <c r="AE271" i="35"/>
  <c r="AD271" i="35"/>
  <c r="AC271" i="35"/>
  <c r="AB271" i="35"/>
  <c r="AA271" i="35"/>
  <c r="Z271" i="35"/>
  <c r="Y271" i="35"/>
  <c r="X271" i="35"/>
  <c r="W271" i="35"/>
  <c r="V271" i="35"/>
  <c r="U271" i="35"/>
  <c r="T271" i="35"/>
  <c r="S271" i="35"/>
  <c r="R271" i="35"/>
  <c r="Q271" i="35"/>
  <c r="P271" i="35"/>
  <c r="O271" i="35"/>
  <c r="N271" i="35"/>
  <c r="M271" i="35"/>
  <c r="L271" i="35"/>
  <c r="K271" i="35"/>
  <c r="J271" i="35"/>
  <c r="I271" i="35"/>
  <c r="H271" i="35"/>
  <c r="G271" i="35"/>
  <c r="F271" i="35"/>
  <c r="E271" i="35"/>
  <c r="D271" i="35"/>
  <c r="C271" i="35"/>
  <c r="B271" i="35"/>
  <c r="A271" i="35"/>
  <c r="AE270" i="35"/>
  <c r="AD270" i="35"/>
  <c r="AC270" i="35"/>
  <c r="AB270" i="35"/>
  <c r="AA270" i="35"/>
  <c r="Z270" i="35"/>
  <c r="Y270" i="35"/>
  <c r="X270" i="35"/>
  <c r="W270" i="35"/>
  <c r="V270" i="35"/>
  <c r="U270" i="35"/>
  <c r="T270" i="35"/>
  <c r="S270" i="35"/>
  <c r="R270" i="35"/>
  <c r="Q270" i="35"/>
  <c r="P270" i="35"/>
  <c r="B270" i="35"/>
  <c r="S245" i="35"/>
  <c r="AG235" i="35"/>
  <c r="AF235" i="35"/>
  <c r="AE235" i="35"/>
  <c r="AD235" i="35"/>
  <c r="AC235" i="35"/>
  <c r="AB235" i="35"/>
  <c r="AA235" i="35"/>
  <c r="Z235" i="35"/>
  <c r="Y235" i="35"/>
  <c r="X235" i="35"/>
  <c r="W235" i="35"/>
  <c r="V235" i="35"/>
  <c r="U235" i="35"/>
  <c r="T235" i="35"/>
  <c r="S235" i="35"/>
  <c r="R235" i="35"/>
  <c r="Q235" i="35"/>
  <c r="C235" i="35"/>
  <c r="D234" i="35"/>
  <c r="C270" i="35" s="1"/>
  <c r="B234" i="35"/>
  <c r="AF270" i="35" s="1"/>
  <c r="D233" i="35"/>
  <c r="E233" i="35" s="1"/>
  <c r="F233" i="35" s="1"/>
  <c r="G233" i="35" s="1"/>
  <c r="H233" i="35" s="1"/>
  <c r="I233" i="35" s="1"/>
  <c r="J233" i="35" s="1"/>
  <c r="K233" i="35" s="1"/>
  <c r="L233" i="35" s="1"/>
  <c r="M233" i="35" s="1"/>
  <c r="N233" i="35" s="1"/>
  <c r="O233" i="35" s="1"/>
  <c r="P233" i="35" s="1"/>
  <c r="B233" i="35"/>
  <c r="D232" i="35"/>
  <c r="E232" i="35" s="1"/>
  <c r="F232" i="35" s="1"/>
  <c r="G232" i="35" s="1"/>
  <c r="H232" i="35" s="1"/>
  <c r="I232" i="35" s="1"/>
  <c r="B232" i="35"/>
  <c r="F231" i="35"/>
  <c r="G231" i="35" s="1"/>
  <c r="H231" i="35" s="1"/>
  <c r="E231" i="35"/>
  <c r="D231" i="35"/>
  <c r="B231" i="35"/>
  <c r="D230" i="35"/>
  <c r="D235" i="35" s="1"/>
  <c r="B230" i="35"/>
  <c r="E229" i="35"/>
  <c r="F229" i="35" s="1"/>
  <c r="D229" i="35"/>
  <c r="B229" i="35"/>
  <c r="B235" i="35" s="1"/>
  <c r="AG227" i="35"/>
  <c r="AF227" i="35"/>
  <c r="AE227" i="35"/>
  <c r="AD227" i="35"/>
  <c r="AC227" i="35"/>
  <c r="AB227" i="35"/>
  <c r="AA227" i="35"/>
  <c r="Z227" i="35"/>
  <c r="Y227" i="35"/>
  <c r="X227" i="35"/>
  <c r="W227" i="35"/>
  <c r="V227" i="35"/>
  <c r="U227" i="35"/>
  <c r="T227" i="35"/>
  <c r="S227" i="35"/>
  <c r="R227" i="35"/>
  <c r="Q227" i="35"/>
  <c r="P227" i="35"/>
  <c r="O227" i="35"/>
  <c r="N227" i="35"/>
  <c r="M227" i="35"/>
  <c r="L227" i="35"/>
  <c r="K227" i="35"/>
  <c r="J227" i="35"/>
  <c r="I227" i="35"/>
  <c r="H227" i="35"/>
  <c r="G227" i="35"/>
  <c r="F227" i="35"/>
  <c r="E227" i="35"/>
  <c r="D227" i="35"/>
  <c r="C227" i="35"/>
  <c r="B227" i="35"/>
  <c r="AI120" i="35"/>
  <c r="AH120" i="35"/>
  <c r="AI119" i="35"/>
  <c r="AH119" i="35"/>
  <c r="AI118" i="35"/>
  <c r="AH118" i="35"/>
  <c r="AI117" i="35"/>
  <c r="AH117" i="35"/>
  <c r="AI116" i="35"/>
  <c r="AH116" i="35"/>
  <c r="AI115" i="35"/>
  <c r="AH115" i="35"/>
  <c r="AI114" i="35"/>
  <c r="AH114" i="35"/>
  <c r="AI113" i="35"/>
  <c r="AI112" i="35"/>
  <c r="AH112" i="35"/>
  <c r="AI111" i="35"/>
  <c r="AH111" i="35"/>
  <c r="AF110" i="35"/>
  <c r="AE110" i="35"/>
  <c r="AC110" i="35"/>
  <c r="AA110" i="35"/>
  <c r="Z110" i="35"/>
  <c r="Y110" i="35"/>
  <c r="V110" i="35"/>
  <c r="U110" i="35"/>
  <c r="T110" i="35"/>
  <c r="R110" i="35"/>
  <c r="Q110" i="35"/>
  <c r="AI109" i="35"/>
  <c r="AH109" i="35"/>
  <c r="AI108" i="35"/>
  <c r="AH108" i="35"/>
  <c r="AI107" i="35"/>
  <c r="AH107" i="35"/>
  <c r="AI106" i="35"/>
  <c r="AH106" i="35"/>
  <c r="AI105" i="35"/>
  <c r="AH105" i="35"/>
  <c r="AI104" i="35"/>
  <c r="AH104" i="35"/>
  <c r="AI103" i="35"/>
  <c r="AH103" i="35"/>
  <c r="AI102" i="35"/>
  <c r="AH102" i="35"/>
  <c r="AI101" i="35"/>
  <c r="AH101" i="35"/>
  <c r="AI99" i="35"/>
  <c r="AH99" i="35"/>
  <c r="AI98" i="35"/>
  <c r="AH98" i="35"/>
  <c r="AI97" i="35"/>
  <c r="AH97" i="35"/>
  <c r="AI96" i="35"/>
  <c r="AH96" i="35"/>
  <c r="AI95" i="35"/>
  <c r="AH95" i="35"/>
  <c r="AI94" i="35"/>
  <c r="AH94" i="35"/>
  <c r="AI93" i="35"/>
  <c r="AH93" i="35"/>
  <c r="AI90" i="35"/>
  <c r="AH90" i="35"/>
  <c r="AI88" i="35"/>
  <c r="AH88" i="35"/>
  <c r="AG88" i="35"/>
  <c r="AG91" i="35" s="1"/>
  <c r="AI87" i="35"/>
  <c r="AH87" i="35"/>
  <c r="AI86" i="35"/>
  <c r="AH86" i="35"/>
  <c r="AI85" i="35"/>
  <c r="AH85" i="35"/>
  <c r="AN84" i="35"/>
  <c r="AG84" i="35"/>
  <c r="AF84" i="35"/>
  <c r="AF100" i="35" s="1"/>
  <c r="AE84" i="35"/>
  <c r="AE100" i="35" s="1"/>
  <c r="AD84" i="35"/>
  <c r="AD100" i="35" s="1"/>
  <c r="AC84" i="35"/>
  <c r="AB5" i="35" s="1"/>
  <c r="AA84" i="35"/>
  <c r="AA100" i="35" s="1"/>
  <c r="Z84" i="35"/>
  <c r="Y5" i="35" s="1"/>
  <c r="Y84" i="35"/>
  <c r="Y100" i="35" s="1"/>
  <c r="V84" i="35"/>
  <c r="V100" i="35" s="1"/>
  <c r="U84" i="35"/>
  <c r="T5" i="35" s="1"/>
  <c r="T84" i="35"/>
  <c r="T100" i="35" s="1"/>
  <c r="S84" i="35"/>
  <c r="S100" i="35" s="1"/>
  <c r="R84" i="35"/>
  <c r="R100" i="35" s="1"/>
  <c r="Q84" i="35"/>
  <c r="P5" i="35" s="1"/>
  <c r="P84" i="35"/>
  <c r="P100" i="35" s="1"/>
  <c r="O84" i="35"/>
  <c r="N5" i="35" s="1"/>
  <c r="N84" i="35"/>
  <c r="N100" i="35" s="1"/>
  <c r="M84" i="35"/>
  <c r="L5" i="35" s="1"/>
  <c r="J84" i="35"/>
  <c r="J100" i="35" s="1"/>
  <c r="I84" i="35"/>
  <c r="I100" i="35" s="1"/>
  <c r="H84" i="35"/>
  <c r="H100" i="35" s="1"/>
  <c r="G84" i="35"/>
  <c r="F5" i="35" s="1"/>
  <c r="F84" i="35"/>
  <c r="E5" i="35" s="1"/>
  <c r="E84" i="35"/>
  <c r="D5" i="35" s="1"/>
  <c r="D84" i="35"/>
  <c r="D100" i="35" s="1"/>
  <c r="C84" i="35"/>
  <c r="C100" i="35" s="1"/>
  <c r="AI83" i="35"/>
  <c r="AH83" i="35"/>
  <c r="AN82" i="35"/>
  <c r="AI82" i="35"/>
  <c r="AH82" i="35"/>
  <c r="AN81" i="35"/>
  <c r="AN83" i="35" s="1"/>
  <c r="AI81" i="35"/>
  <c r="AH81" i="35"/>
  <c r="AI80" i="35"/>
  <c r="AH80" i="35"/>
  <c r="AI79" i="35"/>
  <c r="AH79" i="35"/>
  <c r="AI78" i="35"/>
  <c r="AH78" i="35"/>
  <c r="AI77" i="35"/>
  <c r="AH77" i="35"/>
  <c r="AI76" i="35"/>
  <c r="AH76" i="35"/>
  <c r="AI75" i="35"/>
  <c r="AH75" i="35"/>
  <c r="AI74" i="35"/>
  <c r="AH74" i="35"/>
  <c r="AI73" i="35"/>
  <c r="AH73" i="35"/>
  <c r="AG72" i="35"/>
  <c r="AD72" i="35"/>
  <c r="AC72" i="35"/>
  <c r="AA72" i="35"/>
  <c r="Z72" i="35"/>
  <c r="Y72" i="35"/>
  <c r="U72" i="35"/>
  <c r="T72" i="35"/>
  <c r="S72" i="35"/>
  <c r="R72" i="35"/>
  <c r="Q72" i="35"/>
  <c r="P72" i="35"/>
  <c r="O72" i="35"/>
  <c r="N72" i="35"/>
  <c r="M72" i="35"/>
  <c r="AI71" i="35"/>
  <c r="AH71" i="35"/>
  <c r="AI70" i="35"/>
  <c r="AH70" i="35"/>
  <c r="AI69" i="35"/>
  <c r="AH69" i="35"/>
  <c r="AG68" i="35"/>
  <c r="AG3" i="35" s="1"/>
  <c r="AD68" i="35"/>
  <c r="AC68" i="35"/>
  <c r="AA68" i="35"/>
  <c r="Z68" i="35"/>
  <c r="Y68" i="35"/>
  <c r="V68" i="35"/>
  <c r="U68" i="35"/>
  <c r="T68" i="35"/>
  <c r="S68" i="35"/>
  <c r="R68" i="35"/>
  <c r="Q68" i="35"/>
  <c r="P68" i="35"/>
  <c r="O68" i="35"/>
  <c r="N68" i="35"/>
  <c r="M68" i="35"/>
  <c r="J68" i="35"/>
  <c r="I68" i="35"/>
  <c r="H68" i="35"/>
  <c r="G68" i="35"/>
  <c r="F68" i="35"/>
  <c r="E68" i="35"/>
  <c r="D68" i="35"/>
  <c r="AI67" i="35"/>
  <c r="AH67" i="35"/>
  <c r="AG67" i="35"/>
  <c r="AI66" i="35"/>
  <c r="AH66" i="35"/>
  <c r="AI65" i="35"/>
  <c r="AH65" i="35"/>
  <c r="AI64" i="35"/>
  <c r="AH64" i="35"/>
  <c r="AI63" i="35"/>
  <c r="AH63" i="35"/>
  <c r="AI62" i="35"/>
  <c r="AH62" i="35"/>
  <c r="AI61" i="35"/>
  <c r="AH61" i="35"/>
  <c r="AI60" i="35"/>
  <c r="AH60" i="35"/>
  <c r="AI59" i="35"/>
  <c r="AH59" i="35"/>
  <c r="AI58" i="35"/>
  <c r="AH58" i="35"/>
  <c r="AI57" i="35"/>
  <c r="AH57" i="35"/>
  <c r="AI56" i="35"/>
  <c r="AH56" i="35"/>
  <c r="AI55" i="35"/>
  <c r="AH55" i="35"/>
  <c r="AG54" i="35"/>
  <c r="AD54" i="35"/>
  <c r="AC54" i="35"/>
  <c r="AA54" i="35"/>
  <c r="Z54" i="35"/>
  <c r="Y54" i="35"/>
  <c r="V54" i="35"/>
  <c r="U54" i="35"/>
  <c r="T54" i="35"/>
  <c r="S54" i="35"/>
  <c r="R54" i="35"/>
  <c r="Q54" i="35"/>
  <c r="P54" i="35"/>
  <c r="O54" i="35"/>
  <c r="N54" i="35"/>
  <c r="M54" i="35"/>
  <c r="J54" i="35"/>
  <c r="I54" i="35"/>
  <c r="H54" i="35"/>
  <c r="G54" i="35"/>
  <c r="F54" i="35"/>
  <c r="E54" i="35"/>
  <c r="D54" i="35"/>
  <c r="AI53" i="35"/>
  <c r="AH53" i="35"/>
  <c r="AI52" i="35"/>
  <c r="AH52" i="35"/>
  <c r="AI51" i="35"/>
  <c r="AH51" i="35"/>
  <c r="AG50" i="35"/>
  <c r="AG89" i="35" s="1"/>
  <c r="AD50" i="35"/>
  <c r="AC50" i="35"/>
  <c r="Z50" i="35"/>
  <c r="Y50" i="35"/>
  <c r="V50" i="35"/>
  <c r="U50" i="35"/>
  <c r="R50" i="35"/>
  <c r="Q50" i="35"/>
  <c r="P50" i="35"/>
  <c r="O50" i="35"/>
  <c r="N50" i="35"/>
  <c r="M50" i="35"/>
  <c r="J50" i="35"/>
  <c r="I50" i="35"/>
  <c r="H50" i="35"/>
  <c r="G50" i="35"/>
  <c r="F50" i="35"/>
  <c r="E50" i="35"/>
  <c r="D50" i="35"/>
  <c r="AI49" i="35"/>
  <c r="AH49" i="35"/>
  <c r="AI48" i="35"/>
  <c r="AH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I38" i="35"/>
  <c r="AH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AF5" i="35"/>
  <c r="AA5" i="35"/>
  <c r="V5" i="35"/>
  <c r="AG4" i="35"/>
  <c r="K4" i="35"/>
  <c r="E4" i="35"/>
  <c r="H4" i="35" s="1"/>
  <c r="B4" i="35"/>
  <c r="S246" i="35" s="1"/>
  <c r="AF113" i="34"/>
  <c r="AF50" i="34"/>
  <c r="AE113" i="34"/>
  <c r="AE50" i="34"/>
  <c r="AE54" i="34"/>
  <c r="AE68" i="34"/>
  <c r="AE72" i="34"/>
  <c r="AE84" i="34"/>
  <c r="AE100" i="34" s="1"/>
  <c r="AD113" i="34"/>
  <c r="AD50" i="34"/>
  <c r="AD54" i="34"/>
  <c r="AD68" i="34"/>
  <c r="AD72" i="34"/>
  <c r="AD84" i="34"/>
  <c r="AD100" i="34" s="1"/>
  <c r="AC113" i="34"/>
  <c r="AC50" i="34"/>
  <c r="AB113" i="34"/>
  <c r="AB110" i="34" s="1"/>
  <c r="AB50" i="34"/>
  <c r="AB54" i="34"/>
  <c r="AB68" i="34"/>
  <c r="AB72" i="34"/>
  <c r="AB84" i="34"/>
  <c r="AB100" i="34" s="1"/>
  <c r="AA72" i="34"/>
  <c r="AD5" i="35" l="1"/>
  <c r="AE89" i="35"/>
  <c r="AE91" i="35" s="1"/>
  <c r="AW249" i="35" s="1"/>
  <c r="AF89" i="35"/>
  <c r="AF91" i="35" s="1"/>
  <c r="AF7" i="35" s="1"/>
  <c r="AC5" i="35"/>
  <c r="AD89" i="35"/>
  <c r="AD91" i="35" s="1"/>
  <c r="AV249" i="35" s="1"/>
  <c r="AC100" i="35"/>
  <c r="AI100" i="35" s="1"/>
  <c r="AC89" i="35"/>
  <c r="AC91" i="35" s="1"/>
  <c r="AC92" i="35" s="1"/>
  <c r="AA89" i="35"/>
  <c r="AA91" i="35" s="1"/>
  <c r="AS249" i="35" s="1"/>
  <c r="Z100" i="35"/>
  <c r="Z89" i="35"/>
  <c r="Z91" i="35" s="1"/>
  <c r="AR249" i="35" s="1"/>
  <c r="X5" i="35"/>
  <c r="Y89" i="35"/>
  <c r="Y91" i="35" s="1"/>
  <c r="Y7" i="35" s="1"/>
  <c r="V89" i="35"/>
  <c r="V91" i="35" s="1"/>
  <c r="V7" i="35" s="1"/>
  <c r="U5" i="35"/>
  <c r="U100" i="35"/>
  <c r="U89" i="35"/>
  <c r="U91" i="35" s="1"/>
  <c r="U92" i="35" s="1"/>
  <c r="S5" i="35"/>
  <c r="T89" i="35"/>
  <c r="T91" i="35" s="1"/>
  <c r="AL249" i="35" s="1"/>
  <c r="S89" i="35"/>
  <c r="S91" i="35" s="1"/>
  <c r="S7" i="35" s="1"/>
  <c r="Q5" i="35"/>
  <c r="Q100" i="35"/>
  <c r="R89" i="35"/>
  <c r="R91" i="35" s="1"/>
  <c r="AJ249" i="35" s="1"/>
  <c r="AH72" i="35"/>
  <c r="Q89" i="35"/>
  <c r="Q91" i="35" s="1"/>
  <c r="Q92" i="35" s="1"/>
  <c r="O89" i="35"/>
  <c r="O91" i="35" s="1"/>
  <c r="O92" i="35" s="1"/>
  <c r="O100" i="35"/>
  <c r="P89" i="35"/>
  <c r="P91" i="35" s="1"/>
  <c r="AH249" i="35" s="1"/>
  <c r="M5" i="35"/>
  <c r="N89" i="35"/>
  <c r="N91" i="35" s="1"/>
  <c r="N7" i="35" s="1"/>
  <c r="M100" i="35"/>
  <c r="M89" i="35"/>
  <c r="M91" i="35" s="1"/>
  <c r="M7" i="35" s="1"/>
  <c r="J89" i="35"/>
  <c r="J91" i="35" s="1"/>
  <c r="AB249" i="35" s="1"/>
  <c r="I5" i="35"/>
  <c r="H5" i="35"/>
  <c r="I89" i="35"/>
  <c r="I91" i="35" s="1"/>
  <c r="I92" i="35" s="1"/>
  <c r="H89" i="35"/>
  <c r="H91" i="35" s="1"/>
  <c r="H7" i="35" s="1"/>
  <c r="AI54" i="35"/>
  <c r="G100" i="35"/>
  <c r="G89" i="35"/>
  <c r="G91" i="35" s="1"/>
  <c r="G7" i="35" s="1"/>
  <c r="F89" i="35"/>
  <c r="F91" i="35" s="1"/>
  <c r="F92" i="35" s="1"/>
  <c r="F100" i="35"/>
  <c r="E100" i="35"/>
  <c r="E89" i="35"/>
  <c r="E91" i="35" s="1"/>
  <c r="E92" i="35" s="1"/>
  <c r="AI68" i="35"/>
  <c r="D89" i="35"/>
  <c r="D91" i="35" s="1"/>
  <c r="V249" i="35" s="1"/>
  <c r="AH113" i="35"/>
  <c r="AH84" i="35"/>
  <c r="C89" i="35"/>
  <c r="C91" i="35" s="1"/>
  <c r="C92" i="35" s="1"/>
  <c r="B89" i="35"/>
  <c r="B91" i="35" s="1"/>
  <c r="B92" i="35" s="1"/>
  <c r="D246" i="35"/>
  <c r="AB7" i="35"/>
  <c r="AT249" i="35"/>
  <c r="F7" i="35"/>
  <c r="AF249" i="35"/>
  <c r="N92" i="35"/>
  <c r="Y249" i="35"/>
  <c r="AO249" i="35"/>
  <c r="W7" i="35"/>
  <c r="I7" i="35"/>
  <c r="X7" i="35"/>
  <c r="AP249" i="35"/>
  <c r="D92" i="35"/>
  <c r="K7" i="35"/>
  <c r="AC249" i="35"/>
  <c r="L7" i="35"/>
  <c r="AD249" i="35"/>
  <c r="G229" i="35"/>
  <c r="J232" i="35"/>
  <c r="K232" i="35" s="1"/>
  <c r="L232" i="35" s="1"/>
  <c r="M232" i="35" s="1"/>
  <c r="N232" i="35" s="1"/>
  <c r="O232" i="35" s="1"/>
  <c r="P232" i="35" s="1"/>
  <c r="AH68" i="35"/>
  <c r="AI72" i="35"/>
  <c r="G5" i="35"/>
  <c r="O5" i="35"/>
  <c r="W5" i="35"/>
  <c r="AE5" i="35"/>
  <c r="E230" i="35"/>
  <c r="E234" i="35"/>
  <c r="E110" i="35" s="1"/>
  <c r="AH50" i="35"/>
  <c r="AH54" i="35"/>
  <c r="AI84" i="35"/>
  <c r="B5" i="35"/>
  <c r="J5" i="35"/>
  <c r="R5" i="35"/>
  <c r="Z5" i="35"/>
  <c r="AI50" i="35"/>
  <c r="AG2" i="35"/>
  <c r="AG6" i="35" s="1"/>
  <c r="C5" i="35"/>
  <c r="K5" i="35"/>
  <c r="AE89" i="34"/>
  <c r="AE91" i="34" s="1"/>
  <c r="AE92" i="34" s="1"/>
  <c r="AD89" i="34"/>
  <c r="AD91" i="34" s="1"/>
  <c r="AD92" i="34" s="1"/>
  <c r="AB89" i="34"/>
  <c r="AB91" i="34" s="1"/>
  <c r="AB92" i="34" s="1"/>
  <c r="AE92" i="35" l="1"/>
  <c r="AE7" i="35"/>
  <c r="AX249" i="35"/>
  <c r="AF92" i="35"/>
  <c r="AD7" i="35"/>
  <c r="AD92" i="35"/>
  <c r="AC7" i="35"/>
  <c r="AU249" i="35"/>
  <c r="AA7" i="35"/>
  <c r="AA92" i="35"/>
  <c r="Z7" i="35"/>
  <c r="Z249" i="35"/>
  <c r="H92" i="35"/>
  <c r="J7" i="35"/>
  <c r="AA249" i="35"/>
  <c r="X249" i="35"/>
  <c r="Z92" i="35"/>
  <c r="AQ249" i="35"/>
  <c r="Y92" i="35"/>
  <c r="V92" i="35"/>
  <c r="AN249" i="35"/>
  <c r="AI249" i="35"/>
  <c r="U7" i="35"/>
  <c r="AM249" i="35"/>
  <c r="T92" i="35"/>
  <c r="T7" i="35"/>
  <c r="AK249" i="35"/>
  <c r="S92" i="35"/>
  <c r="R7" i="35"/>
  <c r="R92" i="35"/>
  <c r="Q7" i="35"/>
  <c r="M92" i="35"/>
  <c r="AG249" i="35"/>
  <c r="O7" i="35"/>
  <c r="P7" i="35"/>
  <c r="P92" i="35"/>
  <c r="AH100" i="35"/>
  <c r="AE249" i="35"/>
  <c r="J92" i="35"/>
  <c r="C244" i="35"/>
  <c r="B244" i="35"/>
  <c r="G92" i="35"/>
  <c r="E7" i="35"/>
  <c r="W249" i="35"/>
  <c r="D7" i="35"/>
  <c r="C7" i="35"/>
  <c r="AH89" i="35"/>
  <c r="U249" i="35"/>
  <c r="AI89" i="35"/>
  <c r="F230" i="35"/>
  <c r="E235" i="35"/>
  <c r="H229" i="35"/>
  <c r="D270" i="35"/>
  <c r="F234" i="35"/>
  <c r="B7" i="35"/>
  <c r="AI91" i="35"/>
  <c r="T249" i="35"/>
  <c r="AH91" i="35"/>
  <c r="K6" i="35" l="1"/>
  <c r="A7" i="35"/>
  <c r="I229" i="35"/>
  <c r="AI92" i="35"/>
  <c r="AH92" i="35"/>
  <c r="G230" i="35"/>
  <c r="F235" i="35"/>
  <c r="E270" i="35"/>
  <c r="G234" i="35"/>
  <c r="F110" i="35"/>
  <c r="H230" i="35" l="1"/>
  <c r="G235" i="35"/>
  <c r="F270" i="35"/>
  <c r="H234" i="35"/>
  <c r="G110" i="35"/>
  <c r="J229" i="35"/>
  <c r="G270" i="35" l="1"/>
  <c r="I234" i="35"/>
  <c r="H110" i="35"/>
  <c r="K229" i="35"/>
  <c r="I230" i="35"/>
  <c r="H235" i="35"/>
  <c r="L229" i="35" l="1"/>
  <c r="J230" i="35"/>
  <c r="H270" i="35"/>
  <c r="J234" i="35"/>
  <c r="I110" i="35"/>
  <c r="K234" i="35" l="1"/>
  <c r="I270" i="35"/>
  <c r="J110" i="35"/>
  <c r="K230" i="35"/>
  <c r="M229" i="35"/>
  <c r="N229" i="35" l="1"/>
  <c r="L230" i="35"/>
  <c r="J270" i="35"/>
  <c r="L234" i="35"/>
  <c r="K270" i="35" l="1"/>
  <c r="M234" i="35"/>
  <c r="M230" i="35"/>
  <c r="O229" i="35"/>
  <c r="N230" i="35" l="1"/>
  <c r="P229" i="35"/>
  <c r="L270" i="35"/>
  <c r="N234" i="35"/>
  <c r="M110" i="35"/>
  <c r="M270" i="35" l="1"/>
  <c r="O234" i="35"/>
  <c r="N110" i="35"/>
  <c r="O230" i="35"/>
  <c r="P230" i="35" l="1"/>
  <c r="N270" i="35"/>
  <c r="P234" i="35"/>
  <c r="O270" i="35" s="1"/>
  <c r="O110" i="35"/>
  <c r="AI110" i="35" l="1"/>
  <c r="AH110" i="35"/>
  <c r="L113" i="34" l="1"/>
  <c r="K113" i="34"/>
  <c r="J113" i="34"/>
  <c r="I113" i="34"/>
  <c r="H113" i="34"/>
  <c r="F113" i="34"/>
  <c r="G113" i="34"/>
  <c r="E113" i="34"/>
  <c r="AF274" i="34"/>
  <c r="AE274" i="34"/>
  <c r="AD274" i="34"/>
  <c r="AC274" i="34"/>
  <c r="AB274" i="34"/>
  <c r="AA274" i="34"/>
  <c r="Z274" i="34"/>
  <c r="Y274" i="34"/>
  <c r="X274" i="34"/>
  <c r="W274" i="34"/>
  <c r="V274" i="34"/>
  <c r="U274" i="34"/>
  <c r="T274" i="34"/>
  <c r="S274" i="34"/>
  <c r="R274" i="34"/>
  <c r="Q274" i="34"/>
  <c r="P274" i="34"/>
  <c r="O274" i="34"/>
  <c r="N274" i="34"/>
  <c r="M274" i="34"/>
  <c r="L274" i="34"/>
  <c r="K274" i="34"/>
  <c r="J274" i="34"/>
  <c r="I274" i="34"/>
  <c r="H274" i="34"/>
  <c r="G274" i="34"/>
  <c r="F274" i="34"/>
  <c r="E274" i="34"/>
  <c r="D274" i="34"/>
  <c r="C274" i="34"/>
  <c r="B274" i="34"/>
  <c r="A274" i="34"/>
  <c r="AF273" i="34"/>
  <c r="AE273" i="34"/>
  <c r="AD273" i="34"/>
  <c r="AC273" i="34"/>
  <c r="AB273" i="34"/>
  <c r="AA273" i="34"/>
  <c r="Z273" i="34"/>
  <c r="Y273" i="34"/>
  <c r="X273" i="34"/>
  <c r="W273" i="34"/>
  <c r="V273" i="34"/>
  <c r="U273" i="34"/>
  <c r="T273" i="34"/>
  <c r="S273" i="34"/>
  <c r="R273" i="34"/>
  <c r="Q273" i="34"/>
  <c r="P273" i="34"/>
  <c r="O273" i="34"/>
  <c r="N273" i="34"/>
  <c r="M273" i="34"/>
  <c r="L273" i="34"/>
  <c r="K273" i="34"/>
  <c r="J273" i="34"/>
  <c r="I273" i="34"/>
  <c r="H273" i="34"/>
  <c r="G273" i="34"/>
  <c r="F273" i="34"/>
  <c r="E273" i="34"/>
  <c r="D273" i="34"/>
  <c r="C273" i="34"/>
  <c r="B273" i="34"/>
  <c r="A273" i="34"/>
  <c r="AF272" i="34"/>
  <c r="AE272" i="34"/>
  <c r="AD272" i="34"/>
  <c r="AC272" i="34"/>
  <c r="AB272" i="34"/>
  <c r="AA272" i="34"/>
  <c r="Z272" i="34"/>
  <c r="Y272" i="34"/>
  <c r="X272" i="34"/>
  <c r="W272" i="34"/>
  <c r="V272" i="34"/>
  <c r="U272" i="34"/>
  <c r="T272" i="34"/>
  <c r="S272" i="34"/>
  <c r="R272" i="34"/>
  <c r="Q272" i="34"/>
  <c r="P272" i="34"/>
  <c r="O272" i="34"/>
  <c r="N272" i="34"/>
  <c r="M272" i="34"/>
  <c r="L272" i="34"/>
  <c r="K272" i="34"/>
  <c r="J272" i="34"/>
  <c r="I272" i="34"/>
  <c r="H272" i="34"/>
  <c r="G272" i="34"/>
  <c r="F272" i="34"/>
  <c r="E272" i="34"/>
  <c r="D272" i="34"/>
  <c r="C272" i="34"/>
  <c r="B272" i="34"/>
  <c r="A272" i="34"/>
  <c r="AF271" i="34"/>
  <c r="AE271" i="34"/>
  <c r="AD271" i="34"/>
  <c r="AC271" i="34"/>
  <c r="AB271" i="34"/>
  <c r="AA271" i="34"/>
  <c r="Z271" i="34"/>
  <c r="Y271" i="34"/>
  <c r="X271" i="34"/>
  <c r="W271" i="34"/>
  <c r="V271" i="34"/>
  <c r="U271" i="34"/>
  <c r="T271" i="34"/>
  <c r="S271" i="34"/>
  <c r="R271" i="34"/>
  <c r="Q271" i="34"/>
  <c r="P271" i="34"/>
  <c r="O271" i="34"/>
  <c r="N271" i="34"/>
  <c r="M271" i="34"/>
  <c r="L271" i="34"/>
  <c r="K271" i="34"/>
  <c r="J271" i="34"/>
  <c r="I271" i="34"/>
  <c r="H271" i="34"/>
  <c r="G271" i="34"/>
  <c r="F271" i="34"/>
  <c r="E271" i="34"/>
  <c r="D271" i="34"/>
  <c r="C271" i="34"/>
  <c r="B271" i="34"/>
  <c r="A271" i="34"/>
  <c r="AE270" i="34"/>
  <c r="AD270" i="34"/>
  <c r="AC270" i="34"/>
  <c r="AB270" i="34"/>
  <c r="AA270" i="34"/>
  <c r="Z270" i="34"/>
  <c r="Y270" i="34"/>
  <c r="X270" i="34"/>
  <c r="W270" i="34"/>
  <c r="V270" i="34"/>
  <c r="U270" i="34"/>
  <c r="T270" i="34"/>
  <c r="S270" i="34"/>
  <c r="R270" i="34"/>
  <c r="Q270" i="34"/>
  <c r="P270" i="34"/>
  <c r="B270" i="34"/>
  <c r="S245" i="34"/>
  <c r="AG235" i="34"/>
  <c r="AF235" i="34"/>
  <c r="AE235" i="34"/>
  <c r="AD235" i="34"/>
  <c r="AC235" i="34"/>
  <c r="AB235" i="34"/>
  <c r="AA235" i="34"/>
  <c r="Z235" i="34"/>
  <c r="Y235" i="34"/>
  <c r="X235" i="34"/>
  <c r="W235" i="34"/>
  <c r="V235" i="34"/>
  <c r="U235" i="34"/>
  <c r="T235" i="34"/>
  <c r="S235" i="34"/>
  <c r="R235" i="34"/>
  <c r="Q235" i="34"/>
  <c r="C235" i="34"/>
  <c r="D234" i="34"/>
  <c r="D110" i="34" s="1"/>
  <c r="B234" i="34"/>
  <c r="AF270" i="34" s="1"/>
  <c r="D233" i="34"/>
  <c r="E233" i="34" s="1"/>
  <c r="F233" i="34" s="1"/>
  <c r="G233" i="34" s="1"/>
  <c r="H233" i="34" s="1"/>
  <c r="I233" i="34" s="1"/>
  <c r="J233" i="34" s="1"/>
  <c r="K233" i="34" s="1"/>
  <c r="L233" i="34" s="1"/>
  <c r="M233" i="34" s="1"/>
  <c r="N233" i="34" s="1"/>
  <c r="O233" i="34" s="1"/>
  <c r="P233" i="34" s="1"/>
  <c r="B233" i="34"/>
  <c r="D232" i="34"/>
  <c r="E232" i="34" s="1"/>
  <c r="F232" i="34" s="1"/>
  <c r="G232" i="34" s="1"/>
  <c r="H232" i="34" s="1"/>
  <c r="I232" i="34" s="1"/>
  <c r="B232" i="34"/>
  <c r="E231" i="34"/>
  <c r="F231" i="34" s="1"/>
  <c r="G231" i="34" s="1"/>
  <c r="H231" i="34" s="1"/>
  <c r="D231" i="34"/>
  <c r="B231" i="34"/>
  <c r="D230" i="34"/>
  <c r="B230" i="34"/>
  <c r="E229" i="34"/>
  <c r="F229" i="34" s="1"/>
  <c r="D229" i="34"/>
  <c r="B229" i="34"/>
  <c r="AG227" i="34"/>
  <c r="AF227" i="34"/>
  <c r="AE227" i="34"/>
  <c r="AD227" i="34"/>
  <c r="AC227" i="34"/>
  <c r="AB227" i="34"/>
  <c r="AA227" i="34"/>
  <c r="Z227" i="34"/>
  <c r="Y227" i="34"/>
  <c r="X227" i="34"/>
  <c r="W227" i="34"/>
  <c r="V227" i="34"/>
  <c r="U227" i="34"/>
  <c r="T227" i="34"/>
  <c r="S227" i="34"/>
  <c r="R227" i="34"/>
  <c r="Q227" i="34"/>
  <c r="P227" i="34"/>
  <c r="O227" i="34"/>
  <c r="N227" i="34"/>
  <c r="M227" i="34"/>
  <c r="L227" i="34"/>
  <c r="K227" i="34"/>
  <c r="J227" i="34"/>
  <c r="I227" i="34"/>
  <c r="H227" i="34"/>
  <c r="G227" i="34"/>
  <c r="F227" i="34"/>
  <c r="E227" i="34"/>
  <c r="D227" i="34"/>
  <c r="C227" i="34"/>
  <c r="B227" i="34"/>
  <c r="AI120" i="34"/>
  <c r="AH120" i="34"/>
  <c r="AI119" i="34"/>
  <c r="AH119" i="34"/>
  <c r="AI118" i="34"/>
  <c r="AH118" i="34"/>
  <c r="AI117" i="34"/>
  <c r="AH117" i="34"/>
  <c r="AI116" i="34"/>
  <c r="AH116" i="34"/>
  <c r="AI115" i="34"/>
  <c r="AH115" i="34"/>
  <c r="AI114" i="34"/>
  <c r="AH114" i="34"/>
  <c r="AI112" i="34"/>
  <c r="AH112" i="34"/>
  <c r="AI111" i="34"/>
  <c r="AH111" i="34"/>
  <c r="AF110" i="34"/>
  <c r="AE110" i="34"/>
  <c r="AC110" i="34"/>
  <c r="AA110" i="34"/>
  <c r="Z110" i="34"/>
  <c r="Y110" i="34"/>
  <c r="X110" i="34"/>
  <c r="W110" i="34"/>
  <c r="V110" i="34"/>
  <c r="U110" i="34"/>
  <c r="T110" i="34"/>
  <c r="S110" i="34"/>
  <c r="R110" i="34"/>
  <c r="Q110" i="34"/>
  <c r="C110" i="34"/>
  <c r="AI109" i="34"/>
  <c r="AH109" i="34"/>
  <c r="AI108" i="34"/>
  <c r="AH108" i="34"/>
  <c r="AI107" i="34"/>
  <c r="AH107" i="34"/>
  <c r="AI106" i="34"/>
  <c r="AH106" i="34"/>
  <c r="AI105" i="34"/>
  <c r="AH105" i="34"/>
  <c r="AI104" i="34"/>
  <c r="AH104" i="34"/>
  <c r="AI103" i="34"/>
  <c r="AH103" i="34"/>
  <c r="AI102" i="34"/>
  <c r="AH102" i="34"/>
  <c r="AI101" i="34"/>
  <c r="AH101" i="34"/>
  <c r="AI99" i="34"/>
  <c r="AH99" i="34"/>
  <c r="AI98" i="34"/>
  <c r="AH98" i="34"/>
  <c r="AI97" i="34"/>
  <c r="AH97" i="34"/>
  <c r="AI96" i="34"/>
  <c r="AH96" i="34"/>
  <c r="AI95" i="34"/>
  <c r="AH95" i="34"/>
  <c r="AI94" i="34"/>
  <c r="AH94" i="34"/>
  <c r="AI93" i="34"/>
  <c r="AH93" i="34"/>
  <c r="AI90" i="34"/>
  <c r="AH90" i="34"/>
  <c r="AI88" i="34"/>
  <c r="AH88" i="34"/>
  <c r="AG88" i="34"/>
  <c r="AI87" i="34"/>
  <c r="AH87" i="34"/>
  <c r="AI86" i="34"/>
  <c r="AH86" i="34"/>
  <c r="AI85" i="34"/>
  <c r="AH85" i="34"/>
  <c r="AN84" i="34"/>
  <c r="AG84" i="34"/>
  <c r="AF84" i="34"/>
  <c r="AC84" i="34"/>
  <c r="AC100" i="34" s="1"/>
  <c r="AA84" i="34"/>
  <c r="AA100" i="34" s="1"/>
  <c r="Z84" i="34"/>
  <c r="Z100" i="34" s="1"/>
  <c r="Y84" i="34"/>
  <c r="Y100" i="34" s="1"/>
  <c r="X84" i="34"/>
  <c r="W84" i="34"/>
  <c r="W100" i="34" s="1"/>
  <c r="V84" i="34"/>
  <c r="V100" i="34" s="1"/>
  <c r="U84" i="34"/>
  <c r="U100" i="34" s="1"/>
  <c r="T84" i="34"/>
  <c r="T100" i="34" s="1"/>
  <c r="S84" i="34"/>
  <c r="R5" i="34" s="1"/>
  <c r="R84" i="34"/>
  <c r="Q5" i="34" s="1"/>
  <c r="Q84" i="34"/>
  <c r="Q100" i="34" s="1"/>
  <c r="P84" i="34"/>
  <c r="P100" i="34" s="1"/>
  <c r="O84" i="34"/>
  <c r="O100" i="34" s="1"/>
  <c r="N84" i="34"/>
  <c r="M5" i="34" s="1"/>
  <c r="M84" i="34"/>
  <c r="M100" i="34" s="1"/>
  <c r="L84" i="34"/>
  <c r="L100" i="34" s="1"/>
  <c r="K84" i="34"/>
  <c r="J5" i="34" s="1"/>
  <c r="J84" i="34"/>
  <c r="J100" i="34" s="1"/>
  <c r="I84" i="34"/>
  <c r="I100" i="34" s="1"/>
  <c r="H84" i="34"/>
  <c r="H100" i="34" s="1"/>
  <c r="G84" i="34"/>
  <c r="G100" i="34" s="1"/>
  <c r="F84" i="34"/>
  <c r="F100" i="34" s="1"/>
  <c r="E84" i="34"/>
  <c r="E100" i="34" s="1"/>
  <c r="D84" i="34"/>
  <c r="C5" i="34" s="1"/>
  <c r="C84" i="34"/>
  <c r="B5" i="34" s="1"/>
  <c r="AI83" i="34"/>
  <c r="AH83" i="34"/>
  <c r="AN82" i="34"/>
  <c r="AI82" i="34"/>
  <c r="AH82" i="34"/>
  <c r="AN81" i="34"/>
  <c r="AN83" i="34" s="1"/>
  <c r="AI81" i="34"/>
  <c r="AH81" i="34"/>
  <c r="AI80" i="34"/>
  <c r="AH80" i="34"/>
  <c r="AI79" i="34"/>
  <c r="AH79" i="34"/>
  <c r="AI78" i="34"/>
  <c r="AH78" i="34"/>
  <c r="AI77" i="34"/>
  <c r="AH77" i="34"/>
  <c r="AI76" i="34"/>
  <c r="AH76" i="34"/>
  <c r="AI75" i="34"/>
  <c r="AH75" i="34"/>
  <c r="AI74" i="34"/>
  <c r="AH74" i="34"/>
  <c r="AI73" i="34"/>
  <c r="AH73" i="34"/>
  <c r="AG72" i="34"/>
  <c r="AF72" i="34"/>
  <c r="AC72" i="34"/>
  <c r="Z72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AI71" i="34"/>
  <c r="AH71" i="34"/>
  <c r="AI70" i="34"/>
  <c r="AH70" i="34"/>
  <c r="AI69" i="34"/>
  <c r="AH69" i="34"/>
  <c r="AF68" i="34"/>
  <c r="AC68" i="34"/>
  <c r="AA68" i="34"/>
  <c r="Z68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AI67" i="34"/>
  <c r="AH67" i="34"/>
  <c r="AG67" i="34"/>
  <c r="AG68" i="34" s="1"/>
  <c r="AI66" i="34"/>
  <c r="AH66" i="34"/>
  <c r="AI65" i="34"/>
  <c r="AH65" i="34"/>
  <c r="AI64" i="34"/>
  <c r="AH64" i="34"/>
  <c r="AI63" i="34"/>
  <c r="AH63" i="34"/>
  <c r="AI62" i="34"/>
  <c r="AH62" i="34"/>
  <c r="AI61" i="34"/>
  <c r="AH61" i="34"/>
  <c r="AI60" i="34"/>
  <c r="AH60" i="34"/>
  <c r="AI59" i="34"/>
  <c r="AH59" i="34"/>
  <c r="AI58" i="34"/>
  <c r="AH58" i="34"/>
  <c r="AI57" i="34"/>
  <c r="AH57" i="34"/>
  <c r="AI56" i="34"/>
  <c r="AH56" i="34"/>
  <c r="AI55" i="34"/>
  <c r="AH55" i="34"/>
  <c r="AG54" i="34"/>
  <c r="AF54" i="34"/>
  <c r="AC54" i="34"/>
  <c r="AA54" i="34"/>
  <c r="Z54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AI53" i="34"/>
  <c r="AH53" i="34"/>
  <c r="AI52" i="34"/>
  <c r="AH52" i="34"/>
  <c r="AI51" i="34"/>
  <c r="AH51" i="34"/>
  <c r="AG50" i="34"/>
  <c r="AB7" i="34"/>
  <c r="AA50" i="34"/>
  <c r="Z50" i="34"/>
  <c r="Y50" i="34"/>
  <c r="X50" i="34"/>
  <c r="W50" i="34"/>
  <c r="V50" i="34"/>
  <c r="U50" i="34"/>
  <c r="T50" i="34"/>
  <c r="S50" i="34"/>
  <c r="R50" i="34"/>
  <c r="Q50" i="34"/>
  <c r="P50" i="34"/>
  <c r="O50" i="34"/>
  <c r="N50" i="34"/>
  <c r="M50" i="34"/>
  <c r="L50" i="34"/>
  <c r="K50" i="34"/>
  <c r="J50" i="34"/>
  <c r="I50" i="34"/>
  <c r="H50" i="34"/>
  <c r="G50" i="34"/>
  <c r="F50" i="34"/>
  <c r="E50" i="34"/>
  <c r="AI49" i="34"/>
  <c r="AH49" i="34"/>
  <c r="AI48" i="34"/>
  <c r="AH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I38" i="34"/>
  <c r="AH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AF5" i="34"/>
  <c r="AD5" i="34"/>
  <c r="AA5" i="34"/>
  <c r="AG4" i="34"/>
  <c r="K4" i="34"/>
  <c r="E4" i="34"/>
  <c r="H4" i="34" s="1"/>
  <c r="B4" i="34"/>
  <c r="S246" i="34" s="1"/>
  <c r="AG2" i="34"/>
  <c r="AC113" i="33"/>
  <c r="AB113" i="33"/>
  <c r="V113" i="33"/>
  <c r="W113" i="33"/>
  <c r="T113" i="33"/>
  <c r="U113" i="33"/>
  <c r="Z5" i="34" l="1"/>
  <c r="AC89" i="34"/>
  <c r="AC91" i="34" s="1"/>
  <c r="AC7" i="34" s="1"/>
  <c r="AC5" i="34"/>
  <c r="Y5" i="34"/>
  <c r="Z89" i="34"/>
  <c r="Z91" i="34" s="1"/>
  <c r="Z92" i="34" s="1"/>
  <c r="AA89" i="34"/>
  <c r="AA91" i="34" s="1"/>
  <c r="AA7" i="34" s="1"/>
  <c r="Y89" i="34"/>
  <c r="Y91" i="34" s="1"/>
  <c r="Y7" i="34" s="1"/>
  <c r="V5" i="34"/>
  <c r="U5" i="34"/>
  <c r="V89" i="34"/>
  <c r="V91" i="34" s="1"/>
  <c r="V92" i="34" s="1"/>
  <c r="U89" i="34"/>
  <c r="U91" i="34" s="1"/>
  <c r="AM249" i="34" s="1"/>
  <c r="S5" i="34"/>
  <c r="T89" i="34"/>
  <c r="T91" i="34" s="1"/>
  <c r="T7" i="34" s="1"/>
  <c r="S89" i="34"/>
  <c r="S91" i="34" s="1"/>
  <c r="AK249" i="34" s="1"/>
  <c r="R100" i="34"/>
  <c r="R89" i="34"/>
  <c r="R91" i="34" s="1"/>
  <c r="R7" i="34" s="1"/>
  <c r="Q89" i="34"/>
  <c r="Q91" i="34" s="1"/>
  <c r="AI249" i="34" s="1"/>
  <c r="AH72" i="34"/>
  <c r="N5" i="34"/>
  <c r="N100" i="34"/>
  <c r="N89" i="34"/>
  <c r="N91" i="34" s="1"/>
  <c r="AF249" i="34" s="1"/>
  <c r="M89" i="34"/>
  <c r="M91" i="34" s="1"/>
  <c r="M7" i="34" s="1"/>
  <c r="L89" i="34"/>
  <c r="L91" i="34" s="1"/>
  <c r="L7" i="34" s="1"/>
  <c r="K5" i="34"/>
  <c r="K89" i="34"/>
  <c r="K91" i="34" s="1"/>
  <c r="K7" i="34" s="1"/>
  <c r="I5" i="34"/>
  <c r="I89" i="34"/>
  <c r="I91" i="34" s="1"/>
  <c r="I92" i="34" s="1"/>
  <c r="J89" i="34"/>
  <c r="J91" i="34" s="1"/>
  <c r="J92" i="34" s="1"/>
  <c r="AI113" i="34"/>
  <c r="E5" i="34"/>
  <c r="F5" i="34"/>
  <c r="F89" i="34"/>
  <c r="F91" i="34" s="1"/>
  <c r="F92" i="34" s="1"/>
  <c r="AH113" i="34"/>
  <c r="E89" i="34"/>
  <c r="E91" i="34" s="1"/>
  <c r="E7" i="34" s="1"/>
  <c r="D89" i="34"/>
  <c r="D91" i="34" s="1"/>
  <c r="D7" i="34" s="1"/>
  <c r="C89" i="34"/>
  <c r="C91" i="34" s="1"/>
  <c r="C7" i="34" s="1"/>
  <c r="AI72" i="34"/>
  <c r="X100" i="34"/>
  <c r="W5" i="34"/>
  <c r="AF100" i="34"/>
  <c r="AE5" i="34"/>
  <c r="AI68" i="34"/>
  <c r="AH68" i="34"/>
  <c r="AG91" i="34"/>
  <c r="D235" i="34"/>
  <c r="E230" i="34"/>
  <c r="D246" i="34"/>
  <c r="G5" i="34"/>
  <c r="AH84" i="34"/>
  <c r="C270" i="34"/>
  <c r="E234" i="34"/>
  <c r="J232" i="34"/>
  <c r="K232" i="34" s="1"/>
  <c r="L232" i="34" s="1"/>
  <c r="M232" i="34" s="1"/>
  <c r="N232" i="34" s="1"/>
  <c r="O232" i="34" s="1"/>
  <c r="P232" i="34" s="1"/>
  <c r="AV249" i="34"/>
  <c r="AD7" i="34"/>
  <c r="D92" i="34"/>
  <c r="V249" i="34"/>
  <c r="J7" i="34"/>
  <c r="AG3" i="34"/>
  <c r="AG6" i="34" s="1"/>
  <c r="AG89" i="34"/>
  <c r="W89" i="34"/>
  <c r="W91" i="34" s="1"/>
  <c r="G89" i="34"/>
  <c r="G91" i="34" s="1"/>
  <c r="O89" i="34"/>
  <c r="O91" i="34" s="1"/>
  <c r="H89" i="34"/>
  <c r="H91" i="34" s="1"/>
  <c r="P89" i="34"/>
  <c r="P91" i="34" s="1"/>
  <c r="X89" i="34"/>
  <c r="X91" i="34" s="1"/>
  <c r="AF89" i="34"/>
  <c r="AF91" i="34" s="1"/>
  <c r="AH54" i="34"/>
  <c r="G229" i="34"/>
  <c r="O5" i="34"/>
  <c r="AT249" i="34"/>
  <c r="H5" i="34"/>
  <c r="P5" i="34"/>
  <c r="X5" i="34"/>
  <c r="AI84" i="34"/>
  <c r="AI54" i="34"/>
  <c r="C100" i="34"/>
  <c r="K100" i="34"/>
  <c r="S100" i="34"/>
  <c r="D100" i="34"/>
  <c r="B235" i="34"/>
  <c r="AH50" i="34"/>
  <c r="AI50" i="34"/>
  <c r="D5" i="34"/>
  <c r="L5" i="34"/>
  <c r="T5" i="34"/>
  <c r="AB5" i="34"/>
  <c r="AA92" i="34" l="1"/>
  <c r="AU249" i="34"/>
  <c r="AC92" i="34"/>
  <c r="U249" i="34"/>
  <c r="AE249" i="34"/>
  <c r="Z7" i="34"/>
  <c r="AR249" i="34"/>
  <c r="AS249" i="34"/>
  <c r="N7" i="34"/>
  <c r="N92" i="34"/>
  <c r="M92" i="34"/>
  <c r="AQ249" i="34"/>
  <c r="Y92" i="34"/>
  <c r="V7" i="34"/>
  <c r="AN249" i="34"/>
  <c r="U92" i="34"/>
  <c r="U7" i="34"/>
  <c r="AL249" i="34"/>
  <c r="T92" i="34"/>
  <c r="S7" i="34"/>
  <c r="S92" i="34"/>
  <c r="AJ249" i="34"/>
  <c r="R92" i="34"/>
  <c r="Q92" i="34"/>
  <c r="Q7" i="34"/>
  <c r="AD249" i="34"/>
  <c r="L92" i="34"/>
  <c r="F7" i="34"/>
  <c r="X249" i="34"/>
  <c r="K92" i="34"/>
  <c r="AC249" i="34"/>
  <c r="I7" i="34"/>
  <c r="AB249" i="34"/>
  <c r="AA249" i="34"/>
  <c r="E92" i="34"/>
  <c r="W249" i="34"/>
  <c r="AH100" i="34"/>
  <c r="C92" i="34"/>
  <c r="AO249" i="34"/>
  <c r="W7" i="34"/>
  <c r="W92" i="34"/>
  <c r="H229" i="34"/>
  <c r="AI100" i="34"/>
  <c r="D270" i="34"/>
  <c r="F234" i="34"/>
  <c r="E110" i="34"/>
  <c r="P7" i="34"/>
  <c r="P92" i="34"/>
  <c r="AH249" i="34"/>
  <c r="H7" i="34"/>
  <c r="H92" i="34"/>
  <c r="Z249" i="34"/>
  <c r="AW249" i="34"/>
  <c r="AE7" i="34"/>
  <c r="F230" i="34"/>
  <c r="E235" i="34"/>
  <c r="B7" i="34"/>
  <c r="AI91" i="34"/>
  <c r="T249" i="34"/>
  <c r="AH91" i="34"/>
  <c r="AF7" i="34"/>
  <c r="AF92" i="34"/>
  <c r="AX249" i="34"/>
  <c r="AG249" i="34"/>
  <c r="O7" i="34"/>
  <c r="O92" i="34"/>
  <c r="AH89" i="34"/>
  <c r="X7" i="34"/>
  <c r="X92" i="34"/>
  <c r="AP249" i="34"/>
  <c r="Y249" i="34"/>
  <c r="C244" i="34"/>
  <c r="G7" i="34"/>
  <c r="B244" i="34"/>
  <c r="G92" i="34"/>
  <c r="AI89" i="34"/>
  <c r="K6" i="34" l="1"/>
  <c r="A7" i="34"/>
  <c r="AI92" i="34"/>
  <c r="AH92" i="34"/>
  <c r="G230" i="34"/>
  <c r="F235" i="34"/>
  <c r="I229" i="34"/>
  <c r="E270" i="34"/>
  <c r="G234" i="34"/>
  <c r="F110" i="34"/>
  <c r="J229" i="34" l="1"/>
  <c r="F270" i="34"/>
  <c r="H234" i="34"/>
  <c r="G110" i="34"/>
  <c r="H230" i="34"/>
  <c r="G235" i="34"/>
  <c r="I230" i="34" l="1"/>
  <c r="H235" i="34"/>
  <c r="G270" i="34"/>
  <c r="I234" i="34"/>
  <c r="H110" i="34"/>
  <c r="K229" i="34"/>
  <c r="S113" i="33"/>
  <c r="S72" i="33"/>
  <c r="H270" i="34" l="1"/>
  <c r="J234" i="34"/>
  <c r="I110" i="34"/>
  <c r="L229" i="34"/>
  <c r="J230" i="34"/>
  <c r="M229" i="34" l="1"/>
  <c r="K230" i="34"/>
  <c r="K234" i="34"/>
  <c r="I270" i="34"/>
  <c r="J110" i="34"/>
  <c r="J270" i="34" l="1"/>
  <c r="L234" i="34"/>
  <c r="K110" i="34"/>
  <c r="L230" i="34"/>
  <c r="N229" i="34"/>
  <c r="O229" i="34" l="1"/>
  <c r="M230" i="34"/>
  <c r="K270" i="34"/>
  <c r="M234" i="34"/>
  <c r="L110" i="34"/>
  <c r="L270" i="34" l="1"/>
  <c r="N234" i="34"/>
  <c r="M110" i="34"/>
  <c r="N230" i="34"/>
  <c r="P229" i="34"/>
  <c r="O230" i="34" l="1"/>
  <c r="M270" i="34"/>
  <c r="O234" i="34"/>
  <c r="N110" i="34"/>
  <c r="N270" i="34" l="1"/>
  <c r="P234" i="34"/>
  <c r="O270" i="34" s="1"/>
  <c r="O110" i="34"/>
  <c r="P230" i="34"/>
  <c r="AI110" i="34" l="1"/>
  <c r="AH110" i="34"/>
  <c r="AD110" i="32" l="1"/>
  <c r="B72" i="33"/>
  <c r="C72" i="33"/>
  <c r="D72" i="33"/>
  <c r="E72" i="33"/>
  <c r="F72" i="33"/>
  <c r="G72" i="33"/>
  <c r="H72" i="33"/>
  <c r="I72" i="33"/>
  <c r="J72" i="33"/>
  <c r="K72" i="33"/>
  <c r="B110" i="33"/>
  <c r="B84" i="33"/>
  <c r="B100" i="33" s="1"/>
  <c r="B68" i="33"/>
  <c r="B54" i="33"/>
  <c r="B50" i="33"/>
  <c r="AH16" i="32"/>
  <c r="AI16" i="32"/>
  <c r="AH17" i="32"/>
  <c r="AI17" i="32"/>
  <c r="AH18" i="32"/>
  <c r="AI18" i="32"/>
  <c r="AH19" i="32"/>
  <c r="AI19" i="32"/>
  <c r="AH20" i="32"/>
  <c r="AI20" i="32"/>
  <c r="AH21" i="32"/>
  <c r="AI21" i="32"/>
  <c r="AH22" i="32"/>
  <c r="AI22" i="32"/>
  <c r="AH23" i="32"/>
  <c r="AI23" i="32"/>
  <c r="AH24" i="32"/>
  <c r="AI24" i="32"/>
  <c r="AH25" i="32"/>
  <c r="AI25" i="32"/>
  <c r="AH26" i="32"/>
  <c r="AI26" i="32"/>
  <c r="AH27" i="32"/>
  <c r="AI27" i="32"/>
  <c r="AH28" i="32"/>
  <c r="AI28" i="32"/>
  <c r="AH29" i="32"/>
  <c r="AI29" i="32"/>
  <c r="AH30" i="32"/>
  <c r="AI30" i="32"/>
  <c r="AH31" i="32"/>
  <c r="AI31" i="32"/>
  <c r="AH32" i="32"/>
  <c r="AI32" i="32"/>
  <c r="AH33" i="32"/>
  <c r="AI33" i="32"/>
  <c r="AH34" i="32"/>
  <c r="AI34" i="32"/>
  <c r="AH35" i="32"/>
  <c r="AI35" i="32"/>
  <c r="AH36" i="32"/>
  <c r="AI36" i="32"/>
  <c r="AH37" i="32"/>
  <c r="AI37" i="32"/>
  <c r="AH38" i="32"/>
  <c r="AI38" i="32"/>
  <c r="AH39" i="32"/>
  <c r="AI39" i="32"/>
  <c r="AH40" i="32"/>
  <c r="AI40" i="32"/>
  <c r="AH41" i="32"/>
  <c r="AI41" i="32"/>
  <c r="AH42" i="32"/>
  <c r="AI42" i="32"/>
  <c r="AH43" i="32"/>
  <c r="AI43" i="32"/>
  <c r="AH44" i="32"/>
  <c r="AI44" i="32"/>
  <c r="AH45" i="32"/>
  <c r="AI45" i="32"/>
  <c r="AH46" i="32"/>
  <c r="AI46" i="32"/>
  <c r="AH47" i="32"/>
  <c r="AI47" i="32"/>
  <c r="AH48" i="32"/>
  <c r="AI48" i="32"/>
  <c r="AH49" i="32"/>
  <c r="AI49" i="32"/>
  <c r="AH51" i="32"/>
  <c r="AI51" i="32"/>
  <c r="AH52" i="32"/>
  <c r="AI52" i="32"/>
  <c r="AH53" i="32"/>
  <c r="AI53" i="32"/>
  <c r="AH54" i="32"/>
  <c r="AI54" i="32"/>
  <c r="AH55" i="32"/>
  <c r="AI55" i="32"/>
  <c r="AH56" i="32"/>
  <c r="AI56" i="32"/>
  <c r="AH57" i="32"/>
  <c r="AI57" i="32"/>
  <c r="AH58" i="32"/>
  <c r="AI58" i="32"/>
  <c r="AH59" i="32"/>
  <c r="AI59" i="32"/>
  <c r="AH60" i="32"/>
  <c r="AI60" i="32"/>
  <c r="AH61" i="32"/>
  <c r="AI61" i="32"/>
  <c r="AH62" i="32"/>
  <c r="AI62" i="32"/>
  <c r="AH63" i="32"/>
  <c r="AI63" i="32"/>
  <c r="AH64" i="32"/>
  <c r="AI64" i="32"/>
  <c r="AH65" i="32"/>
  <c r="AI65" i="32"/>
  <c r="AH66" i="32"/>
  <c r="AI66" i="32"/>
  <c r="AH67" i="32"/>
  <c r="AI67" i="32"/>
  <c r="AH68" i="32"/>
  <c r="AI68" i="32"/>
  <c r="AH69" i="32"/>
  <c r="AI69" i="32"/>
  <c r="AH70" i="32"/>
  <c r="AI70" i="32"/>
  <c r="AH71" i="32"/>
  <c r="AI71" i="32"/>
  <c r="AH72" i="32"/>
  <c r="AI72" i="32"/>
  <c r="AH73" i="32"/>
  <c r="AI73" i="32"/>
  <c r="AH74" i="32"/>
  <c r="AI74" i="32"/>
  <c r="AH75" i="32"/>
  <c r="AI75" i="32"/>
  <c r="AH76" i="32"/>
  <c r="AI76" i="32"/>
  <c r="AH77" i="32"/>
  <c r="AI77" i="32"/>
  <c r="AH78" i="32"/>
  <c r="AI78" i="32"/>
  <c r="AH79" i="32"/>
  <c r="AI79" i="32"/>
  <c r="AH80" i="32"/>
  <c r="AI80" i="32"/>
  <c r="AH81" i="32"/>
  <c r="AI81" i="32"/>
  <c r="AH82" i="32"/>
  <c r="AI82" i="32"/>
  <c r="AH83" i="32"/>
  <c r="AI83" i="32"/>
  <c r="AH85" i="32"/>
  <c r="AI85" i="32"/>
  <c r="AH86" i="32"/>
  <c r="AI86" i="32"/>
  <c r="AH87" i="32"/>
  <c r="AI87" i="32"/>
  <c r="AH88" i="32"/>
  <c r="AI88" i="32"/>
  <c r="AH90" i="32"/>
  <c r="AI90" i="32"/>
  <c r="AH93" i="32"/>
  <c r="AI93" i="32"/>
  <c r="AH94" i="32"/>
  <c r="AI94" i="32"/>
  <c r="AH95" i="32"/>
  <c r="AI95" i="32"/>
  <c r="AH96" i="32"/>
  <c r="AI96" i="32"/>
  <c r="AH97" i="32"/>
  <c r="AI97" i="32"/>
  <c r="AH98" i="32"/>
  <c r="AI98" i="32"/>
  <c r="AH99" i="32"/>
  <c r="AI99" i="32"/>
  <c r="AH101" i="32"/>
  <c r="AI101" i="32"/>
  <c r="AH102" i="32"/>
  <c r="AI102" i="32"/>
  <c r="AH103" i="32"/>
  <c r="AI103" i="32"/>
  <c r="AH104" i="32"/>
  <c r="AI104" i="32"/>
  <c r="AH105" i="32"/>
  <c r="AI105" i="32"/>
  <c r="AH106" i="32"/>
  <c r="AI106" i="32"/>
  <c r="AH107" i="32"/>
  <c r="AI107" i="32"/>
  <c r="AH108" i="32"/>
  <c r="AI108" i="32"/>
  <c r="AH109" i="32"/>
  <c r="AI109" i="32"/>
  <c r="AH111" i="32"/>
  <c r="AI111" i="32"/>
  <c r="AH112" i="32"/>
  <c r="AI112" i="32"/>
  <c r="AH113" i="32"/>
  <c r="AI113" i="32"/>
  <c r="AH114" i="32"/>
  <c r="AI114" i="32"/>
  <c r="AH115" i="32"/>
  <c r="AI115" i="32"/>
  <c r="AH116" i="32"/>
  <c r="AI116" i="32"/>
  <c r="AH117" i="32"/>
  <c r="AI117" i="32"/>
  <c r="AH118" i="32"/>
  <c r="AI118" i="32"/>
  <c r="AH119" i="32"/>
  <c r="AI119" i="32"/>
  <c r="AH120" i="32"/>
  <c r="AI120" i="32"/>
  <c r="AI16" i="33"/>
  <c r="AI17" i="33"/>
  <c r="AI18" i="33"/>
  <c r="AI19" i="33"/>
  <c r="AI20" i="33"/>
  <c r="AI21" i="33"/>
  <c r="AI22" i="33"/>
  <c r="AI23" i="33"/>
  <c r="AI24" i="33"/>
  <c r="AI25" i="33"/>
  <c r="AI26" i="33"/>
  <c r="AI27" i="33"/>
  <c r="AI28" i="33"/>
  <c r="AI29" i="33"/>
  <c r="AI30" i="33"/>
  <c r="AI31" i="33"/>
  <c r="AI32" i="33"/>
  <c r="AI33" i="33"/>
  <c r="AI34" i="33"/>
  <c r="AI35" i="33"/>
  <c r="AI36" i="33"/>
  <c r="AI37" i="33"/>
  <c r="AI38" i="33"/>
  <c r="AI39" i="33"/>
  <c r="AI40" i="33"/>
  <c r="AI41" i="33"/>
  <c r="AI42" i="33"/>
  <c r="AI43" i="33"/>
  <c r="AI44" i="33"/>
  <c r="AI45" i="33"/>
  <c r="AI46" i="33"/>
  <c r="AI47" i="33"/>
  <c r="AI48" i="33"/>
  <c r="AI49" i="33"/>
  <c r="AI51" i="33"/>
  <c r="AI52" i="33"/>
  <c r="AI53" i="33"/>
  <c r="AI55" i="33"/>
  <c r="AI56" i="33"/>
  <c r="AI57" i="33"/>
  <c r="AI58" i="33"/>
  <c r="AI59" i="33"/>
  <c r="AI60" i="33"/>
  <c r="AI61" i="33"/>
  <c r="AI62" i="33"/>
  <c r="AI63" i="33"/>
  <c r="AI64" i="33"/>
  <c r="AI65" i="33"/>
  <c r="AI66" i="33"/>
  <c r="AI67" i="33"/>
  <c r="AI69" i="33"/>
  <c r="AI70" i="33"/>
  <c r="AI71" i="33"/>
  <c r="AI73" i="33"/>
  <c r="AI74" i="33"/>
  <c r="AI75" i="33"/>
  <c r="AI76" i="33"/>
  <c r="AI77" i="33"/>
  <c r="AI78" i="33"/>
  <c r="AI79" i="33"/>
  <c r="AI80" i="33"/>
  <c r="AI81" i="33"/>
  <c r="AI82" i="33"/>
  <c r="AI83" i="33"/>
  <c r="AI85" i="33"/>
  <c r="AI86" i="33"/>
  <c r="AI87" i="33"/>
  <c r="AI88" i="33"/>
  <c r="AI90" i="33"/>
  <c r="AI93" i="33"/>
  <c r="AI94" i="33"/>
  <c r="AI95" i="33"/>
  <c r="AI96" i="33"/>
  <c r="AI97" i="33"/>
  <c r="AI98" i="33"/>
  <c r="AI99" i="33"/>
  <c r="AI101" i="33"/>
  <c r="AI102" i="33"/>
  <c r="AI103" i="33"/>
  <c r="AI104" i="33"/>
  <c r="AI105" i="33"/>
  <c r="AI106" i="33"/>
  <c r="AI107" i="33"/>
  <c r="AI108" i="33"/>
  <c r="AI109" i="33"/>
  <c r="AI111" i="33"/>
  <c r="AI112" i="33"/>
  <c r="AI113" i="33"/>
  <c r="AI114" i="33"/>
  <c r="AI115" i="33"/>
  <c r="AI116" i="33"/>
  <c r="AI117" i="33"/>
  <c r="AI118" i="33"/>
  <c r="AI119" i="33"/>
  <c r="AI120" i="33"/>
  <c r="AH16" i="33"/>
  <c r="AH17" i="33"/>
  <c r="AH18" i="33"/>
  <c r="AH19" i="33"/>
  <c r="AH20" i="33"/>
  <c r="AH21" i="33"/>
  <c r="AH22" i="33"/>
  <c r="AH23" i="33"/>
  <c r="AH24" i="33"/>
  <c r="AH25" i="33"/>
  <c r="AH26" i="33"/>
  <c r="AH27" i="33"/>
  <c r="AH28" i="33"/>
  <c r="AH29" i="33"/>
  <c r="AH30" i="33"/>
  <c r="AH31" i="33"/>
  <c r="AH32" i="33"/>
  <c r="AH33" i="33"/>
  <c r="AH34" i="33"/>
  <c r="AH35" i="33"/>
  <c r="AH36" i="33"/>
  <c r="AH37" i="33"/>
  <c r="AH38" i="33"/>
  <c r="AH39" i="33"/>
  <c r="AH40" i="33"/>
  <c r="AH41" i="33"/>
  <c r="AH42" i="33"/>
  <c r="AH43" i="33"/>
  <c r="AH44" i="33"/>
  <c r="AH45" i="33"/>
  <c r="AH46" i="33"/>
  <c r="AH47" i="33"/>
  <c r="AH48" i="33"/>
  <c r="AH49" i="33"/>
  <c r="AH51" i="33"/>
  <c r="AH52" i="33"/>
  <c r="AH53" i="33"/>
  <c r="AH55" i="33"/>
  <c r="AH56" i="33"/>
  <c r="AH57" i="33"/>
  <c r="AH58" i="33"/>
  <c r="AH59" i="33"/>
  <c r="AH60" i="33"/>
  <c r="AH61" i="33"/>
  <c r="AH62" i="33"/>
  <c r="AH63" i="33"/>
  <c r="AH64" i="33"/>
  <c r="AH65" i="33"/>
  <c r="AH66" i="33"/>
  <c r="AH67" i="33"/>
  <c r="AH69" i="33"/>
  <c r="AH70" i="33"/>
  <c r="AH71" i="33"/>
  <c r="AH73" i="33"/>
  <c r="AH74" i="33"/>
  <c r="AH75" i="33"/>
  <c r="AH76" i="33"/>
  <c r="AH77" i="33"/>
  <c r="AH78" i="33"/>
  <c r="AH79" i="33"/>
  <c r="AH80" i="33"/>
  <c r="AH81" i="33"/>
  <c r="AH82" i="33"/>
  <c r="AH83" i="33"/>
  <c r="AH85" i="33"/>
  <c r="AH86" i="33"/>
  <c r="AH87" i="33"/>
  <c r="AH88" i="33"/>
  <c r="AH90" i="33"/>
  <c r="AH93" i="33"/>
  <c r="AH94" i="33"/>
  <c r="AH95" i="33"/>
  <c r="AH96" i="33"/>
  <c r="AH97" i="33"/>
  <c r="AH98" i="33"/>
  <c r="AH99" i="33"/>
  <c r="AH101" i="33"/>
  <c r="AH102" i="33"/>
  <c r="AH103" i="33"/>
  <c r="AH104" i="33"/>
  <c r="AH105" i="33"/>
  <c r="AH106" i="33"/>
  <c r="AH107" i="33"/>
  <c r="AH108" i="33"/>
  <c r="AH109" i="33"/>
  <c r="AH111" i="33"/>
  <c r="AH112" i="33"/>
  <c r="AH113" i="33"/>
  <c r="AH114" i="33"/>
  <c r="AH115" i="33"/>
  <c r="AH116" i="33"/>
  <c r="AH117" i="33"/>
  <c r="AH118" i="33"/>
  <c r="AH119" i="33"/>
  <c r="AH120" i="33"/>
  <c r="AF274" i="33"/>
  <c r="AE274" i="33"/>
  <c r="AD274" i="33"/>
  <c r="AC274" i="33"/>
  <c r="AB274" i="33"/>
  <c r="AA274" i="33"/>
  <c r="Z274" i="33"/>
  <c r="Y274" i="33"/>
  <c r="X274" i="33"/>
  <c r="W274" i="33"/>
  <c r="V274" i="33"/>
  <c r="U274" i="33"/>
  <c r="T274" i="33"/>
  <c r="S274" i="33"/>
  <c r="R274" i="33"/>
  <c r="Q274" i="33"/>
  <c r="P274" i="33"/>
  <c r="O274" i="33"/>
  <c r="N274" i="33"/>
  <c r="M274" i="33"/>
  <c r="L274" i="33"/>
  <c r="K274" i="33"/>
  <c r="J274" i="33"/>
  <c r="I274" i="33"/>
  <c r="H274" i="33"/>
  <c r="G274" i="33"/>
  <c r="F274" i="33"/>
  <c r="E274" i="33"/>
  <c r="D274" i="33"/>
  <c r="C274" i="33"/>
  <c r="B274" i="33"/>
  <c r="A274" i="33"/>
  <c r="AF273" i="33"/>
  <c r="AE273" i="33"/>
  <c r="AD273" i="33"/>
  <c r="AC273" i="33"/>
  <c r="AB273" i="33"/>
  <c r="AA273" i="33"/>
  <c r="Z273" i="33"/>
  <c r="Y273" i="33"/>
  <c r="X273" i="33"/>
  <c r="W273" i="33"/>
  <c r="V273" i="33"/>
  <c r="U273" i="33"/>
  <c r="T273" i="33"/>
  <c r="S273" i="33"/>
  <c r="R273" i="33"/>
  <c r="Q273" i="33"/>
  <c r="P273" i="33"/>
  <c r="O273" i="33"/>
  <c r="N273" i="33"/>
  <c r="M273" i="33"/>
  <c r="L273" i="33"/>
  <c r="K273" i="33"/>
  <c r="J273" i="33"/>
  <c r="I273" i="33"/>
  <c r="H273" i="33"/>
  <c r="G273" i="33"/>
  <c r="F273" i="33"/>
  <c r="E273" i="33"/>
  <c r="D273" i="33"/>
  <c r="C273" i="33"/>
  <c r="B273" i="33"/>
  <c r="A273" i="33"/>
  <c r="AF272" i="33"/>
  <c r="AE272" i="33"/>
  <c r="AD272" i="33"/>
  <c r="AC272" i="33"/>
  <c r="AB272" i="33"/>
  <c r="AA272" i="33"/>
  <c r="Z272" i="33"/>
  <c r="Y272" i="33"/>
  <c r="X272" i="33"/>
  <c r="W272" i="33"/>
  <c r="V272" i="33"/>
  <c r="U272" i="33"/>
  <c r="T272" i="33"/>
  <c r="S272" i="33"/>
  <c r="R272" i="33"/>
  <c r="Q272" i="33"/>
  <c r="P272" i="33"/>
  <c r="O272" i="33"/>
  <c r="N272" i="33"/>
  <c r="M272" i="33"/>
  <c r="L272" i="33"/>
  <c r="K272" i="33"/>
  <c r="J272" i="33"/>
  <c r="I272" i="33"/>
  <c r="H272" i="33"/>
  <c r="G272" i="33"/>
  <c r="F272" i="33"/>
  <c r="E272" i="33"/>
  <c r="D272" i="33"/>
  <c r="C272" i="33"/>
  <c r="B272" i="33"/>
  <c r="A272" i="33"/>
  <c r="AF271" i="33"/>
  <c r="AE271" i="33"/>
  <c r="AD271" i="33"/>
  <c r="AC271" i="33"/>
  <c r="AB271" i="33"/>
  <c r="AA271" i="33"/>
  <c r="Z271" i="33"/>
  <c r="Y271" i="33"/>
  <c r="X271" i="33"/>
  <c r="W271" i="33"/>
  <c r="V271" i="33"/>
  <c r="U271" i="33"/>
  <c r="T271" i="33"/>
  <c r="S271" i="33"/>
  <c r="R271" i="33"/>
  <c r="Q271" i="33"/>
  <c r="P271" i="33"/>
  <c r="O271" i="33"/>
  <c r="N271" i="33"/>
  <c r="M271" i="33"/>
  <c r="L271" i="33"/>
  <c r="K271" i="33"/>
  <c r="J271" i="33"/>
  <c r="I271" i="33"/>
  <c r="H271" i="33"/>
  <c r="G271" i="33"/>
  <c r="F271" i="33"/>
  <c r="E271" i="33"/>
  <c r="D271" i="33"/>
  <c r="C271" i="33"/>
  <c r="B271" i="33"/>
  <c r="A271" i="33"/>
  <c r="AE270" i="33"/>
  <c r="AD270" i="33"/>
  <c r="AC270" i="33"/>
  <c r="AB270" i="33"/>
  <c r="AA270" i="33"/>
  <c r="Z270" i="33"/>
  <c r="Y270" i="33"/>
  <c r="X270" i="33"/>
  <c r="W270" i="33"/>
  <c r="V270" i="33"/>
  <c r="U270" i="33"/>
  <c r="T270" i="33"/>
  <c r="S270" i="33"/>
  <c r="R270" i="33"/>
  <c r="Q270" i="33"/>
  <c r="P270" i="33"/>
  <c r="B270" i="33"/>
  <c r="S245" i="33"/>
  <c r="AG235" i="33"/>
  <c r="AF235" i="33"/>
  <c r="AE235" i="33"/>
  <c r="AD235" i="33"/>
  <c r="AC235" i="33"/>
  <c r="AB235" i="33"/>
  <c r="AA235" i="33"/>
  <c r="Z235" i="33"/>
  <c r="Y235" i="33"/>
  <c r="X235" i="33"/>
  <c r="W235" i="33"/>
  <c r="V235" i="33"/>
  <c r="U235" i="33"/>
  <c r="T235" i="33"/>
  <c r="S235" i="33"/>
  <c r="R235" i="33"/>
  <c r="Q235" i="33"/>
  <c r="C235" i="33"/>
  <c r="E234" i="33"/>
  <c r="D270" i="33" s="1"/>
  <c r="D234" i="33"/>
  <c r="C270" i="33" s="1"/>
  <c r="B234" i="33"/>
  <c r="AF270" i="33" s="1"/>
  <c r="E233" i="33"/>
  <c r="F233" i="33" s="1"/>
  <c r="G233" i="33" s="1"/>
  <c r="H233" i="33" s="1"/>
  <c r="I233" i="33" s="1"/>
  <c r="J233" i="33" s="1"/>
  <c r="K233" i="33" s="1"/>
  <c r="L233" i="33" s="1"/>
  <c r="M233" i="33" s="1"/>
  <c r="N233" i="33" s="1"/>
  <c r="O233" i="33" s="1"/>
  <c r="P233" i="33" s="1"/>
  <c r="D233" i="33"/>
  <c r="B233" i="33"/>
  <c r="G232" i="33"/>
  <c r="H232" i="33" s="1"/>
  <c r="I232" i="33" s="1"/>
  <c r="F232" i="33"/>
  <c r="E232" i="33"/>
  <c r="D232" i="33"/>
  <c r="B232" i="33"/>
  <c r="E231" i="33"/>
  <c r="F231" i="33" s="1"/>
  <c r="G231" i="33" s="1"/>
  <c r="H231" i="33" s="1"/>
  <c r="D231" i="33"/>
  <c r="D235" i="33" s="1"/>
  <c r="B231" i="33"/>
  <c r="E230" i="33"/>
  <c r="F230" i="33" s="1"/>
  <c r="G230" i="33" s="1"/>
  <c r="H230" i="33" s="1"/>
  <c r="I230" i="33" s="1"/>
  <c r="J230" i="33" s="1"/>
  <c r="K230" i="33" s="1"/>
  <c r="L230" i="33" s="1"/>
  <c r="M230" i="33" s="1"/>
  <c r="N230" i="33" s="1"/>
  <c r="O230" i="33" s="1"/>
  <c r="P230" i="33" s="1"/>
  <c r="D230" i="33"/>
  <c r="B230" i="33"/>
  <c r="E229" i="33"/>
  <c r="F229" i="33" s="1"/>
  <c r="D229" i="33"/>
  <c r="B229" i="33"/>
  <c r="AG227" i="33"/>
  <c r="AF227" i="33"/>
  <c r="AE227" i="33"/>
  <c r="AD227" i="33"/>
  <c r="AC227" i="33"/>
  <c r="AB227" i="33"/>
  <c r="AA227" i="33"/>
  <c r="Z227" i="33"/>
  <c r="Y227" i="33"/>
  <c r="X227" i="33"/>
  <c r="W227" i="33"/>
  <c r="V227" i="33"/>
  <c r="U227" i="33"/>
  <c r="T227" i="33"/>
  <c r="S227" i="33"/>
  <c r="R227" i="33"/>
  <c r="Q227" i="33"/>
  <c r="P227" i="33"/>
  <c r="O227" i="33"/>
  <c r="N227" i="33"/>
  <c r="M227" i="33"/>
  <c r="L227" i="33"/>
  <c r="K227" i="33"/>
  <c r="J227" i="33"/>
  <c r="I227" i="33"/>
  <c r="H227" i="33"/>
  <c r="G227" i="33"/>
  <c r="F227" i="33"/>
  <c r="E227" i="33"/>
  <c r="D227" i="33"/>
  <c r="C227" i="33"/>
  <c r="B227" i="33"/>
  <c r="AF110" i="33"/>
  <c r="AE110" i="33"/>
  <c r="AC110" i="33"/>
  <c r="AB110" i="33"/>
  <c r="AA110" i="33"/>
  <c r="Z110" i="33"/>
  <c r="Y110" i="33"/>
  <c r="X110" i="33"/>
  <c r="W110" i="33"/>
  <c r="V110" i="33"/>
  <c r="U110" i="33"/>
  <c r="T110" i="33"/>
  <c r="S110" i="33"/>
  <c r="R110" i="33"/>
  <c r="Q110" i="33"/>
  <c r="E110" i="33"/>
  <c r="D110" i="33"/>
  <c r="C110" i="33"/>
  <c r="AG88" i="33"/>
  <c r="AN84" i="33"/>
  <c r="AG84" i="33"/>
  <c r="AG91" i="33" s="1"/>
  <c r="AF84" i="33"/>
  <c r="AF100" i="33" s="1"/>
  <c r="AE84" i="33"/>
  <c r="AE100" i="33" s="1"/>
  <c r="AD84" i="33"/>
  <c r="AD100" i="33" s="1"/>
  <c r="AC84" i="33"/>
  <c r="AC100" i="33" s="1"/>
  <c r="AB84" i="33"/>
  <c r="AB100" i="33" s="1"/>
  <c r="AA84" i="33"/>
  <c r="AA100" i="33" s="1"/>
  <c r="Z84" i="33"/>
  <c r="Z100" i="33" s="1"/>
  <c r="Y84" i="33"/>
  <c r="Y100" i="33" s="1"/>
  <c r="X84" i="33"/>
  <c r="X100" i="33" s="1"/>
  <c r="W84" i="33"/>
  <c r="W100" i="33" s="1"/>
  <c r="V84" i="33"/>
  <c r="V100" i="33" s="1"/>
  <c r="U84" i="33"/>
  <c r="U100" i="33" s="1"/>
  <c r="T84" i="33"/>
  <c r="T100" i="33" s="1"/>
  <c r="S84" i="33"/>
  <c r="S100" i="33" s="1"/>
  <c r="R84" i="33"/>
  <c r="R100" i="33" s="1"/>
  <c r="Q84" i="33"/>
  <c r="Q100" i="33" s="1"/>
  <c r="P84" i="33"/>
  <c r="P100" i="33" s="1"/>
  <c r="O84" i="33"/>
  <c r="O100" i="33" s="1"/>
  <c r="N84" i="33"/>
  <c r="N100" i="33" s="1"/>
  <c r="M84" i="33"/>
  <c r="M100" i="33" s="1"/>
  <c r="L84" i="33"/>
  <c r="L100" i="33" s="1"/>
  <c r="K84" i="33"/>
  <c r="K100" i="33" s="1"/>
  <c r="J84" i="33"/>
  <c r="J100" i="33" s="1"/>
  <c r="I84" i="33"/>
  <c r="I100" i="33" s="1"/>
  <c r="H84" i="33"/>
  <c r="G5" i="33" s="1"/>
  <c r="G84" i="33"/>
  <c r="G100" i="33" s="1"/>
  <c r="F84" i="33"/>
  <c r="F100" i="33" s="1"/>
  <c r="E84" i="33"/>
  <c r="E100" i="33" s="1"/>
  <c r="D84" i="33"/>
  <c r="D100" i="33" s="1"/>
  <c r="C84" i="33"/>
  <c r="C100" i="33" s="1"/>
  <c r="AN83" i="33"/>
  <c r="AN82" i="33"/>
  <c r="AN81" i="33"/>
  <c r="AG72" i="33"/>
  <c r="AF72" i="33"/>
  <c r="AE72" i="33"/>
  <c r="AD72" i="33"/>
  <c r="AC72" i="33"/>
  <c r="AB72" i="33"/>
  <c r="AA72" i="33"/>
  <c r="Z72" i="33"/>
  <c r="Y72" i="33"/>
  <c r="X72" i="33"/>
  <c r="W72" i="33"/>
  <c r="V72" i="33"/>
  <c r="U72" i="33"/>
  <c r="T72" i="33"/>
  <c r="R72" i="33"/>
  <c r="Q72" i="33"/>
  <c r="P72" i="33"/>
  <c r="O72" i="33"/>
  <c r="N72" i="33"/>
  <c r="M72" i="33"/>
  <c r="L72" i="33"/>
  <c r="AG68" i="33"/>
  <c r="AG3" i="33" s="1"/>
  <c r="AF68" i="33"/>
  <c r="AE68" i="33"/>
  <c r="AD68" i="33"/>
  <c r="AC68" i="33"/>
  <c r="AB68" i="33"/>
  <c r="AA68" i="33"/>
  <c r="Z68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AG67" i="33"/>
  <c r="AG54" i="33"/>
  <c r="AF54" i="33"/>
  <c r="AE54" i="33"/>
  <c r="AD54" i="33"/>
  <c r="AC54" i="33"/>
  <c r="AB54" i="33"/>
  <c r="AA54" i="33"/>
  <c r="Z54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AG50" i="33"/>
  <c r="AG89" i="33" s="1"/>
  <c r="AF50" i="33"/>
  <c r="AE50" i="33"/>
  <c r="AD50" i="33"/>
  <c r="AC50" i="33"/>
  <c r="AB50" i="33"/>
  <c r="AA50" i="33"/>
  <c r="Z50" i="33"/>
  <c r="Z89" i="33" s="1"/>
  <c r="Z91" i="33" s="1"/>
  <c r="Y50" i="33"/>
  <c r="X50" i="33"/>
  <c r="W50" i="33"/>
  <c r="V50" i="33"/>
  <c r="U50" i="33"/>
  <c r="T50" i="33"/>
  <c r="S50" i="33"/>
  <c r="R50" i="33"/>
  <c r="Q50" i="33"/>
  <c r="P50" i="33"/>
  <c r="O50" i="33"/>
  <c r="N50" i="33"/>
  <c r="M50" i="33"/>
  <c r="L50" i="33"/>
  <c r="K50" i="33"/>
  <c r="J50" i="33"/>
  <c r="I50" i="33"/>
  <c r="H50" i="33"/>
  <c r="G50" i="33"/>
  <c r="F50" i="33"/>
  <c r="E50" i="33"/>
  <c r="D50" i="33"/>
  <c r="C50" i="33"/>
  <c r="AI15" i="33"/>
  <c r="AH15" i="33"/>
  <c r="AI14" i="33"/>
  <c r="AH14" i="33"/>
  <c r="AI13" i="33"/>
  <c r="AH13" i="33"/>
  <c r="AI12" i="33"/>
  <c r="AH12" i="33"/>
  <c r="AI11" i="33"/>
  <c r="AH11" i="33"/>
  <c r="AF5" i="33"/>
  <c r="Y5" i="33"/>
  <c r="D5" i="33"/>
  <c r="B5" i="33"/>
  <c r="AG4" i="33"/>
  <c r="K4" i="33"/>
  <c r="E4" i="33"/>
  <c r="H4" i="33" s="1"/>
  <c r="B4" i="33"/>
  <c r="D246" i="33" s="1"/>
  <c r="AG2" i="33"/>
  <c r="AG6" i="33" s="1"/>
  <c r="AB72" i="32"/>
  <c r="X113" i="32"/>
  <c r="W113" i="32"/>
  <c r="V113" i="32"/>
  <c r="U113" i="32"/>
  <c r="T113" i="32"/>
  <c r="S113" i="32"/>
  <c r="R113" i="32"/>
  <c r="Q113" i="32"/>
  <c r="AE5" i="33" l="1"/>
  <c r="AF89" i="33"/>
  <c r="AF91" i="33" s="1"/>
  <c r="AX249" i="33" s="1"/>
  <c r="AC5" i="33"/>
  <c r="AD89" i="33"/>
  <c r="AD91" i="33" s="1"/>
  <c r="AV249" i="33" s="1"/>
  <c r="AE89" i="33"/>
  <c r="AE91" i="33" s="1"/>
  <c r="AW249" i="33" s="1"/>
  <c r="AB5" i="33"/>
  <c r="AC89" i="33"/>
  <c r="AC91" i="33" s="1"/>
  <c r="AU249" i="33" s="1"/>
  <c r="AA5" i="33"/>
  <c r="AB89" i="33"/>
  <c r="AB91" i="33" s="1"/>
  <c r="AB7" i="33" s="1"/>
  <c r="Z5" i="33"/>
  <c r="AA89" i="33"/>
  <c r="AA91" i="33" s="1"/>
  <c r="AS249" i="33" s="1"/>
  <c r="Y89" i="33"/>
  <c r="Y91" i="33" s="1"/>
  <c r="Y7" i="33" s="1"/>
  <c r="W5" i="33"/>
  <c r="X89" i="33"/>
  <c r="X91" i="33" s="1"/>
  <c r="X92" i="33" s="1"/>
  <c r="W89" i="33"/>
  <c r="W91" i="33" s="1"/>
  <c r="AO249" i="33" s="1"/>
  <c r="U5" i="33"/>
  <c r="V89" i="33"/>
  <c r="V91" i="33" s="1"/>
  <c r="AN249" i="33" s="1"/>
  <c r="T5" i="33"/>
  <c r="U89" i="33"/>
  <c r="U91" i="33" s="1"/>
  <c r="AM249" i="33" s="1"/>
  <c r="S5" i="33"/>
  <c r="T89" i="33"/>
  <c r="T91" i="33" s="1"/>
  <c r="AL249" i="33" s="1"/>
  <c r="R5" i="33"/>
  <c r="S89" i="33"/>
  <c r="S91" i="33" s="1"/>
  <c r="S7" i="33" s="1"/>
  <c r="Q5" i="33"/>
  <c r="R89" i="33"/>
  <c r="R91" i="33" s="1"/>
  <c r="R92" i="33" s="1"/>
  <c r="Q89" i="33"/>
  <c r="Q91" i="33" s="1"/>
  <c r="O5" i="33"/>
  <c r="P89" i="33"/>
  <c r="P91" i="33" s="1"/>
  <c r="P7" i="33" s="1"/>
  <c r="O89" i="33"/>
  <c r="O91" i="33" s="1"/>
  <c r="AG249" i="33" s="1"/>
  <c r="M5" i="33"/>
  <c r="N89" i="33"/>
  <c r="N91" i="33" s="1"/>
  <c r="AF249" i="33" s="1"/>
  <c r="L5" i="33"/>
  <c r="M89" i="33"/>
  <c r="M91" i="33" s="1"/>
  <c r="M7" i="33" s="1"/>
  <c r="I5" i="33"/>
  <c r="H100" i="33"/>
  <c r="J5" i="33"/>
  <c r="K5" i="33"/>
  <c r="J89" i="33"/>
  <c r="J91" i="33" s="1"/>
  <c r="J7" i="33" s="1"/>
  <c r="L89" i="33"/>
  <c r="L91" i="33" s="1"/>
  <c r="L92" i="33" s="1"/>
  <c r="G89" i="33"/>
  <c r="G91" i="33" s="1"/>
  <c r="G7" i="33" s="1"/>
  <c r="I91" i="33"/>
  <c r="I92" i="33" s="1"/>
  <c r="AH54" i="33"/>
  <c r="E5" i="33"/>
  <c r="AI72" i="33"/>
  <c r="F89" i="33"/>
  <c r="F91" i="33" s="1"/>
  <c r="X249" i="33" s="1"/>
  <c r="E89" i="33"/>
  <c r="E91" i="33" s="1"/>
  <c r="E7" i="33" s="1"/>
  <c r="AI54" i="33"/>
  <c r="C5" i="33"/>
  <c r="D89" i="33"/>
  <c r="D91" i="33" s="1"/>
  <c r="D7" i="33" s="1"/>
  <c r="AH84" i="33"/>
  <c r="AI84" i="33"/>
  <c r="K89" i="33"/>
  <c r="K91" i="33" s="1"/>
  <c r="AC249" i="33" s="1"/>
  <c r="H89" i="33"/>
  <c r="H91" i="33" s="1"/>
  <c r="H7" i="33" s="1"/>
  <c r="AI68" i="33"/>
  <c r="C89" i="33"/>
  <c r="C91" i="33" s="1"/>
  <c r="C7" i="33" s="1"/>
  <c r="AH50" i="33"/>
  <c r="AI50" i="33"/>
  <c r="B89" i="33"/>
  <c r="AI100" i="33"/>
  <c r="AH100" i="33"/>
  <c r="AH72" i="33"/>
  <c r="AH68" i="33"/>
  <c r="S246" i="33"/>
  <c r="G229" i="33"/>
  <c r="F110" i="33"/>
  <c r="F235" i="33"/>
  <c r="I7" i="33"/>
  <c r="Q7" i="33"/>
  <c r="Q92" i="33"/>
  <c r="AI249" i="33"/>
  <c r="J232" i="33"/>
  <c r="K232" i="33" s="1"/>
  <c r="L232" i="33" s="1"/>
  <c r="M232" i="33" s="1"/>
  <c r="N232" i="33" s="1"/>
  <c r="O232" i="33" s="1"/>
  <c r="P232" i="33" s="1"/>
  <c r="Z7" i="33"/>
  <c r="Z92" i="33"/>
  <c r="AR249" i="33"/>
  <c r="F5" i="33"/>
  <c r="N5" i="33"/>
  <c r="V5" i="33"/>
  <c r="AD5" i="33"/>
  <c r="E235" i="33"/>
  <c r="H5" i="33"/>
  <c r="P5" i="33"/>
  <c r="X5" i="33"/>
  <c r="F234" i="33"/>
  <c r="B235" i="33"/>
  <c r="AF7" i="33" l="1"/>
  <c r="AF92" i="33"/>
  <c r="AD92" i="33"/>
  <c r="AD7" i="33"/>
  <c r="AE7" i="33"/>
  <c r="AE92" i="33"/>
  <c r="AC7" i="33"/>
  <c r="AC92" i="33"/>
  <c r="AT249" i="33"/>
  <c r="AB92" i="33"/>
  <c r="AA92" i="33"/>
  <c r="AA7" i="33"/>
  <c r="AQ249" i="33"/>
  <c r="Y92" i="33"/>
  <c r="X7" i="33"/>
  <c r="AP249" i="33"/>
  <c r="W92" i="33"/>
  <c r="W7" i="33"/>
  <c r="V92" i="33"/>
  <c r="V7" i="33"/>
  <c r="U92" i="33"/>
  <c r="U7" i="33"/>
  <c r="T7" i="33"/>
  <c r="T92" i="33"/>
  <c r="AK249" i="33"/>
  <c r="S92" i="33"/>
  <c r="R7" i="33"/>
  <c r="AJ249" i="33"/>
  <c r="AH249" i="33"/>
  <c r="P92" i="33"/>
  <c r="O92" i="33"/>
  <c r="O7" i="33"/>
  <c r="N7" i="33"/>
  <c r="N92" i="33"/>
  <c r="AE249" i="33"/>
  <c r="M92" i="33"/>
  <c r="L7" i="33"/>
  <c r="AB249" i="33"/>
  <c r="J92" i="33"/>
  <c r="G92" i="33"/>
  <c r="Y249" i="33"/>
  <c r="AD249" i="33"/>
  <c r="K92" i="33"/>
  <c r="K7" i="33"/>
  <c r="W249" i="33"/>
  <c r="AA249" i="33"/>
  <c r="H92" i="33"/>
  <c r="Z249" i="33"/>
  <c r="F92" i="33"/>
  <c r="F7" i="33"/>
  <c r="C92" i="33"/>
  <c r="E92" i="33"/>
  <c r="V249" i="33"/>
  <c r="D92" i="33"/>
  <c r="B244" i="33"/>
  <c r="C244" i="33"/>
  <c r="AH89" i="33"/>
  <c r="U249" i="33"/>
  <c r="AI89" i="33"/>
  <c r="B91" i="33"/>
  <c r="B92" i="33" s="1"/>
  <c r="AH91" i="33"/>
  <c r="AI91" i="33"/>
  <c r="H229" i="33"/>
  <c r="E270" i="33"/>
  <c r="G234" i="33"/>
  <c r="G110" i="33" s="1"/>
  <c r="K6" i="33" l="1"/>
  <c r="T249" i="33"/>
  <c r="B7" i="33"/>
  <c r="A7" i="33" s="1"/>
  <c r="AI92" i="33"/>
  <c r="AH92" i="33"/>
  <c r="I229" i="33"/>
  <c r="F270" i="33"/>
  <c r="H234" i="33"/>
  <c r="G235" i="33"/>
  <c r="G270" i="33" l="1"/>
  <c r="I234" i="33"/>
  <c r="H235" i="33"/>
  <c r="H110" i="33"/>
  <c r="I110" i="33"/>
  <c r="J229" i="33"/>
  <c r="K229" i="33" l="1"/>
  <c r="H270" i="33"/>
  <c r="J234" i="33"/>
  <c r="K234" i="33" l="1"/>
  <c r="I270" i="33"/>
  <c r="K110" i="33"/>
  <c r="L229" i="33"/>
  <c r="J110" i="33"/>
  <c r="M229" i="33" l="1"/>
  <c r="J270" i="33"/>
  <c r="L234" i="33"/>
  <c r="M234" i="33" l="1"/>
  <c r="K270" i="33"/>
  <c r="L110" i="33"/>
  <c r="N229" i="33"/>
  <c r="M110" i="33"/>
  <c r="O229" i="33" l="1"/>
  <c r="N110" i="33"/>
  <c r="L270" i="33"/>
  <c r="N234" i="33"/>
  <c r="M270" i="33" l="1"/>
  <c r="O234" i="33"/>
  <c r="P229" i="33"/>
  <c r="O110" i="33"/>
  <c r="AI110" i="33" s="1"/>
  <c r="AH110" i="33" l="1"/>
  <c r="N270" i="33"/>
  <c r="P234" i="33"/>
  <c r="O270" i="33" s="1"/>
  <c r="D50" i="32" l="1"/>
  <c r="E50" i="32"/>
  <c r="F50" i="32"/>
  <c r="G50" i="32"/>
  <c r="H50" i="32"/>
  <c r="B84" i="32"/>
  <c r="B100" i="32" s="1"/>
  <c r="B72" i="32"/>
  <c r="B68" i="32"/>
  <c r="B54" i="32"/>
  <c r="B50" i="32"/>
  <c r="AF274" i="32"/>
  <c r="AE274" i="32"/>
  <c r="AD274" i="32"/>
  <c r="AC274" i="32"/>
  <c r="AB274" i="32"/>
  <c r="AA274" i="32"/>
  <c r="Z274" i="32"/>
  <c r="Y274" i="32"/>
  <c r="X274" i="32"/>
  <c r="W274" i="32"/>
  <c r="V274" i="32"/>
  <c r="U274" i="32"/>
  <c r="T274" i="32"/>
  <c r="S274" i="32"/>
  <c r="R274" i="32"/>
  <c r="Q274" i="32"/>
  <c r="P274" i="32"/>
  <c r="O274" i="32"/>
  <c r="N274" i="32"/>
  <c r="M274" i="32"/>
  <c r="L274" i="32"/>
  <c r="K274" i="32"/>
  <c r="J274" i="32"/>
  <c r="I274" i="32"/>
  <c r="H274" i="32"/>
  <c r="G274" i="32"/>
  <c r="F274" i="32"/>
  <c r="E274" i="32"/>
  <c r="D274" i="32"/>
  <c r="C274" i="32"/>
  <c r="B274" i="32"/>
  <c r="A274" i="32"/>
  <c r="AF273" i="32"/>
  <c r="AE273" i="32"/>
  <c r="AD273" i="32"/>
  <c r="AC273" i="32"/>
  <c r="AB273" i="32"/>
  <c r="AA273" i="32"/>
  <c r="Z273" i="32"/>
  <c r="Y273" i="32"/>
  <c r="X273" i="32"/>
  <c r="W273" i="32"/>
  <c r="V273" i="32"/>
  <c r="U273" i="32"/>
  <c r="T273" i="32"/>
  <c r="S273" i="32"/>
  <c r="R273" i="32"/>
  <c r="Q273" i="32"/>
  <c r="P273" i="32"/>
  <c r="O273" i="32"/>
  <c r="N273" i="32"/>
  <c r="M273" i="32"/>
  <c r="L273" i="32"/>
  <c r="K273" i="32"/>
  <c r="J273" i="32"/>
  <c r="I273" i="32"/>
  <c r="H273" i="32"/>
  <c r="G273" i="32"/>
  <c r="F273" i="32"/>
  <c r="E273" i="32"/>
  <c r="D273" i="32"/>
  <c r="C273" i="32"/>
  <c r="B273" i="32"/>
  <c r="A273" i="32"/>
  <c r="AF272" i="32"/>
  <c r="AE272" i="32"/>
  <c r="AD272" i="32"/>
  <c r="AC272" i="32"/>
  <c r="AB272" i="32"/>
  <c r="AA272" i="32"/>
  <c r="Z272" i="32"/>
  <c r="Y272" i="32"/>
  <c r="X272" i="32"/>
  <c r="W272" i="32"/>
  <c r="V272" i="32"/>
  <c r="U272" i="32"/>
  <c r="T272" i="32"/>
  <c r="S272" i="32"/>
  <c r="R272" i="32"/>
  <c r="Q272" i="32"/>
  <c r="P272" i="32"/>
  <c r="O272" i="32"/>
  <c r="N272" i="32"/>
  <c r="M272" i="32"/>
  <c r="L272" i="32"/>
  <c r="K272" i="32"/>
  <c r="J272" i="32"/>
  <c r="I272" i="32"/>
  <c r="H272" i="32"/>
  <c r="G272" i="32"/>
  <c r="F272" i="32"/>
  <c r="E272" i="32"/>
  <c r="D272" i="32"/>
  <c r="C272" i="32"/>
  <c r="B272" i="32"/>
  <c r="A272" i="32"/>
  <c r="AF271" i="32"/>
  <c r="AE271" i="32"/>
  <c r="AD271" i="32"/>
  <c r="AC271" i="32"/>
  <c r="AB271" i="32"/>
  <c r="AA271" i="32"/>
  <c r="Z271" i="32"/>
  <c r="Y271" i="32"/>
  <c r="X271" i="32"/>
  <c r="W271" i="32"/>
  <c r="V271" i="32"/>
  <c r="U271" i="32"/>
  <c r="T271" i="32"/>
  <c r="S271" i="32"/>
  <c r="R271" i="32"/>
  <c r="Q271" i="32"/>
  <c r="P271" i="32"/>
  <c r="O271" i="32"/>
  <c r="N271" i="32"/>
  <c r="M271" i="32"/>
  <c r="L271" i="32"/>
  <c r="K271" i="32"/>
  <c r="J271" i="32"/>
  <c r="I271" i="32"/>
  <c r="H271" i="32"/>
  <c r="G271" i="32"/>
  <c r="F271" i="32"/>
  <c r="E271" i="32"/>
  <c r="D271" i="32"/>
  <c r="C271" i="32"/>
  <c r="B271" i="32"/>
  <c r="A271" i="32"/>
  <c r="AE270" i="32"/>
  <c r="AD270" i="32"/>
  <c r="AC270" i="32"/>
  <c r="AB270" i="32"/>
  <c r="AA270" i="32"/>
  <c r="Z270" i="32"/>
  <c r="Y270" i="32"/>
  <c r="X270" i="32"/>
  <c r="W270" i="32"/>
  <c r="V270" i="32"/>
  <c r="U270" i="32"/>
  <c r="T270" i="32"/>
  <c r="S270" i="32"/>
  <c r="R270" i="32"/>
  <c r="Q270" i="32"/>
  <c r="P270" i="32"/>
  <c r="B270" i="32"/>
  <c r="S245" i="32"/>
  <c r="AG235" i="32"/>
  <c r="AF235" i="32"/>
  <c r="AE235" i="32"/>
  <c r="AD235" i="32"/>
  <c r="AC235" i="32"/>
  <c r="AB235" i="32"/>
  <c r="AA235" i="32"/>
  <c r="Z235" i="32"/>
  <c r="Y235" i="32"/>
  <c r="X235" i="32"/>
  <c r="W235" i="32"/>
  <c r="V235" i="32"/>
  <c r="U235" i="32"/>
  <c r="T235" i="32"/>
  <c r="S235" i="32"/>
  <c r="R235" i="32"/>
  <c r="Q235" i="32"/>
  <c r="C235" i="32"/>
  <c r="D234" i="32"/>
  <c r="C270" i="32" s="1"/>
  <c r="B234" i="32"/>
  <c r="AF270" i="32" s="1"/>
  <c r="D233" i="32"/>
  <c r="E233" i="32" s="1"/>
  <c r="F233" i="32" s="1"/>
  <c r="G233" i="32" s="1"/>
  <c r="H233" i="32" s="1"/>
  <c r="I233" i="32" s="1"/>
  <c r="J233" i="32" s="1"/>
  <c r="K233" i="32" s="1"/>
  <c r="L233" i="32" s="1"/>
  <c r="M233" i="32" s="1"/>
  <c r="N233" i="32" s="1"/>
  <c r="O233" i="32" s="1"/>
  <c r="P233" i="32" s="1"/>
  <c r="B233" i="32"/>
  <c r="D232" i="32"/>
  <c r="E232" i="32" s="1"/>
  <c r="F232" i="32" s="1"/>
  <c r="G232" i="32" s="1"/>
  <c r="H232" i="32" s="1"/>
  <c r="I232" i="32" s="1"/>
  <c r="B232" i="32"/>
  <c r="E231" i="32"/>
  <c r="F231" i="32" s="1"/>
  <c r="G231" i="32" s="1"/>
  <c r="H231" i="32" s="1"/>
  <c r="D231" i="32"/>
  <c r="B231" i="32"/>
  <c r="D230" i="32"/>
  <c r="B230" i="32"/>
  <c r="D229" i="32"/>
  <c r="E229" i="32" s="1"/>
  <c r="B229" i="32"/>
  <c r="B110" i="32" s="1"/>
  <c r="AG227" i="32"/>
  <c r="AF227" i="32"/>
  <c r="AE227" i="32"/>
  <c r="AD227" i="32"/>
  <c r="AC227" i="32"/>
  <c r="AB227" i="32"/>
  <c r="AA227" i="32"/>
  <c r="Z227" i="32"/>
  <c r="Y227" i="32"/>
  <c r="X227" i="32"/>
  <c r="W227" i="32"/>
  <c r="V227" i="32"/>
  <c r="U227" i="32"/>
  <c r="T227" i="32"/>
  <c r="S227" i="32"/>
  <c r="R227" i="32"/>
  <c r="Q227" i="32"/>
  <c r="P227" i="32"/>
  <c r="O227" i="32"/>
  <c r="N227" i="32"/>
  <c r="M227" i="32"/>
  <c r="L227" i="32"/>
  <c r="K227" i="32"/>
  <c r="J227" i="32"/>
  <c r="I227" i="32"/>
  <c r="H227" i="32"/>
  <c r="G227" i="32"/>
  <c r="F227" i="32"/>
  <c r="E227" i="32"/>
  <c r="D227" i="32"/>
  <c r="C227" i="32"/>
  <c r="B227" i="32"/>
  <c r="AF110" i="32"/>
  <c r="AE110" i="32"/>
  <c r="AC110" i="32"/>
  <c r="AB110" i="32"/>
  <c r="AA110" i="32"/>
  <c r="Z110" i="32"/>
  <c r="Y110" i="32"/>
  <c r="X110" i="32"/>
  <c r="W110" i="32"/>
  <c r="V110" i="32"/>
  <c r="U110" i="32"/>
  <c r="T110" i="32"/>
  <c r="S110" i="32"/>
  <c r="R110" i="32"/>
  <c r="Q110" i="32"/>
  <c r="D110" i="32"/>
  <c r="C110" i="32"/>
  <c r="AG88" i="32"/>
  <c r="AN84" i="32"/>
  <c r="AG84" i="32"/>
  <c r="AF84" i="32"/>
  <c r="AF100" i="32" s="1"/>
  <c r="AE84" i="32"/>
  <c r="AD5" i="32" s="1"/>
  <c r="AD84" i="32"/>
  <c r="AD100" i="32" s="1"/>
  <c r="AC100" i="32"/>
  <c r="AB84" i="32"/>
  <c r="AB100" i="32" s="1"/>
  <c r="AA84" i="32"/>
  <c r="Z100" i="32"/>
  <c r="Y84" i="32"/>
  <c r="Y100" i="32" s="1"/>
  <c r="X84" i="32"/>
  <c r="W5" i="32" s="1"/>
  <c r="W84" i="32"/>
  <c r="V5" i="32" s="1"/>
  <c r="V84" i="32"/>
  <c r="V100" i="32" s="1"/>
  <c r="U84" i="32"/>
  <c r="T5" i="32" s="1"/>
  <c r="T84" i="32"/>
  <c r="T100" i="32" s="1"/>
  <c r="S84" i="32"/>
  <c r="R5" i="32" s="1"/>
  <c r="R84" i="32"/>
  <c r="R100" i="32" s="1"/>
  <c r="Q84" i="32"/>
  <c r="Q100" i="32" s="1"/>
  <c r="P84" i="32"/>
  <c r="P100" i="32" s="1"/>
  <c r="O84" i="32"/>
  <c r="N5" i="32" s="1"/>
  <c r="N84" i="32"/>
  <c r="N100" i="32" s="1"/>
  <c r="M84" i="32"/>
  <c r="M100" i="32" s="1"/>
  <c r="L84" i="32"/>
  <c r="L100" i="32" s="1"/>
  <c r="K84" i="32"/>
  <c r="K100" i="32" s="1"/>
  <c r="J84" i="32"/>
  <c r="J100" i="32" s="1"/>
  <c r="I84" i="32"/>
  <c r="I100" i="32" s="1"/>
  <c r="H84" i="32"/>
  <c r="G5" i="32" s="1"/>
  <c r="G84" i="32"/>
  <c r="F5" i="32" s="1"/>
  <c r="F84" i="32"/>
  <c r="F100" i="32" s="1"/>
  <c r="E84" i="32"/>
  <c r="E100" i="32" s="1"/>
  <c r="D84" i="32"/>
  <c r="D100" i="32" s="1"/>
  <c r="C84" i="32"/>
  <c r="B5" i="32" s="1"/>
  <c r="AN82" i="32"/>
  <c r="AN83" i="32" s="1"/>
  <c r="AN81" i="32"/>
  <c r="AG72" i="32"/>
  <c r="AG4" i="32" s="1"/>
  <c r="AF72" i="32"/>
  <c r="AE72" i="32"/>
  <c r="AD72" i="32"/>
  <c r="AC72" i="32"/>
  <c r="Z72" i="32"/>
  <c r="Y72" i="32"/>
  <c r="X72" i="32"/>
  <c r="W72" i="32"/>
  <c r="V72" i="32"/>
  <c r="U72" i="32"/>
  <c r="T72" i="32"/>
  <c r="S72" i="32"/>
  <c r="Q72" i="32"/>
  <c r="P72" i="32"/>
  <c r="O72" i="32"/>
  <c r="N72" i="32"/>
  <c r="M72" i="32"/>
  <c r="L72" i="32"/>
  <c r="AF68" i="32"/>
  <c r="AE68" i="32"/>
  <c r="AD68" i="32"/>
  <c r="AC68" i="32"/>
  <c r="AB68" i="32"/>
  <c r="Z68" i="32"/>
  <c r="Y68" i="32"/>
  <c r="X68" i="32"/>
  <c r="W68" i="32"/>
  <c r="V68" i="32"/>
  <c r="U68" i="32"/>
  <c r="T68" i="32"/>
  <c r="S68" i="32"/>
  <c r="Q68" i="32"/>
  <c r="P68" i="32"/>
  <c r="O68" i="32"/>
  <c r="N68" i="32"/>
  <c r="M68" i="32"/>
  <c r="L68" i="32"/>
  <c r="K68" i="32"/>
  <c r="J68" i="32"/>
  <c r="I68" i="32"/>
  <c r="H68" i="32"/>
  <c r="G68" i="32"/>
  <c r="F68" i="32"/>
  <c r="E68" i="32"/>
  <c r="D68" i="32"/>
  <c r="C68" i="32"/>
  <c r="AG67" i="32"/>
  <c r="AG68" i="32" s="1"/>
  <c r="AG3" i="32" s="1"/>
  <c r="AG6" i="32" s="1"/>
  <c r="AG54" i="32"/>
  <c r="AF54" i="32"/>
  <c r="AE54" i="32"/>
  <c r="AD54" i="32"/>
  <c r="AC54" i="32"/>
  <c r="AB54" i="32"/>
  <c r="Z54" i="32"/>
  <c r="Y54" i="32"/>
  <c r="X54" i="32"/>
  <c r="W54" i="32"/>
  <c r="V54" i="32"/>
  <c r="U54" i="32"/>
  <c r="T54" i="32"/>
  <c r="S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0" i="32"/>
  <c r="AF50" i="32"/>
  <c r="AE50" i="32"/>
  <c r="AD50" i="32"/>
  <c r="AC50" i="32"/>
  <c r="AB50" i="32"/>
  <c r="Z50" i="32"/>
  <c r="Y50" i="32"/>
  <c r="X50" i="32"/>
  <c r="W50" i="32"/>
  <c r="V50" i="32"/>
  <c r="U50" i="32"/>
  <c r="T50" i="32"/>
  <c r="Q50" i="32"/>
  <c r="P50" i="32"/>
  <c r="O50" i="32"/>
  <c r="N50" i="32"/>
  <c r="M50" i="32"/>
  <c r="L50" i="32"/>
  <c r="K50" i="32"/>
  <c r="J50" i="32"/>
  <c r="I50" i="32"/>
  <c r="C50" i="32"/>
  <c r="AI15" i="32"/>
  <c r="AH15" i="32"/>
  <c r="AI14" i="32"/>
  <c r="AH14" i="32"/>
  <c r="AI13" i="32"/>
  <c r="AH13" i="32"/>
  <c r="AI12" i="32"/>
  <c r="AH12" i="32"/>
  <c r="AI11" i="32"/>
  <c r="AH11" i="32"/>
  <c r="K4" i="32"/>
  <c r="E4" i="32"/>
  <c r="H4" i="32" s="1"/>
  <c r="B4" i="32"/>
  <c r="S246" i="32" s="1"/>
  <c r="AG2" i="32"/>
  <c r="AA113" i="30"/>
  <c r="AA110" i="30"/>
  <c r="AA84" i="30"/>
  <c r="AA100" i="30" s="1"/>
  <c r="AA72" i="30"/>
  <c r="AA68" i="30"/>
  <c r="AA54" i="30"/>
  <c r="AA50" i="30"/>
  <c r="AA89" i="30" s="1"/>
  <c r="AA91" i="30" s="1"/>
  <c r="AA92" i="30" s="1"/>
  <c r="AA100" i="32" l="1"/>
  <c r="AH84" i="32"/>
  <c r="AI84" i="32"/>
  <c r="AH110" i="32"/>
  <c r="AI110" i="32"/>
  <c r="AH50" i="32"/>
  <c r="AI50" i="32"/>
  <c r="AC5" i="32"/>
  <c r="AB5" i="32"/>
  <c r="AB89" i="32"/>
  <c r="AB91" i="32" s="1"/>
  <c r="AB92" i="32" s="1"/>
  <c r="Y5" i="32"/>
  <c r="U5" i="32"/>
  <c r="U100" i="32"/>
  <c r="T89" i="32"/>
  <c r="T91" i="32" s="1"/>
  <c r="AL249" i="32" s="1"/>
  <c r="Q5" i="32"/>
  <c r="M5" i="32"/>
  <c r="L5" i="32"/>
  <c r="AF5" i="32"/>
  <c r="I5" i="32"/>
  <c r="F89" i="32"/>
  <c r="F91" i="32" s="1"/>
  <c r="F92" i="32" s="1"/>
  <c r="E5" i="32"/>
  <c r="D5" i="32"/>
  <c r="F229" i="32"/>
  <c r="G229" i="32" s="1"/>
  <c r="V89" i="32"/>
  <c r="V91" i="32" s="1"/>
  <c r="V7" i="32" s="1"/>
  <c r="W89" i="32"/>
  <c r="W91" i="32" s="1"/>
  <c r="W7" i="32" s="1"/>
  <c r="N89" i="32"/>
  <c r="N91" i="32" s="1"/>
  <c r="AF249" i="32" s="1"/>
  <c r="AD89" i="32"/>
  <c r="AD91" i="32" s="1"/>
  <c r="AD7" i="32" s="1"/>
  <c r="G89" i="32"/>
  <c r="G91" i="32" s="1"/>
  <c r="Y249" i="32" s="1"/>
  <c r="O89" i="32"/>
  <c r="O91" i="32" s="1"/>
  <c r="AG249" i="32" s="1"/>
  <c r="AE89" i="32"/>
  <c r="AE91" i="32" s="1"/>
  <c r="AW249" i="32" s="1"/>
  <c r="H89" i="32"/>
  <c r="H91" i="32" s="1"/>
  <c r="H7" i="32" s="1"/>
  <c r="P89" i="32"/>
  <c r="P91" i="32" s="1"/>
  <c r="AH249" i="32" s="1"/>
  <c r="X89" i="32"/>
  <c r="X91" i="32" s="1"/>
  <c r="AP249" i="32" s="1"/>
  <c r="AF89" i="32"/>
  <c r="J5" i="32"/>
  <c r="Z5" i="32"/>
  <c r="I89" i="32"/>
  <c r="I91" i="32" s="1"/>
  <c r="I7" i="32" s="1"/>
  <c r="Q89" i="32"/>
  <c r="Q91" i="32" s="1"/>
  <c r="Q7" i="32" s="1"/>
  <c r="Y89" i="32"/>
  <c r="Y91" i="32" s="1"/>
  <c r="AQ249" i="32" s="1"/>
  <c r="AG89" i="32"/>
  <c r="K89" i="32"/>
  <c r="K91" i="32" s="1"/>
  <c r="K92" i="32" s="1"/>
  <c r="S100" i="32"/>
  <c r="E234" i="32"/>
  <c r="D270" i="32" s="1"/>
  <c r="D235" i="32"/>
  <c r="AG91" i="32"/>
  <c r="E89" i="32"/>
  <c r="E91" i="32" s="1"/>
  <c r="E92" i="32" s="1"/>
  <c r="M89" i="32"/>
  <c r="M91" i="32" s="1"/>
  <c r="AE249" i="32" s="1"/>
  <c r="U89" i="32"/>
  <c r="U91" i="32" s="1"/>
  <c r="U92" i="32" s="1"/>
  <c r="AC89" i="32"/>
  <c r="AC91" i="32" s="1"/>
  <c r="AU249" i="32" s="1"/>
  <c r="E230" i="32"/>
  <c r="F230" i="32" s="1"/>
  <c r="J89" i="32"/>
  <c r="J91" i="32" s="1"/>
  <c r="J92" i="32" s="1"/>
  <c r="D89" i="32"/>
  <c r="D91" i="32" s="1"/>
  <c r="D92" i="32" s="1"/>
  <c r="R89" i="32"/>
  <c r="R91" i="32" s="1"/>
  <c r="R92" i="32" s="1"/>
  <c r="Z89" i="32"/>
  <c r="Z91" i="32" s="1"/>
  <c r="Z92" i="32" s="1"/>
  <c r="S89" i="32"/>
  <c r="S91" i="32" s="1"/>
  <c r="S7" i="32" s="1"/>
  <c r="AA89" i="32"/>
  <c r="AA91" i="32" s="1"/>
  <c r="AA92" i="32" s="1"/>
  <c r="C100" i="32"/>
  <c r="C89" i="32"/>
  <c r="C91" i="32" s="1"/>
  <c r="C92" i="32" s="1"/>
  <c r="B89" i="32"/>
  <c r="B91" i="32" s="1"/>
  <c r="B92" i="32" s="1"/>
  <c r="H229" i="32"/>
  <c r="J232" i="32"/>
  <c r="K232" i="32" s="1"/>
  <c r="L232" i="32" s="1"/>
  <c r="M232" i="32" s="1"/>
  <c r="N232" i="32" s="1"/>
  <c r="O232" i="32" s="1"/>
  <c r="P232" i="32" s="1"/>
  <c r="G230" i="32"/>
  <c r="H230" i="32" s="1"/>
  <c r="I230" i="32" s="1"/>
  <c r="J230" i="32" s="1"/>
  <c r="K230" i="32" s="1"/>
  <c r="L230" i="32" s="1"/>
  <c r="M230" i="32" s="1"/>
  <c r="N230" i="32" s="1"/>
  <c r="O230" i="32" s="1"/>
  <c r="P230" i="32" s="1"/>
  <c r="F235" i="32"/>
  <c r="L89" i="32"/>
  <c r="L91" i="32" s="1"/>
  <c r="G100" i="32"/>
  <c r="O100" i="32"/>
  <c r="W100" i="32"/>
  <c r="AE100" i="32"/>
  <c r="E235" i="32"/>
  <c r="D246" i="32"/>
  <c r="O5" i="32"/>
  <c r="AE5" i="32"/>
  <c r="H100" i="32"/>
  <c r="X100" i="32"/>
  <c r="H5" i="32"/>
  <c r="P5" i="32"/>
  <c r="X5" i="32"/>
  <c r="F110" i="32"/>
  <c r="F234" i="32"/>
  <c r="C5" i="32"/>
  <c r="K5" i="32"/>
  <c r="S5" i="32"/>
  <c r="AA5" i="32"/>
  <c r="B235" i="32"/>
  <c r="Z113" i="30"/>
  <c r="AI100" i="32" l="1"/>
  <c r="AH100" i="32"/>
  <c r="AF91" i="32"/>
  <c r="AH89" i="32"/>
  <c r="AI89" i="32"/>
  <c r="AF92" i="32"/>
  <c r="AX249" i="32"/>
  <c r="AE7" i="32"/>
  <c r="AE92" i="32"/>
  <c r="AV249" i="32"/>
  <c r="AC7" i="32"/>
  <c r="AC92" i="32"/>
  <c r="AT249" i="32"/>
  <c r="AB7" i="32"/>
  <c r="Y92" i="32"/>
  <c r="Y7" i="32"/>
  <c r="X92" i="32"/>
  <c r="X7" i="32"/>
  <c r="AO249" i="32"/>
  <c r="W92" i="32"/>
  <c r="V92" i="32"/>
  <c r="AN249" i="32"/>
  <c r="U7" i="32"/>
  <c r="AM249" i="32"/>
  <c r="T92" i="32"/>
  <c r="T7" i="32"/>
  <c r="S92" i="32"/>
  <c r="AK249" i="32"/>
  <c r="X249" i="32"/>
  <c r="F7" i="32"/>
  <c r="AI249" i="32"/>
  <c r="Q92" i="32"/>
  <c r="P7" i="32"/>
  <c r="P92" i="32"/>
  <c r="N7" i="32"/>
  <c r="N92" i="32"/>
  <c r="M92" i="32"/>
  <c r="M7" i="32"/>
  <c r="AC249" i="32"/>
  <c r="J7" i="32"/>
  <c r="AB249" i="32"/>
  <c r="K7" i="32"/>
  <c r="Z249" i="32"/>
  <c r="H92" i="32"/>
  <c r="E7" i="32"/>
  <c r="W249" i="32"/>
  <c r="D7" i="32"/>
  <c r="V249" i="32"/>
  <c r="C7" i="32"/>
  <c r="U249" i="32"/>
  <c r="O92" i="32"/>
  <c r="AD92" i="32"/>
  <c r="G7" i="32"/>
  <c r="AJ249" i="32"/>
  <c r="O7" i="32"/>
  <c r="G92" i="32"/>
  <c r="R7" i="32"/>
  <c r="AA249" i="32"/>
  <c r="B244" i="32"/>
  <c r="I92" i="32"/>
  <c r="E110" i="32"/>
  <c r="AS249" i="32"/>
  <c r="AA7" i="32"/>
  <c r="AR249" i="32"/>
  <c r="Z7" i="32"/>
  <c r="I229" i="32"/>
  <c r="L92" i="32"/>
  <c r="AD249" i="32"/>
  <c r="L7" i="32"/>
  <c r="C244" i="32"/>
  <c r="B7" i="32"/>
  <c r="T249" i="32"/>
  <c r="E270" i="32"/>
  <c r="G234" i="32"/>
  <c r="G235" i="32" s="1"/>
  <c r="S113" i="30"/>
  <c r="O50" i="30"/>
  <c r="O54" i="30"/>
  <c r="AH92" i="32" l="1"/>
  <c r="AI92" i="32"/>
  <c r="AF7" i="32"/>
  <c r="AH91" i="32"/>
  <c r="AI91" i="32"/>
  <c r="K6" i="32"/>
  <c r="F270" i="32"/>
  <c r="H234" i="32"/>
  <c r="G110" i="32"/>
  <c r="A7" i="32"/>
  <c r="J229" i="32"/>
  <c r="L113" i="30"/>
  <c r="H72" i="30"/>
  <c r="I72" i="30"/>
  <c r="J72" i="30"/>
  <c r="K72" i="30"/>
  <c r="K113" i="30"/>
  <c r="J113" i="30"/>
  <c r="I113" i="30"/>
  <c r="H113" i="30"/>
  <c r="L18" i="31"/>
  <c r="L17" i="31"/>
  <c r="M14" i="31"/>
  <c r="L15" i="31"/>
  <c r="L14" i="31"/>
  <c r="M13" i="31"/>
  <c r="L13" i="31"/>
  <c r="M12" i="31"/>
  <c r="L12" i="31"/>
  <c r="M11" i="31"/>
  <c r="L11" i="31"/>
  <c r="M10" i="31"/>
  <c r="L10" i="31"/>
  <c r="G113" i="30"/>
  <c r="F113" i="30"/>
  <c r="E113" i="30"/>
  <c r="AF274" i="30"/>
  <c r="AE274" i="30"/>
  <c r="AD274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J274" i="30"/>
  <c r="I274" i="30"/>
  <c r="H274" i="30"/>
  <c r="G274" i="30"/>
  <c r="F274" i="30"/>
  <c r="E274" i="30"/>
  <c r="D274" i="30"/>
  <c r="C274" i="30"/>
  <c r="B274" i="30"/>
  <c r="A274" i="30"/>
  <c r="AF273" i="30"/>
  <c r="AE273" i="30"/>
  <c r="AD273" i="30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J273" i="30"/>
  <c r="I273" i="30"/>
  <c r="H273" i="30"/>
  <c r="G273" i="30"/>
  <c r="F273" i="30"/>
  <c r="E273" i="30"/>
  <c r="D273" i="30"/>
  <c r="C273" i="30"/>
  <c r="B273" i="30"/>
  <c r="A273" i="30"/>
  <c r="AF272" i="30"/>
  <c r="AE272" i="30"/>
  <c r="AD272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J272" i="30"/>
  <c r="I272" i="30"/>
  <c r="H272" i="30"/>
  <c r="G272" i="30"/>
  <c r="F272" i="30"/>
  <c r="E272" i="30"/>
  <c r="D272" i="30"/>
  <c r="C272" i="30"/>
  <c r="B272" i="30"/>
  <c r="A272" i="30"/>
  <c r="AF271" i="30"/>
  <c r="AE271" i="30"/>
  <c r="AD271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J271" i="30"/>
  <c r="I271" i="30"/>
  <c r="H271" i="30"/>
  <c r="G271" i="30"/>
  <c r="F271" i="30"/>
  <c r="E271" i="30"/>
  <c r="D271" i="30"/>
  <c r="C271" i="30"/>
  <c r="B271" i="30"/>
  <c r="A271" i="30"/>
  <c r="AE270" i="30"/>
  <c r="AD270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B270" i="30"/>
  <c r="S245" i="30"/>
  <c r="AG235" i="30"/>
  <c r="AF235" i="30"/>
  <c r="AE235" i="30"/>
  <c r="AD235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D235" i="30"/>
  <c r="C235" i="30"/>
  <c r="E234" i="30"/>
  <c r="D270" i="30" s="1"/>
  <c r="D234" i="30"/>
  <c r="C270" i="30" s="1"/>
  <c r="B234" i="30"/>
  <c r="AF270" i="30" s="1"/>
  <c r="D233" i="30"/>
  <c r="E233" i="30" s="1"/>
  <c r="F233" i="30" s="1"/>
  <c r="G233" i="30" s="1"/>
  <c r="H233" i="30" s="1"/>
  <c r="I233" i="30" s="1"/>
  <c r="J233" i="30" s="1"/>
  <c r="K233" i="30" s="1"/>
  <c r="L233" i="30" s="1"/>
  <c r="M233" i="30" s="1"/>
  <c r="N233" i="30" s="1"/>
  <c r="O233" i="30" s="1"/>
  <c r="P233" i="30" s="1"/>
  <c r="B233" i="30"/>
  <c r="D232" i="30"/>
  <c r="E232" i="30" s="1"/>
  <c r="F232" i="30" s="1"/>
  <c r="G232" i="30" s="1"/>
  <c r="H232" i="30" s="1"/>
  <c r="I232" i="30" s="1"/>
  <c r="B232" i="30"/>
  <c r="E231" i="30"/>
  <c r="F231" i="30" s="1"/>
  <c r="G231" i="30" s="1"/>
  <c r="H231" i="30" s="1"/>
  <c r="D231" i="30"/>
  <c r="B231" i="30"/>
  <c r="E230" i="30"/>
  <c r="F230" i="30" s="1"/>
  <c r="D230" i="30"/>
  <c r="B230" i="30"/>
  <c r="F229" i="30"/>
  <c r="G229" i="30" s="1"/>
  <c r="E229" i="30"/>
  <c r="E235" i="30" s="1"/>
  <c r="D229" i="30"/>
  <c r="B229" i="30"/>
  <c r="B110" i="30" s="1"/>
  <c r="AG227" i="30"/>
  <c r="AF227" i="30"/>
  <c r="AE227" i="30"/>
  <c r="AD227" i="30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J227" i="30"/>
  <c r="I227" i="30"/>
  <c r="H227" i="30"/>
  <c r="G227" i="30"/>
  <c r="F227" i="30"/>
  <c r="E227" i="30"/>
  <c r="D227" i="30"/>
  <c r="C227" i="30"/>
  <c r="B227" i="30"/>
  <c r="AI120" i="30"/>
  <c r="AH120" i="30"/>
  <c r="AI119" i="30"/>
  <c r="AH119" i="30"/>
  <c r="AI118" i="30"/>
  <c r="AH118" i="30"/>
  <c r="AI117" i="30"/>
  <c r="AH117" i="30"/>
  <c r="AI116" i="30"/>
  <c r="AH116" i="30"/>
  <c r="AI115" i="30"/>
  <c r="AH115" i="30"/>
  <c r="AI114" i="30"/>
  <c r="AH114" i="30"/>
  <c r="AI112" i="30"/>
  <c r="AH112" i="30"/>
  <c r="AI111" i="30"/>
  <c r="AH111" i="30"/>
  <c r="AF110" i="30"/>
  <c r="AE110" i="30"/>
  <c r="AC110" i="30"/>
  <c r="AB110" i="30"/>
  <c r="Z110" i="30"/>
  <c r="Y110" i="30"/>
  <c r="X110" i="30"/>
  <c r="W110" i="30"/>
  <c r="V110" i="30"/>
  <c r="U110" i="30"/>
  <c r="T110" i="30"/>
  <c r="S110" i="30"/>
  <c r="R110" i="30"/>
  <c r="Q110" i="30"/>
  <c r="E110" i="30"/>
  <c r="D110" i="30"/>
  <c r="C110" i="30"/>
  <c r="AI109" i="30"/>
  <c r="AH109" i="30"/>
  <c r="AI108" i="30"/>
  <c r="AH108" i="30"/>
  <c r="AI107" i="30"/>
  <c r="AH107" i="30"/>
  <c r="AI106" i="30"/>
  <c r="AH106" i="30"/>
  <c r="AI105" i="30"/>
  <c r="AH105" i="30"/>
  <c r="AI104" i="30"/>
  <c r="AH104" i="30"/>
  <c r="AI103" i="30"/>
  <c r="AH103" i="30"/>
  <c r="AI102" i="30"/>
  <c r="AH102" i="30"/>
  <c r="AI101" i="30"/>
  <c r="AH101" i="30"/>
  <c r="V100" i="30"/>
  <c r="AI99" i="30"/>
  <c r="AH99" i="30"/>
  <c r="AI98" i="30"/>
  <c r="AH98" i="30"/>
  <c r="AI97" i="30"/>
  <c r="AH97" i="30"/>
  <c r="AI96" i="30"/>
  <c r="AH96" i="30"/>
  <c r="AI95" i="30"/>
  <c r="AH95" i="30"/>
  <c r="AI94" i="30"/>
  <c r="AH94" i="30"/>
  <c r="AI93" i="30"/>
  <c r="AH93" i="30"/>
  <c r="AI90" i="30"/>
  <c r="AH90" i="30"/>
  <c r="AI88" i="30"/>
  <c r="AH88" i="30"/>
  <c r="AG88" i="30"/>
  <c r="AI87" i="30"/>
  <c r="AH87" i="30"/>
  <c r="AI86" i="30"/>
  <c r="AH86" i="30"/>
  <c r="AI85" i="30"/>
  <c r="AH85" i="30"/>
  <c r="AN84" i="30"/>
  <c r="AG84" i="30"/>
  <c r="AG91" i="30" s="1"/>
  <c r="AF84" i="30"/>
  <c r="AF100" i="30" s="1"/>
  <c r="AE84" i="30"/>
  <c r="AE100" i="30" s="1"/>
  <c r="AD84" i="30"/>
  <c r="AC5" i="30" s="1"/>
  <c r="AC84" i="30"/>
  <c r="AB84" i="30"/>
  <c r="AB100" i="30" s="1"/>
  <c r="Z84" i="30"/>
  <c r="Z100" i="30" s="1"/>
  <c r="Y84" i="30"/>
  <c r="Y100" i="30" s="1"/>
  <c r="X84" i="30"/>
  <c r="X100" i="30" s="1"/>
  <c r="W84" i="30"/>
  <c r="W100" i="30" s="1"/>
  <c r="V84" i="30"/>
  <c r="U5" i="30" s="1"/>
  <c r="U84" i="30"/>
  <c r="U100" i="30" s="1"/>
  <c r="T84" i="30"/>
  <c r="T100" i="30" s="1"/>
  <c r="S84" i="30"/>
  <c r="S100" i="30" s="1"/>
  <c r="R84" i="30"/>
  <c r="R100" i="30" s="1"/>
  <c r="Q84" i="30"/>
  <c r="Q100" i="30" s="1"/>
  <c r="P84" i="30"/>
  <c r="P100" i="30" s="1"/>
  <c r="O84" i="30"/>
  <c r="O100" i="30" s="1"/>
  <c r="N84" i="30"/>
  <c r="N100" i="30" s="1"/>
  <c r="M84" i="30"/>
  <c r="M100" i="30" s="1"/>
  <c r="L84" i="30"/>
  <c r="L100" i="30" s="1"/>
  <c r="K84" i="30"/>
  <c r="K100" i="30" s="1"/>
  <c r="J84" i="30"/>
  <c r="J100" i="30" s="1"/>
  <c r="I84" i="30"/>
  <c r="I100" i="30" s="1"/>
  <c r="H84" i="30"/>
  <c r="G5" i="30" s="1"/>
  <c r="G84" i="30"/>
  <c r="G100" i="30" s="1"/>
  <c r="F84" i="30"/>
  <c r="E5" i="30" s="1"/>
  <c r="E84" i="30"/>
  <c r="D5" i="30" s="1"/>
  <c r="D84" i="30"/>
  <c r="D100" i="30" s="1"/>
  <c r="C84" i="30"/>
  <c r="C100" i="30" s="1"/>
  <c r="B84" i="30"/>
  <c r="B100" i="30" s="1"/>
  <c r="AN83" i="30"/>
  <c r="AI83" i="30"/>
  <c r="AH83" i="30"/>
  <c r="AN82" i="30"/>
  <c r="AI82" i="30"/>
  <c r="AH82" i="30"/>
  <c r="AN81" i="30"/>
  <c r="AI81" i="30"/>
  <c r="AH81" i="30"/>
  <c r="AI80" i="30"/>
  <c r="AH80" i="30"/>
  <c r="AI79" i="30"/>
  <c r="AH79" i="30"/>
  <c r="AI78" i="30"/>
  <c r="AH78" i="30"/>
  <c r="AI77" i="30"/>
  <c r="AH77" i="30"/>
  <c r="AI76" i="30"/>
  <c r="AH76" i="30"/>
  <c r="AI75" i="30"/>
  <c r="AH75" i="30"/>
  <c r="AI74" i="30"/>
  <c r="AH74" i="30"/>
  <c r="AI73" i="30"/>
  <c r="AH73" i="30"/>
  <c r="AG72" i="30"/>
  <c r="AG4" i="30" s="1"/>
  <c r="AF72" i="30"/>
  <c r="AE72" i="30"/>
  <c r="AD72" i="30"/>
  <c r="AC72" i="30"/>
  <c r="AB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B72" i="30"/>
  <c r="AI71" i="30"/>
  <c r="AH71" i="30"/>
  <c r="AI70" i="30"/>
  <c r="AH70" i="30"/>
  <c r="AI69" i="30"/>
  <c r="AH69" i="30"/>
  <c r="AG68" i="30"/>
  <c r="AG3" i="30" s="1"/>
  <c r="AG6" i="30" s="1"/>
  <c r="AF68" i="30"/>
  <c r="AE68" i="30"/>
  <c r="AD68" i="30"/>
  <c r="AC68" i="30"/>
  <c r="AB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J68" i="30"/>
  <c r="I68" i="30"/>
  <c r="H68" i="30"/>
  <c r="G68" i="30"/>
  <c r="F68" i="30"/>
  <c r="E68" i="30"/>
  <c r="D68" i="30"/>
  <c r="C68" i="30"/>
  <c r="B68" i="30"/>
  <c r="AI67" i="30"/>
  <c r="AH67" i="30"/>
  <c r="AG67" i="30"/>
  <c r="AI66" i="30"/>
  <c r="AH66" i="30"/>
  <c r="AI65" i="30"/>
  <c r="AH65" i="30"/>
  <c r="AI64" i="30"/>
  <c r="AH64" i="30"/>
  <c r="AI63" i="30"/>
  <c r="AH63" i="30"/>
  <c r="AI62" i="30"/>
  <c r="AH62" i="30"/>
  <c r="AI61" i="30"/>
  <c r="AH61" i="30"/>
  <c r="AI60" i="30"/>
  <c r="AH60" i="30"/>
  <c r="AI59" i="30"/>
  <c r="AH59" i="30"/>
  <c r="AI58" i="30"/>
  <c r="AH58" i="30"/>
  <c r="AI57" i="30"/>
  <c r="AH57" i="30"/>
  <c r="AI56" i="30"/>
  <c r="AH56" i="30"/>
  <c r="AI55" i="30"/>
  <c r="AH55" i="30"/>
  <c r="AG54" i="30"/>
  <c r="AF54" i="30"/>
  <c r="AE54" i="30"/>
  <c r="AD54" i="30"/>
  <c r="AC54" i="30"/>
  <c r="AB54" i="30"/>
  <c r="Z54" i="30"/>
  <c r="Y54" i="30"/>
  <c r="X54" i="30"/>
  <c r="W54" i="30"/>
  <c r="V54" i="30"/>
  <c r="U54" i="30"/>
  <c r="T54" i="30"/>
  <c r="S54" i="30"/>
  <c r="R54" i="30"/>
  <c r="Q54" i="30"/>
  <c r="P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AI53" i="30"/>
  <c r="AH53" i="30"/>
  <c r="AI52" i="30"/>
  <c r="AH52" i="30"/>
  <c r="AI51" i="30"/>
  <c r="AH51" i="30"/>
  <c r="AG50" i="30"/>
  <c r="AG89" i="30" s="1"/>
  <c r="AF50" i="30"/>
  <c r="AE50" i="30"/>
  <c r="AD50" i="30"/>
  <c r="AC50" i="30"/>
  <c r="AB50" i="30"/>
  <c r="Z50" i="30"/>
  <c r="Y50" i="30"/>
  <c r="X50" i="30"/>
  <c r="W50" i="30"/>
  <c r="V50" i="30"/>
  <c r="U50" i="30"/>
  <c r="T50" i="30"/>
  <c r="T89" i="30" s="1"/>
  <c r="T91" i="30" s="1"/>
  <c r="S50" i="30"/>
  <c r="R50" i="30"/>
  <c r="Q50" i="30"/>
  <c r="P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AI49" i="30"/>
  <c r="AH49" i="30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I38" i="30"/>
  <c r="AH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Z5" i="30"/>
  <c r="K4" i="30"/>
  <c r="E4" i="30"/>
  <c r="H4" i="30" s="1"/>
  <c r="B4" i="30"/>
  <c r="S246" i="30" s="1"/>
  <c r="AG2" i="30"/>
  <c r="AF91" i="29"/>
  <c r="G270" i="32" l="1"/>
  <c r="I234" i="32"/>
  <c r="H110" i="32"/>
  <c r="H235" i="32"/>
  <c r="K229" i="32"/>
  <c r="AF89" i="30"/>
  <c r="AF91" i="30" s="1"/>
  <c r="AX249" i="30" s="1"/>
  <c r="AE5" i="30"/>
  <c r="AE89" i="30"/>
  <c r="AE91" i="30" s="1"/>
  <c r="AW249" i="30" s="1"/>
  <c r="AC89" i="30"/>
  <c r="AC91" i="30" s="1"/>
  <c r="AC100" i="30"/>
  <c r="AD100" i="30"/>
  <c r="AB5" i="30"/>
  <c r="AD89" i="30"/>
  <c r="AD91" i="30" s="1"/>
  <c r="AV249" i="30" s="1"/>
  <c r="AA5" i="30"/>
  <c r="AB89" i="30"/>
  <c r="AB91" i="30" s="1"/>
  <c r="AB92" i="30" s="1"/>
  <c r="Y5" i="30"/>
  <c r="Z89" i="30"/>
  <c r="Z91" i="30" s="1"/>
  <c r="Y89" i="30"/>
  <c r="Y91" i="30" s="1"/>
  <c r="W5" i="30"/>
  <c r="X89" i="30"/>
  <c r="X91" i="30" s="1"/>
  <c r="W89" i="30"/>
  <c r="W91" i="30" s="1"/>
  <c r="W92" i="30" s="1"/>
  <c r="V89" i="30"/>
  <c r="V91" i="30" s="1"/>
  <c r="V7" i="30" s="1"/>
  <c r="T5" i="30"/>
  <c r="U89" i="30"/>
  <c r="U91" i="30" s="1"/>
  <c r="U92" i="30" s="1"/>
  <c r="S5" i="30"/>
  <c r="R5" i="30"/>
  <c r="S89" i="30"/>
  <c r="S91" i="30" s="1"/>
  <c r="S92" i="30" s="1"/>
  <c r="Q89" i="30"/>
  <c r="Q91" i="30" s="1"/>
  <c r="M5" i="30"/>
  <c r="N89" i="30"/>
  <c r="N91" i="30" s="1"/>
  <c r="AF249" i="30" s="1"/>
  <c r="O89" i="30"/>
  <c r="O91" i="30" s="1"/>
  <c r="O92" i="30" s="1"/>
  <c r="O5" i="30"/>
  <c r="Q5" i="30"/>
  <c r="R89" i="30"/>
  <c r="R91" i="30" s="1"/>
  <c r="R7" i="30" s="1"/>
  <c r="P89" i="30"/>
  <c r="P91" i="30" s="1"/>
  <c r="P7" i="30" s="1"/>
  <c r="L5" i="30"/>
  <c r="AH72" i="30"/>
  <c r="M89" i="30"/>
  <c r="M91" i="30" s="1"/>
  <c r="M7" i="30" s="1"/>
  <c r="K5" i="30"/>
  <c r="L89" i="30"/>
  <c r="L91" i="30" s="1"/>
  <c r="AD249" i="30" s="1"/>
  <c r="AI72" i="30"/>
  <c r="J5" i="30"/>
  <c r="K89" i="30"/>
  <c r="K91" i="30" s="1"/>
  <c r="I5" i="30"/>
  <c r="J89" i="30"/>
  <c r="J91" i="30" s="1"/>
  <c r="J7" i="30" s="1"/>
  <c r="I89" i="30"/>
  <c r="I91" i="30" s="1"/>
  <c r="I7" i="30" s="1"/>
  <c r="AI113" i="30"/>
  <c r="H89" i="30"/>
  <c r="H91" i="30" s="1"/>
  <c r="H92" i="30" s="1"/>
  <c r="H100" i="30"/>
  <c r="G89" i="30"/>
  <c r="G91" i="30" s="1"/>
  <c r="G7" i="30" s="1"/>
  <c r="AH113" i="30"/>
  <c r="F100" i="30"/>
  <c r="AI100" i="30" s="1"/>
  <c r="AH68" i="30"/>
  <c r="F89" i="30"/>
  <c r="F91" i="30" s="1"/>
  <c r="F7" i="30" s="1"/>
  <c r="E100" i="30"/>
  <c r="E89" i="30"/>
  <c r="E91" i="30" s="1"/>
  <c r="W249" i="30" s="1"/>
  <c r="AI54" i="30"/>
  <c r="D89" i="30"/>
  <c r="D91" i="30" s="1"/>
  <c r="B5" i="30"/>
  <c r="AH54" i="30"/>
  <c r="C89" i="30"/>
  <c r="C91" i="30" s="1"/>
  <c r="C92" i="30" s="1"/>
  <c r="AI50" i="30"/>
  <c r="AF5" i="30"/>
  <c r="B89" i="30"/>
  <c r="Q7" i="30"/>
  <c r="Q92" i="30"/>
  <c r="AI249" i="30"/>
  <c r="E7" i="30"/>
  <c r="G230" i="30"/>
  <c r="H230" i="30" s="1"/>
  <c r="I230" i="30" s="1"/>
  <c r="J230" i="30" s="1"/>
  <c r="K230" i="30" s="1"/>
  <c r="L230" i="30" s="1"/>
  <c r="M230" i="30" s="1"/>
  <c r="N230" i="30" s="1"/>
  <c r="O230" i="30" s="1"/>
  <c r="P230" i="30" s="1"/>
  <c r="L92" i="30"/>
  <c r="AS249" i="30"/>
  <c r="AA7" i="30"/>
  <c r="AM249" i="30"/>
  <c r="K92" i="30"/>
  <c r="AC249" i="30"/>
  <c r="K7" i="30"/>
  <c r="AN249" i="30"/>
  <c r="V92" i="30"/>
  <c r="AU249" i="30"/>
  <c r="AC7" i="30"/>
  <c r="AC92" i="30"/>
  <c r="C7" i="30"/>
  <c r="AO249" i="30"/>
  <c r="W7" i="30"/>
  <c r="D92" i="30"/>
  <c r="V249" i="30"/>
  <c r="D7" i="30"/>
  <c r="T92" i="30"/>
  <c r="AL249" i="30"/>
  <c r="T7" i="30"/>
  <c r="S7" i="30"/>
  <c r="AK249" i="30"/>
  <c r="X7" i="30"/>
  <c r="X92" i="30"/>
  <c r="AP249" i="30"/>
  <c r="H229" i="30"/>
  <c r="J232" i="30"/>
  <c r="K232" i="30" s="1"/>
  <c r="L232" i="30" s="1"/>
  <c r="M232" i="30" s="1"/>
  <c r="N232" i="30" s="1"/>
  <c r="O232" i="30" s="1"/>
  <c r="P232" i="30" s="1"/>
  <c r="AA249" i="30"/>
  <c r="Y7" i="30"/>
  <c r="Y92" i="30"/>
  <c r="AQ249" i="30"/>
  <c r="AH100" i="30"/>
  <c r="J92" i="30"/>
  <c r="AB249" i="30"/>
  <c r="Z7" i="30"/>
  <c r="Z92" i="30"/>
  <c r="AR249" i="30"/>
  <c r="F5" i="30"/>
  <c r="N5" i="30"/>
  <c r="V5" i="30"/>
  <c r="AD5" i="30"/>
  <c r="D246" i="30"/>
  <c r="H5" i="30"/>
  <c r="P5" i="30"/>
  <c r="X5" i="30"/>
  <c r="AH84" i="30"/>
  <c r="F234" i="30"/>
  <c r="AI68" i="30"/>
  <c r="AH50" i="30"/>
  <c r="AI84" i="30"/>
  <c r="C5" i="30"/>
  <c r="B235" i="30"/>
  <c r="I92" i="30" l="1"/>
  <c r="U7" i="30"/>
  <c r="U249" i="30"/>
  <c r="N7" i="30"/>
  <c r="E92" i="30"/>
  <c r="N92" i="30"/>
  <c r="L7" i="30"/>
  <c r="AE92" i="30"/>
  <c r="AE7" i="30"/>
  <c r="AF92" i="30"/>
  <c r="AF7" i="30"/>
  <c r="H270" i="32"/>
  <c r="J234" i="32"/>
  <c r="I110" i="32"/>
  <c r="L229" i="32"/>
  <c r="AD92" i="30"/>
  <c r="AD7" i="30"/>
  <c r="AB7" i="30"/>
  <c r="AT249" i="30"/>
  <c r="O7" i="30"/>
  <c r="AG249" i="30"/>
  <c r="AH249" i="30"/>
  <c r="P92" i="30"/>
  <c r="AJ249" i="30"/>
  <c r="R92" i="30"/>
  <c r="M92" i="30"/>
  <c r="AE249" i="30"/>
  <c r="H7" i="30"/>
  <c r="G92" i="30"/>
  <c r="C244" i="30"/>
  <c r="B244" i="30"/>
  <c r="Y249" i="30"/>
  <c r="Z249" i="30"/>
  <c r="X249" i="30"/>
  <c r="F92" i="30"/>
  <c r="AI89" i="30"/>
  <c r="B91" i="30"/>
  <c r="AH91" i="30" s="1"/>
  <c r="AH89" i="30"/>
  <c r="E270" i="30"/>
  <c r="G234" i="30"/>
  <c r="F110" i="30"/>
  <c r="F235" i="30"/>
  <c r="I229" i="30"/>
  <c r="B92" i="30"/>
  <c r="AI91" i="30"/>
  <c r="T249" i="30"/>
  <c r="B7" i="30" l="1"/>
  <c r="A7" i="30" s="1"/>
  <c r="K234" i="32"/>
  <c r="I270" i="32"/>
  <c r="J110" i="32"/>
  <c r="M229" i="32"/>
  <c r="K6" i="30"/>
  <c r="F270" i="30"/>
  <c r="H234" i="30"/>
  <c r="G235" i="30"/>
  <c r="G110" i="30"/>
  <c r="J229" i="30"/>
  <c r="AI92" i="30"/>
  <c r="AH92" i="30"/>
  <c r="N229" i="32" l="1"/>
  <c r="J270" i="32"/>
  <c r="L234" i="32"/>
  <c r="K110" i="32"/>
  <c r="G270" i="30"/>
  <c r="I234" i="30"/>
  <c r="H235" i="30"/>
  <c r="H110" i="30"/>
  <c r="K229" i="30"/>
  <c r="O229" i="32" l="1"/>
  <c r="M234" i="32"/>
  <c r="K270" i="32"/>
  <c r="L110" i="32"/>
  <c r="H270" i="30"/>
  <c r="J234" i="30"/>
  <c r="I110" i="30"/>
  <c r="L229" i="30"/>
  <c r="D50" i="29"/>
  <c r="D113" i="29"/>
  <c r="C113" i="29"/>
  <c r="C50" i="29"/>
  <c r="C54" i="29"/>
  <c r="B113" i="29"/>
  <c r="B110" i="29"/>
  <c r="B84" i="29"/>
  <c r="B100" i="29" s="1"/>
  <c r="B72" i="29"/>
  <c r="B68" i="29"/>
  <c r="B54" i="29"/>
  <c r="B50" i="29"/>
  <c r="AF274" i="29"/>
  <c r="AE274" i="29"/>
  <c r="AD274" i="29"/>
  <c r="AC274" i="29"/>
  <c r="AB274" i="29"/>
  <c r="AA274" i="29"/>
  <c r="Z274" i="29"/>
  <c r="Y274" i="29"/>
  <c r="X274" i="29"/>
  <c r="W274" i="29"/>
  <c r="V274" i="29"/>
  <c r="U274" i="29"/>
  <c r="T274" i="29"/>
  <c r="S274" i="29"/>
  <c r="R274" i="29"/>
  <c r="Q274" i="29"/>
  <c r="P274" i="29"/>
  <c r="O274" i="29"/>
  <c r="N274" i="29"/>
  <c r="M274" i="29"/>
  <c r="L274" i="29"/>
  <c r="K274" i="29"/>
  <c r="J274" i="29"/>
  <c r="I274" i="29"/>
  <c r="H274" i="29"/>
  <c r="G274" i="29"/>
  <c r="F274" i="29"/>
  <c r="E274" i="29"/>
  <c r="D274" i="29"/>
  <c r="C274" i="29"/>
  <c r="B274" i="29"/>
  <c r="A274" i="29"/>
  <c r="AF273" i="29"/>
  <c r="AE273" i="29"/>
  <c r="AD273" i="29"/>
  <c r="AC273" i="29"/>
  <c r="AB273" i="29"/>
  <c r="AA273" i="29"/>
  <c r="Z273" i="29"/>
  <c r="Y273" i="29"/>
  <c r="X273" i="29"/>
  <c r="W273" i="29"/>
  <c r="V273" i="29"/>
  <c r="U273" i="29"/>
  <c r="T273" i="29"/>
  <c r="S273" i="29"/>
  <c r="R273" i="29"/>
  <c r="Q273" i="29"/>
  <c r="P273" i="29"/>
  <c r="O273" i="29"/>
  <c r="N273" i="29"/>
  <c r="M273" i="29"/>
  <c r="L273" i="29"/>
  <c r="K273" i="29"/>
  <c r="J273" i="29"/>
  <c r="I273" i="29"/>
  <c r="H273" i="29"/>
  <c r="G273" i="29"/>
  <c r="F273" i="29"/>
  <c r="E273" i="29"/>
  <c r="D273" i="29"/>
  <c r="C273" i="29"/>
  <c r="B273" i="29"/>
  <c r="A273" i="29"/>
  <c r="AF272" i="29"/>
  <c r="AE272" i="29"/>
  <c r="AD272" i="29"/>
  <c r="AC272" i="29"/>
  <c r="AB272" i="29"/>
  <c r="AA272" i="29"/>
  <c r="Z272" i="29"/>
  <c r="Y272" i="29"/>
  <c r="X272" i="29"/>
  <c r="W272" i="29"/>
  <c r="V272" i="29"/>
  <c r="U272" i="29"/>
  <c r="T272" i="29"/>
  <c r="S272" i="29"/>
  <c r="R272" i="29"/>
  <c r="Q272" i="29"/>
  <c r="P272" i="29"/>
  <c r="O272" i="29"/>
  <c r="N272" i="29"/>
  <c r="M272" i="29"/>
  <c r="L272" i="29"/>
  <c r="K272" i="29"/>
  <c r="J272" i="29"/>
  <c r="I272" i="29"/>
  <c r="H272" i="29"/>
  <c r="G272" i="29"/>
  <c r="F272" i="29"/>
  <c r="E272" i="29"/>
  <c r="D272" i="29"/>
  <c r="C272" i="29"/>
  <c r="B272" i="29"/>
  <c r="A272" i="29"/>
  <c r="AF271" i="29"/>
  <c r="AE271" i="29"/>
  <c r="AD271" i="29"/>
  <c r="AC271" i="29"/>
  <c r="AB271" i="29"/>
  <c r="AA271" i="29"/>
  <c r="Z271" i="29"/>
  <c r="Y271" i="29"/>
  <c r="X271" i="29"/>
  <c r="W271" i="29"/>
  <c r="V271" i="29"/>
  <c r="U271" i="29"/>
  <c r="T271" i="29"/>
  <c r="S271" i="29"/>
  <c r="R271" i="29"/>
  <c r="Q271" i="29"/>
  <c r="P271" i="29"/>
  <c r="O271" i="29"/>
  <c r="N271" i="29"/>
  <c r="M271" i="29"/>
  <c r="L271" i="29"/>
  <c r="K271" i="29"/>
  <c r="J271" i="29"/>
  <c r="I271" i="29"/>
  <c r="H271" i="29"/>
  <c r="G271" i="29"/>
  <c r="F271" i="29"/>
  <c r="E271" i="29"/>
  <c r="D271" i="29"/>
  <c r="C271" i="29"/>
  <c r="B271" i="29"/>
  <c r="A271" i="29"/>
  <c r="AE270" i="29"/>
  <c r="AD270" i="29"/>
  <c r="AC270" i="29"/>
  <c r="AB270" i="29"/>
  <c r="AA270" i="29"/>
  <c r="Z270" i="29"/>
  <c r="Y270" i="29"/>
  <c r="X270" i="29"/>
  <c r="W270" i="29"/>
  <c r="V270" i="29"/>
  <c r="U270" i="29"/>
  <c r="T270" i="29"/>
  <c r="S270" i="29"/>
  <c r="R270" i="29"/>
  <c r="Q270" i="29"/>
  <c r="P270" i="29"/>
  <c r="B270" i="29"/>
  <c r="S245" i="29"/>
  <c r="AG235" i="29"/>
  <c r="AF235" i="29"/>
  <c r="AE235" i="29"/>
  <c r="AD235" i="29"/>
  <c r="AC235" i="29"/>
  <c r="AB235" i="29"/>
  <c r="AA235" i="29"/>
  <c r="Z235" i="29"/>
  <c r="Y235" i="29"/>
  <c r="X235" i="29"/>
  <c r="W235" i="29"/>
  <c r="V235" i="29"/>
  <c r="U235" i="29"/>
  <c r="T235" i="29"/>
  <c r="S235" i="29"/>
  <c r="R235" i="29"/>
  <c r="Q235" i="29"/>
  <c r="C235" i="29"/>
  <c r="E234" i="29"/>
  <c r="D270" i="29" s="1"/>
  <c r="D234" i="29"/>
  <c r="C270" i="29" s="1"/>
  <c r="B234" i="29"/>
  <c r="AF270" i="29" s="1"/>
  <c r="D233" i="29"/>
  <c r="E233" i="29" s="1"/>
  <c r="F233" i="29" s="1"/>
  <c r="G233" i="29" s="1"/>
  <c r="H233" i="29" s="1"/>
  <c r="I233" i="29" s="1"/>
  <c r="J233" i="29" s="1"/>
  <c r="K233" i="29" s="1"/>
  <c r="L233" i="29" s="1"/>
  <c r="M233" i="29" s="1"/>
  <c r="N233" i="29" s="1"/>
  <c r="O233" i="29" s="1"/>
  <c r="P233" i="29" s="1"/>
  <c r="B233" i="29"/>
  <c r="D232" i="29"/>
  <c r="E232" i="29" s="1"/>
  <c r="F232" i="29" s="1"/>
  <c r="G232" i="29" s="1"/>
  <c r="H232" i="29" s="1"/>
  <c r="I232" i="29" s="1"/>
  <c r="B232" i="29"/>
  <c r="G231" i="29"/>
  <c r="H231" i="29" s="1"/>
  <c r="F231" i="29"/>
  <c r="E231" i="29"/>
  <c r="D231" i="29"/>
  <c r="B231" i="29"/>
  <c r="E230" i="29"/>
  <c r="F230" i="29" s="1"/>
  <c r="D230" i="29"/>
  <c r="D235" i="29" s="1"/>
  <c r="B230" i="29"/>
  <c r="F229" i="29"/>
  <c r="G229" i="29" s="1"/>
  <c r="E229" i="29"/>
  <c r="D229" i="29"/>
  <c r="B229" i="29"/>
  <c r="AG227" i="29"/>
  <c r="AF227" i="29"/>
  <c r="AE227" i="29"/>
  <c r="AD227" i="29"/>
  <c r="AC227" i="29"/>
  <c r="AB227" i="29"/>
  <c r="AA227" i="29"/>
  <c r="Z227" i="29"/>
  <c r="Y227" i="29"/>
  <c r="X227" i="29"/>
  <c r="W227" i="29"/>
  <c r="V227" i="29"/>
  <c r="U227" i="29"/>
  <c r="T227" i="29"/>
  <c r="S227" i="29"/>
  <c r="R227" i="29"/>
  <c r="Q227" i="29"/>
  <c r="P227" i="29"/>
  <c r="O227" i="29"/>
  <c r="N227" i="29"/>
  <c r="M227" i="29"/>
  <c r="L227" i="29"/>
  <c r="K227" i="29"/>
  <c r="J227" i="29"/>
  <c r="I227" i="29"/>
  <c r="H227" i="29"/>
  <c r="G227" i="29"/>
  <c r="F227" i="29"/>
  <c r="E227" i="29"/>
  <c r="D227" i="29"/>
  <c r="C227" i="29"/>
  <c r="B227" i="29"/>
  <c r="AI120" i="29"/>
  <c r="AH120" i="29"/>
  <c r="AI119" i="29"/>
  <c r="AH119" i="29"/>
  <c r="AI118" i="29"/>
  <c r="AH118" i="29"/>
  <c r="AI117" i="29"/>
  <c r="AH117" i="29"/>
  <c r="AI116" i="29"/>
  <c r="AH116" i="29"/>
  <c r="AI115" i="29"/>
  <c r="AH115" i="29"/>
  <c r="AI114" i="29"/>
  <c r="AH114" i="29"/>
  <c r="AI113" i="29"/>
  <c r="AH113" i="29"/>
  <c r="AI112" i="29"/>
  <c r="AH112" i="29"/>
  <c r="AI111" i="29"/>
  <c r="AH111" i="29"/>
  <c r="AF110" i="29"/>
  <c r="AE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E110" i="29"/>
  <c r="D110" i="29"/>
  <c r="C110" i="29"/>
  <c r="AI109" i="29"/>
  <c r="AH109" i="29"/>
  <c r="AI108" i="29"/>
  <c r="AH108" i="29"/>
  <c r="AI107" i="29"/>
  <c r="AH107" i="29"/>
  <c r="AI106" i="29"/>
  <c r="AH106" i="29"/>
  <c r="AI105" i="29"/>
  <c r="AH105" i="29"/>
  <c r="AI104" i="29"/>
  <c r="AH104" i="29"/>
  <c r="AI103" i="29"/>
  <c r="AH103" i="29"/>
  <c r="AI102" i="29"/>
  <c r="AH102" i="29"/>
  <c r="AI101" i="29"/>
  <c r="AH101" i="29"/>
  <c r="AE100" i="29"/>
  <c r="AI99" i="29"/>
  <c r="AH99" i="29"/>
  <c r="AI98" i="29"/>
  <c r="AH98" i="29"/>
  <c r="AI97" i="29"/>
  <c r="AH97" i="29"/>
  <c r="AI96" i="29"/>
  <c r="AH96" i="29"/>
  <c r="AI95" i="29"/>
  <c r="AH95" i="29"/>
  <c r="AI94" i="29"/>
  <c r="AH94" i="29"/>
  <c r="AI93" i="29"/>
  <c r="AH93" i="29"/>
  <c r="AI90" i="29"/>
  <c r="AH90" i="29"/>
  <c r="AI88" i="29"/>
  <c r="AH88" i="29"/>
  <c r="AG88" i="29"/>
  <c r="AI87" i="29"/>
  <c r="AH87" i="29"/>
  <c r="AI86" i="29"/>
  <c r="AH86" i="29"/>
  <c r="AI85" i="29"/>
  <c r="AH85" i="29"/>
  <c r="AN84" i="29"/>
  <c r="AG84" i="29"/>
  <c r="AF84" i="29"/>
  <c r="AF100" i="29" s="1"/>
  <c r="AE84" i="29"/>
  <c r="AD84" i="29"/>
  <c r="AD100" i="29" s="1"/>
  <c r="AC84" i="29"/>
  <c r="AC100" i="29" s="1"/>
  <c r="AB84" i="29"/>
  <c r="AB100" i="29" s="1"/>
  <c r="AA84" i="29"/>
  <c r="AA100" i="29" s="1"/>
  <c r="Z84" i="29"/>
  <c r="Z100" i="29" s="1"/>
  <c r="Y84" i="29"/>
  <c r="Y100" i="29" s="1"/>
  <c r="X84" i="29"/>
  <c r="X100" i="29" s="1"/>
  <c r="W84" i="29"/>
  <c r="V5" i="29" s="1"/>
  <c r="V84" i="29"/>
  <c r="V100" i="29" s="1"/>
  <c r="U84" i="29"/>
  <c r="U100" i="29" s="1"/>
  <c r="T84" i="29"/>
  <c r="T100" i="29" s="1"/>
  <c r="S84" i="29"/>
  <c r="S100" i="29" s="1"/>
  <c r="R84" i="29"/>
  <c r="R100" i="29" s="1"/>
  <c r="Q84" i="29"/>
  <c r="Q100" i="29" s="1"/>
  <c r="P84" i="29"/>
  <c r="O5" i="29" s="1"/>
  <c r="O84" i="29"/>
  <c r="N5" i="29" s="1"/>
  <c r="N84" i="29"/>
  <c r="N100" i="29" s="1"/>
  <c r="M84" i="29"/>
  <c r="M100" i="29" s="1"/>
  <c r="L84" i="29"/>
  <c r="L100" i="29" s="1"/>
  <c r="K84" i="29"/>
  <c r="J5" i="29" s="1"/>
  <c r="J84" i="29"/>
  <c r="J100" i="29" s="1"/>
  <c r="I84" i="29"/>
  <c r="I100" i="29" s="1"/>
  <c r="H84" i="29"/>
  <c r="H100" i="29" s="1"/>
  <c r="G84" i="29"/>
  <c r="G100" i="29" s="1"/>
  <c r="F84" i="29"/>
  <c r="F100" i="29" s="1"/>
  <c r="E84" i="29"/>
  <c r="E100" i="29" s="1"/>
  <c r="D84" i="29"/>
  <c r="D100" i="29" s="1"/>
  <c r="C84" i="29"/>
  <c r="C100" i="29" s="1"/>
  <c r="AN83" i="29"/>
  <c r="AI83" i="29"/>
  <c r="AH83" i="29"/>
  <c r="AN82" i="29"/>
  <c r="AI82" i="29"/>
  <c r="AH82" i="29"/>
  <c r="AN81" i="29"/>
  <c r="AI81" i="29"/>
  <c r="AH81" i="29"/>
  <c r="AI80" i="29"/>
  <c r="AH80" i="29"/>
  <c r="AI79" i="29"/>
  <c r="AH79" i="29"/>
  <c r="AI78" i="29"/>
  <c r="AH78" i="29"/>
  <c r="AI77" i="29"/>
  <c r="AH77" i="29"/>
  <c r="AI76" i="29"/>
  <c r="AH76" i="29"/>
  <c r="AI75" i="29"/>
  <c r="AH75" i="29"/>
  <c r="AI74" i="29"/>
  <c r="AH74" i="29"/>
  <c r="AI73" i="29"/>
  <c r="AH73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AI71" i="29"/>
  <c r="AH71" i="29"/>
  <c r="AI70" i="29"/>
  <c r="AH70" i="29"/>
  <c r="AI69" i="29"/>
  <c r="AH69" i="29"/>
  <c r="AF68" i="29"/>
  <c r="AE68" i="29"/>
  <c r="AD68" i="29"/>
  <c r="AC68" i="29"/>
  <c r="AB68" i="29"/>
  <c r="AA68" i="29"/>
  <c r="Z68" i="29"/>
  <c r="Y68" i="29"/>
  <c r="X68" i="29"/>
  <c r="W68" i="29"/>
  <c r="V68" i="29"/>
  <c r="U68" i="29"/>
  <c r="T68" i="29"/>
  <c r="S68" i="29"/>
  <c r="R68" i="29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C68" i="29"/>
  <c r="AI67" i="29"/>
  <c r="AH67" i="29"/>
  <c r="AG67" i="29"/>
  <c r="AG68" i="29" s="1"/>
  <c r="AI66" i="29"/>
  <c r="AH66" i="29"/>
  <c r="AI65" i="29"/>
  <c r="AH65" i="29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I56" i="29"/>
  <c r="AH56" i="29"/>
  <c r="AI55" i="29"/>
  <c r="AH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AI53" i="29"/>
  <c r="AH53" i="29"/>
  <c r="AI52" i="29"/>
  <c r="AH52" i="29"/>
  <c r="AI51" i="29"/>
  <c r="AH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AI49" i="29"/>
  <c r="AH49" i="29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I38" i="29"/>
  <c r="AH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AD5" i="29"/>
  <c r="AG4" i="29"/>
  <c r="K4" i="29"/>
  <c r="E4" i="29"/>
  <c r="H4" i="29" s="1"/>
  <c r="B4" i="29"/>
  <c r="AG2" i="29"/>
  <c r="AE113" i="27"/>
  <c r="AF113" i="27"/>
  <c r="AE50" i="27"/>
  <c r="AF50" i="27"/>
  <c r="AE54" i="27"/>
  <c r="AF54" i="27"/>
  <c r="AE68" i="27"/>
  <c r="AF68" i="27"/>
  <c r="AE72" i="27"/>
  <c r="AF72" i="27"/>
  <c r="L270" i="32" l="1"/>
  <c r="N234" i="32"/>
  <c r="M110" i="32"/>
  <c r="P229" i="32"/>
  <c r="M229" i="30"/>
  <c r="K234" i="30"/>
  <c r="I270" i="30"/>
  <c r="J110" i="30"/>
  <c r="AE5" i="29"/>
  <c r="AF89" i="29"/>
  <c r="AE89" i="29"/>
  <c r="AE91" i="29" s="1"/>
  <c r="AC5" i="29"/>
  <c r="AD89" i="29"/>
  <c r="AD91" i="29" s="1"/>
  <c r="AC89" i="29"/>
  <c r="AC91" i="29" s="1"/>
  <c r="AB89" i="29"/>
  <c r="AB91" i="29" s="1"/>
  <c r="Z5" i="29"/>
  <c r="AA89" i="29"/>
  <c r="AA91" i="29" s="1"/>
  <c r="Y5" i="29"/>
  <c r="Z89" i="29"/>
  <c r="Z91" i="29" s="1"/>
  <c r="Y89" i="29"/>
  <c r="Y91" i="29" s="1"/>
  <c r="W5" i="29"/>
  <c r="X89" i="29"/>
  <c r="X91" i="29" s="1"/>
  <c r="X92" i="29" s="1"/>
  <c r="W100" i="29"/>
  <c r="W89" i="29"/>
  <c r="W91" i="29" s="1"/>
  <c r="W92" i="29" s="1"/>
  <c r="U5" i="29"/>
  <c r="V89" i="29"/>
  <c r="V91" i="29" s="1"/>
  <c r="V7" i="29" s="1"/>
  <c r="U89" i="29"/>
  <c r="U91" i="29" s="1"/>
  <c r="U7" i="29" s="1"/>
  <c r="AH72" i="29"/>
  <c r="T89" i="29"/>
  <c r="T91" i="29" s="1"/>
  <c r="T92" i="29" s="1"/>
  <c r="R5" i="29"/>
  <c r="S89" i="29"/>
  <c r="S91" i="29" s="1"/>
  <c r="Q5" i="29"/>
  <c r="R89" i="29"/>
  <c r="R91" i="29" s="1"/>
  <c r="R7" i="29" s="1"/>
  <c r="Q89" i="29"/>
  <c r="Q91" i="29" s="1"/>
  <c r="Q92" i="29" s="1"/>
  <c r="P89" i="29"/>
  <c r="P91" i="29" s="1"/>
  <c r="P92" i="29" s="1"/>
  <c r="O100" i="29"/>
  <c r="M5" i="29"/>
  <c r="N89" i="29"/>
  <c r="N91" i="29" s="1"/>
  <c r="AF249" i="29" s="1"/>
  <c r="O89" i="29"/>
  <c r="O91" i="29" s="1"/>
  <c r="O92" i="29" s="1"/>
  <c r="M89" i="29"/>
  <c r="M91" i="29" s="1"/>
  <c r="M92" i="29" s="1"/>
  <c r="L89" i="29"/>
  <c r="L91" i="29" s="1"/>
  <c r="L7" i="29" s="1"/>
  <c r="K100" i="29"/>
  <c r="K89" i="29"/>
  <c r="K91" i="29" s="1"/>
  <c r="AC249" i="29" s="1"/>
  <c r="AF5" i="29"/>
  <c r="I5" i="29"/>
  <c r="J89" i="29"/>
  <c r="J91" i="29" s="1"/>
  <c r="AB249" i="29" s="1"/>
  <c r="AH54" i="29"/>
  <c r="I89" i="29"/>
  <c r="I91" i="29" s="1"/>
  <c r="I7" i="29" s="1"/>
  <c r="H89" i="29"/>
  <c r="H91" i="29" s="1"/>
  <c r="H7" i="29" s="1"/>
  <c r="F5" i="29"/>
  <c r="G89" i="29"/>
  <c r="G91" i="29" s="1"/>
  <c r="Y249" i="29" s="1"/>
  <c r="AI54" i="29"/>
  <c r="E5" i="29"/>
  <c r="F89" i="29"/>
  <c r="F91" i="29" s="1"/>
  <c r="F7" i="29" s="1"/>
  <c r="E89" i="29"/>
  <c r="E91" i="29" s="1"/>
  <c r="W249" i="29" s="1"/>
  <c r="B5" i="29"/>
  <c r="AI68" i="29"/>
  <c r="C89" i="29"/>
  <c r="C91" i="29" s="1"/>
  <c r="C7" i="29" s="1"/>
  <c r="B89" i="29"/>
  <c r="B91" i="29" s="1"/>
  <c r="B92" i="29" s="1"/>
  <c r="S246" i="29"/>
  <c r="D246" i="29"/>
  <c r="AN249" i="29"/>
  <c r="AV249" i="29"/>
  <c r="AD7" i="29"/>
  <c r="AD92" i="29"/>
  <c r="AO249" i="29"/>
  <c r="W7" i="29"/>
  <c r="AW249" i="29"/>
  <c r="AE7" i="29"/>
  <c r="AE92" i="29"/>
  <c r="AG91" i="29"/>
  <c r="X7" i="29"/>
  <c r="AC92" i="29"/>
  <c r="AC7" i="29"/>
  <c r="AU249" i="29"/>
  <c r="Z249" i="29"/>
  <c r="AF7" i="29"/>
  <c r="AF92" i="29"/>
  <c r="AX249" i="29"/>
  <c r="AG3" i="29"/>
  <c r="AG6" i="29" s="1"/>
  <c r="AG89" i="29"/>
  <c r="AB92" i="29"/>
  <c r="AT249" i="29"/>
  <c r="AB7" i="29"/>
  <c r="H229" i="29"/>
  <c r="Z7" i="29"/>
  <c r="Z92" i="29"/>
  <c r="AR249" i="29"/>
  <c r="Q7" i="29"/>
  <c r="Y7" i="29"/>
  <c r="Y92" i="29"/>
  <c r="AQ249" i="29"/>
  <c r="S7" i="29"/>
  <c r="S92" i="29"/>
  <c r="AK249" i="29"/>
  <c r="AA7" i="29"/>
  <c r="AA92" i="29"/>
  <c r="AS249" i="29"/>
  <c r="J232" i="29"/>
  <c r="K232" i="29" s="1"/>
  <c r="L232" i="29" s="1"/>
  <c r="M232" i="29" s="1"/>
  <c r="N232" i="29" s="1"/>
  <c r="O232" i="29" s="1"/>
  <c r="P232" i="29" s="1"/>
  <c r="AM249" i="29"/>
  <c r="G230" i="29"/>
  <c r="H230" i="29" s="1"/>
  <c r="I230" i="29" s="1"/>
  <c r="J230" i="29" s="1"/>
  <c r="K230" i="29" s="1"/>
  <c r="L230" i="29" s="1"/>
  <c r="M230" i="29" s="1"/>
  <c r="N230" i="29" s="1"/>
  <c r="O230" i="29" s="1"/>
  <c r="P230" i="29" s="1"/>
  <c r="D89" i="29"/>
  <c r="D91" i="29" s="1"/>
  <c r="E235" i="29"/>
  <c r="AH68" i="29"/>
  <c r="AI72" i="29"/>
  <c r="P100" i="29"/>
  <c r="AI100" i="29" s="1"/>
  <c r="H5" i="29"/>
  <c r="P5" i="29"/>
  <c r="X5" i="29"/>
  <c r="AH84" i="29"/>
  <c r="F234" i="29"/>
  <c r="F110" i="29" s="1"/>
  <c r="G5" i="29"/>
  <c r="AH50" i="29"/>
  <c r="AI84" i="29"/>
  <c r="B235" i="29"/>
  <c r="AI50" i="29"/>
  <c r="C5" i="29"/>
  <c r="K5" i="29"/>
  <c r="S5" i="29"/>
  <c r="AA5" i="29"/>
  <c r="D5" i="29"/>
  <c r="L5" i="29"/>
  <c r="T5" i="29"/>
  <c r="AB5" i="29"/>
  <c r="M270" i="32" l="1"/>
  <c r="O234" i="32"/>
  <c r="N110" i="32"/>
  <c r="J270" i="30"/>
  <c r="L234" i="30"/>
  <c r="K110" i="30"/>
  <c r="N229" i="30"/>
  <c r="T7" i="29"/>
  <c r="AL249" i="29"/>
  <c r="AP249" i="29"/>
  <c r="V92" i="29"/>
  <c r="U92" i="29"/>
  <c r="AH249" i="29"/>
  <c r="U249" i="29"/>
  <c r="C92" i="29"/>
  <c r="P7" i="29"/>
  <c r="R92" i="29"/>
  <c r="O7" i="29"/>
  <c r="N92" i="29"/>
  <c r="AJ249" i="29"/>
  <c r="AI249" i="29"/>
  <c r="AG249" i="29"/>
  <c r="N7" i="29"/>
  <c r="AE249" i="29"/>
  <c r="M7" i="29"/>
  <c r="AH100" i="29"/>
  <c r="L92" i="29"/>
  <c r="AD249" i="29"/>
  <c r="K92" i="29"/>
  <c r="K7" i="29"/>
  <c r="J92" i="29"/>
  <c r="J7" i="29"/>
  <c r="AA249" i="29"/>
  <c r="I92" i="29"/>
  <c r="H92" i="29"/>
  <c r="C244" i="29"/>
  <c r="B244" i="29"/>
  <c r="X249" i="29"/>
  <c r="E92" i="29"/>
  <c r="G92" i="29"/>
  <c r="G7" i="29"/>
  <c r="F92" i="29"/>
  <c r="E7" i="29"/>
  <c r="AH89" i="29"/>
  <c r="AI89" i="29"/>
  <c r="F235" i="29"/>
  <c r="I229" i="29"/>
  <c r="E270" i="29"/>
  <c r="G234" i="29"/>
  <c r="D92" i="29"/>
  <c r="D7" i="29"/>
  <c r="V249" i="29"/>
  <c r="B7" i="29"/>
  <c r="AI91" i="29"/>
  <c r="T249" i="29"/>
  <c r="AH91" i="29"/>
  <c r="N270" i="32" l="1"/>
  <c r="P234" i="32"/>
  <c r="O270" i="32" s="1"/>
  <c r="O110" i="32"/>
  <c r="O229" i="30"/>
  <c r="K270" i="30"/>
  <c r="M234" i="30"/>
  <c r="L110" i="30"/>
  <c r="K6" i="29"/>
  <c r="A7" i="29"/>
  <c r="AI92" i="29"/>
  <c r="AH92" i="29"/>
  <c r="J229" i="29"/>
  <c r="F270" i="29"/>
  <c r="H234" i="29"/>
  <c r="G235" i="29"/>
  <c r="G110" i="29"/>
  <c r="L270" i="30" l="1"/>
  <c r="N234" i="30"/>
  <c r="M110" i="30"/>
  <c r="P229" i="30"/>
  <c r="G270" i="29"/>
  <c r="I234" i="29"/>
  <c r="H110" i="29"/>
  <c r="H235" i="29"/>
  <c r="K229" i="29"/>
  <c r="M270" i="30" l="1"/>
  <c r="O234" i="30"/>
  <c r="N110" i="30"/>
  <c r="H270" i="29"/>
  <c r="J234" i="29"/>
  <c r="I110" i="29"/>
  <c r="L229" i="29"/>
  <c r="N270" i="30" l="1"/>
  <c r="P234" i="30"/>
  <c r="O270" i="30" s="1"/>
  <c r="O110" i="30"/>
  <c r="M229" i="29"/>
  <c r="K234" i="29"/>
  <c r="I270" i="29"/>
  <c r="J110" i="29"/>
  <c r="AB113" i="27"/>
  <c r="AB50" i="27"/>
  <c r="AB54" i="27"/>
  <c r="AB68" i="27"/>
  <c r="AH110" i="30" l="1"/>
  <c r="AI110" i="30"/>
  <c r="N229" i="29"/>
  <c r="J270" i="29"/>
  <c r="L234" i="29"/>
  <c r="K110" i="29"/>
  <c r="K270" i="29" l="1"/>
  <c r="M234" i="29"/>
  <c r="L110" i="29"/>
  <c r="O229" i="29"/>
  <c r="P229" i="29" l="1"/>
  <c r="L270" i="29"/>
  <c r="N234" i="29"/>
  <c r="M110" i="29"/>
  <c r="M270" i="29" l="1"/>
  <c r="O234" i="29"/>
  <c r="N110" i="29"/>
  <c r="N270" i="29" l="1"/>
  <c r="P234" i="29"/>
  <c r="O270" i="29" s="1"/>
  <c r="O110" i="29"/>
  <c r="AH110" i="29" l="1"/>
  <c r="AI110" i="29"/>
  <c r="U113" i="27" l="1"/>
  <c r="AH11" i="26"/>
  <c r="AI11" i="26"/>
  <c r="AH12" i="26"/>
  <c r="AI12" i="26"/>
  <c r="AH13" i="26"/>
  <c r="AI13" i="26"/>
  <c r="AH14" i="26"/>
  <c r="AI14" i="26"/>
  <c r="AH15" i="26"/>
  <c r="AI15" i="26"/>
  <c r="AH16" i="26"/>
  <c r="AI16" i="26"/>
  <c r="AH17" i="26"/>
  <c r="AI17" i="26"/>
  <c r="AH18" i="26"/>
  <c r="AI18" i="26"/>
  <c r="AH19" i="26"/>
  <c r="AI19" i="26"/>
  <c r="AH20" i="26"/>
  <c r="AI20" i="26"/>
  <c r="AH21" i="26"/>
  <c r="AI21" i="26"/>
  <c r="AH22" i="26"/>
  <c r="AI22" i="26"/>
  <c r="AH23" i="26"/>
  <c r="AI23" i="26"/>
  <c r="AH24" i="26"/>
  <c r="AI24" i="26"/>
  <c r="AH25" i="26"/>
  <c r="AI25" i="26"/>
  <c r="AH26" i="26"/>
  <c r="AI26" i="26"/>
  <c r="AH27" i="26"/>
  <c r="AI27" i="26"/>
  <c r="AH28" i="26"/>
  <c r="AI28" i="26"/>
  <c r="AH29" i="26"/>
  <c r="AI29" i="26"/>
  <c r="AH30" i="26"/>
  <c r="AI30" i="26"/>
  <c r="AH31" i="26"/>
  <c r="AI31" i="26"/>
  <c r="AH32" i="26"/>
  <c r="AI32" i="26"/>
  <c r="AH33" i="26"/>
  <c r="AI33" i="26"/>
  <c r="AH34" i="26"/>
  <c r="AI34" i="26"/>
  <c r="AH35" i="26"/>
  <c r="AI35" i="26"/>
  <c r="AH36" i="26"/>
  <c r="AI36" i="26"/>
  <c r="AH37" i="26"/>
  <c r="AI37" i="26"/>
  <c r="AH38" i="26"/>
  <c r="AI38" i="26"/>
  <c r="AH39" i="26"/>
  <c r="AI39" i="26"/>
  <c r="AH40" i="26"/>
  <c r="AI40" i="26"/>
  <c r="AH41" i="26"/>
  <c r="AI41" i="26"/>
  <c r="AH42" i="26"/>
  <c r="AI42" i="26"/>
  <c r="AH43" i="26"/>
  <c r="AI43" i="26"/>
  <c r="AH44" i="26"/>
  <c r="AI44" i="26"/>
  <c r="AH45" i="26"/>
  <c r="AI45" i="26"/>
  <c r="AH46" i="26"/>
  <c r="AI46" i="26"/>
  <c r="AH47" i="26"/>
  <c r="AI47" i="26"/>
  <c r="AH48" i="26"/>
  <c r="AI48" i="26"/>
  <c r="AH49" i="26"/>
  <c r="AI49" i="26"/>
  <c r="AH50" i="26"/>
  <c r="AI50" i="26"/>
  <c r="AH51" i="26"/>
  <c r="AI51" i="26"/>
  <c r="AH52" i="26"/>
  <c r="AI52" i="26"/>
  <c r="AH53" i="26"/>
  <c r="AI53" i="26"/>
  <c r="AH54" i="26"/>
  <c r="AI54" i="26"/>
  <c r="AH55" i="26"/>
  <c r="AI55" i="26"/>
  <c r="AH56" i="26"/>
  <c r="AI56" i="26"/>
  <c r="AH57" i="26"/>
  <c r="AI57" i="26"/>
  <c r="AH58" i="26"/>
  <c r="AI58" i="26"/>
  <c r="AH59" i="26"/>
  <c r="AI59" i="26"/>
  <c r="AH60" i="26"/>
  <c r="AI60" i="26"/>
  <c r="AH61" i="26"/>
  <c r="AI61" i="26"/>
  <c r="AH62" i="26"/>
  <c r="AI62" i="26"/>
  <c r="AH63" i="26"/>
  <c r="AI63" i="26"/>
  <c r="AH64" i="26"/>
  <c r="AI64" i="26"/>
  <c r="AH65" i="26"/>
  <c r="AI65" i="26"/>
  <c r="AH66" i="26"/>
  <c r="AI66" i="26"/>
  <c r="AH67" i="26"/>
  <c r="AI67" i="26"/>
  <c r="AH68" i="26"/>
  <c r="AI68" i="26"/>
  <c r="AH69" i="26"/>
  <c r="AI69" i="26"/>
  <c r="AH70" i="26"/>
  <c r="AI70" i="26"/>
  <c r="AH71" i="26"/>
  <c r="AI71" i="26"/>
  <c r="AH72" i="26"/>
  <c r="AI72" i="26"/>
  <c r="AH73" i="26"/>
  <c r="AI73" i="26"/>
  <c r="AH74" i="26"/>
  <c r="AI74" i="26"/>
  <c r="AH75" i="26"/>
  <c r="AI75" i="26"/>
  <c r="AH76" i="26"/>
  <c r="AI76" i="26"/>
  <c r="AH77" i="26"/>
  <c r="AI77" i="26"/>
  <c r="AH78" i="26"/>
  <c r="AI78" i="26"/>
  <c r="AH79" i="26"/>
  <c r="AI79" i="26"/>
  <c r="AH80" i="26"/>
  <c r="AI80" i="26"/>
  <c r="AH81" i="26"/>
  <c r="AI81" i="26"/>
  <c r="AH82" i="26"/>
  <c r="AI82" i="26"/>
  <c r="AH83" i="26"/>
  <c r="AI83" i="26"/>
  <c r="AH84" i="26"/>
  <c r="AI84" i="26"/>
  <c r="AH85" i="26"/>
  <c r="AI85" i="26"/>
  <c r="AH86" i="26"/>
  <c r="AI86" i="26"/>
  <c r="AH87" i="26"/>
  <c r="AI87" i="26"/>
  <c r="AH88" i="26"/>
  <c r="AI88" i="26"/>
  <c r="AH89" i="26"/>
  <c r="AI89" i="26"/>
  <c r="AH90" i="26"/>
  <c r="AI90" i="26"/>
  <c r="AH91" i="26"/>
  <c r="AI91" i="26"/>
  <c r="AH92" i="26"/>
  <c r="AI92" i="26"/>
  <c r="AH93" i="26"/>
  <c r="AI93" i="26"/>
  <c r="AH94" i="26"/>
  <c r="AI94" i="26"/>
  <c r="AH95" i="26"/>
  <c r="AI95" i="26"/>
  <c r="AH96" i="26"/>
  <c r="AI96" i="26"/>
  <c r="AH97" i="26"/>
  <c r="AI97" i="26"/>
  <c r="AH98" i="26"/>
  <c r="AI98" i="26"/>
  <c r="AH99" i="26"/>
  <c r="AI99" i="26"/>
  <c r="AH100" i="26"/>
  <c r="AI100" i="26"/>
  <c r="AH101" i="26"/>
  <c r="AI101" i="26"/>
  <c r="AH102" i="26"/>
  <c r="AI102" i="26"/>
  <c r="AH103" i="26"/>
  <c r="AI103" i="26"/>
  <c r="AH104" i="26"/>
  <c r="AI104" i="26"/>
  <c r="AH105" i="26"/>
  <c r="AI105" i="26"/>
  <c r="AH106" i="26"/>
  <c r="AI106" i="26"/>
  <c r="AH107" i="26"/>
  <c r="AI107" i="26"/>
  <c r="AH108" i="26"/>
  <c r="AI108" i="26"/>
  <c r="AH109" i="26"/>
  <c r="AI109" i="26"/>
  <c r="AH110" i="26"/>
  <c r="AI110" i="26"/>
  <c r="AH111" i="26"/>
  <c r="AI111" i="26"/>
  <c r="AH112" i="26"/>
  <c r="AI112" i="26"/>
  <c r="AH113" i="26"/>
  <c r="AI113" i="26"/>
  <c r="AH114" i="26"/>
  <c r="AI114" i="26"/>
  <c r="AH115" i="26"/>
  <c r="AI115" i="26"/>
  <c r="AH116" i="26"/>
  <c r="AI116" i="26"/>
  <c r="AH117" i="26"/>
  <c r="AI117" i="26"/>
  <c r="AH118" i="26"/>
  <c r="AI118" i="26"/>
  <c r="AH119" i="26"/>
  <c r="AI119" i="26"/>
  <c r="AH120" i="26"/>
  <c r="AI120" i="26"/>
  <c r="L113" i="27" l="1"/>
  <c r="K113" i="27"/>
  <c r="AH113" i="27" s="1"/>
  <c r="J113" i="27"/>
  <c r="I113" i="27"/>
  <c r="H113" i="27"/>
  <c r="G113" i="27"/>
  <c r="F113" i="27"/>
  <c r="E113" i="27"/>
  <c r="AF274" i="27"/>
  <c r="AE274" i="27"/>
  <c r="AD274" i="27"/>
  <c r="AC274" i="27"/>
  <c r="AB274" i="27"/>
  <c r="AA274" i="27"/>
  <c r="Z274" i="27"/>
  <c r="Y274" i="27"/>
  <c r="X274" i="27"/>
  <c r="W274" i="27"/>
  <c r="V274" i="27"/>
  <c r="U274" i="27"/>
  <c r="T274" i="27"/>
  <c r="S274" i="27"/>
  <c r="R274" i="27"/>
  <c r="Q274" i="27"/>
  <c r="P274" i="27"/>
  <c r="O274" i="27"/>
  <c r="N274" i="27"/>
  <c r="M274" i="27"/>
  <c r="L274" i="27"/>
  <c r="K274" i="27"/>
  <c r="J274" i="27"/>
  <c r="I274" i="27"/>
  <c r="H274" i="27"/>
  <c r="G274" i="27"/>
  <c r="F274" i="27"/>
  <c r="E274" i="27"/>
  <c r="D274" i="27"/>
  <c r="C274" i="27"/>
  <c r="B274" i="27"/>
  <c r="A274" i="27"/>
  <c r="AF273" i="27"/>
  <c r="AE273" i="27"/>
  <c r="AD273" i="27"/>
  <c r="AC273" i="27"/>
  <c r="AB273" i="27"/>
  <c r="AA273" i="27"/>
  <c r="Z273" i="27"/>
  <c r="Y273" i="27"/>
  <c r="X273" i="27"/>
  <c r="W273" i="27"/>
  <c r="V273" i="27"/>
  <c r="U273" i="27"/>
  <c r="T273" i="27"/>
  <c r="S273" i="27"/>
  <c r="R273" i="27"/>
  <c r="Q273" i="27"/>
  <c r="P273" i="27"/>
  <c r="O273" i="27"/>
  <c r="N273" i="27"/>
  <c r="M273" i="27"/>
  <c r="L273" i="27"/>
  <c r="K273" i="27"/>
  <c r="J273" i="27"/>
  <c r="I273" i="27"/>
  <c r="H273" i="27"/>
  <c r="G273" i="27"/>
  <c r="F273" i="27"/>
  <c r="E273" i="27"/>
  <c r="D273" i="27"/>
  <c r="C273" i="27"/>
  <c r="B273" i="27"/>
  <c r="A273" i="27"/>
  <c r="AF272" i="27"/>
  <c r="AE272" i="27"/>
  <c r="AD272" i="27"/>
  <c r="AC272" i="27"/>
  <c r="AB272" i="27"/>
  <c r="AA272" i="27"/>
  <c r="Z272" i="27"/>
  <c r="Y272" i="27"/>
  <c r="X272" i="27"/>
  <c r="W272" i="27"/>
  <c r="V272" i="27"/>
  <c r="U272" i="27"/>
  <c r="T272" i="27"/>
  <c r="S272" i="27"/>
  <c r="R272" i="27"/>
  <c r="Q272" i="27"/>
  <c r="P272" i="27"/>
  <c r="O272" i="27"/>
  <c r="N272" i="27"/>
  <c r="M272" i="27"/>
  <c r="L272" i="27"/>
  <c r="K272" i="27"/>
  <c r="J272" i="27"/>
  <c r="I272" i="27"/>
  <c r="H272" i="27"/>
  <c r="G272" i="27"/>
  <c r="F272" i="27"/>
  <c r="E272" i="27"/>
  <c r="D272" i="27"/>
  <c r="C272" i="27"/>
  <c r="B272" i="27"/>
  <c r="A272" i="27"/>
  <c r="AF271" i="27"/>
  <c r="AE271" i="27"/>
  <c r="AD271" i="27"/>
  <c r="AC271" i="27"/>
  <c r="AB271" i="27"/>
  <c r="AA271" i="27"/>
  <c r="Z271" i="27"/>
  <c r="Y271" i="27"/>
  <c r="X271" i="27"/>
  <c r="W271" i="27"/>
  <c r="V271" i="27"/>
  <c r="U271" i="27"/>
  <c r="T271" i="27"/>
  <c r="S271" i="27"/>
  <c r="R271" i="27"/>
  <c r="Q271" i="27"/>
  <c r="P271" i="27"/>
  <c r="O271" i="27"/>
  <c r="N271" i="27"/>
  <c r="M271" i="27"/>
  <c r="L271" i="27"/>
  <c r="K271" i="27"/>
  <c r="J271" i="27"/>
  <c r="I271" i="27"/>
  <c r="H271" i="27"/>
  <c r="G271" i="27"/>
  <c r="F271" i="27"/>
  <c r="E271" i="27"/>
  <c r="D271" i="27"/>
  <c r="C271" i="27"/>
  <c r="B271" i="27"/>
  <c r="A271" i="27"/>
  <c r="AE270" i="27"/>
  <c r="AD270" i="27"/>
  <c r="AC270" i="27"/>
  <c r="AB270" i="27"/>
  <c r="AA270" i="27"/>
  <c r="Z270" i="27"/>
  <c r="Y270" i="27"/>
  <c r="X270" i="27"/>
  <c r="W270" i="27"/>
  <c r="V270" i="27"/>
  <c r="U270" i="27"/>
  <c r="T270" i="27"/>
  <c r="S270" i="27"/>
  <c r="R270" i="27"/>
  <c r="Q270" i="27"/>
  <c r="P270" i="27"/>
  <c r="B270" i="27"/>
  <c r="S245" i="27"/>
  <c r="AG235" i="27"/>
  <c r="AF235" i="27"/>
  <c r="AE235" i="27"/>
  <c r="AD235" i="27"/>
  <c r="AC235" i="27"/>
  <c r="AB235" i="27"/>
  <c r="AA235" i="27"/>
  <c r="Z235" i="27"/>
  <c r="Y235" i="27"/>
  <c r="X235" i="27"/>
  <c r="W235" i="27"/>
  <c r="V235" i="27"/>
  <c r="U235" i="27"/>
  <c r="T235" i="27"/>
  <c r="S235" i="27"/>
  <c r="R235" i="27"/>
  <c r="Q235" i="27"/>
  <c r="C235" i="27"/>
  <c r="D234" i="27"/>
  <c r="C270" i="27" s="1"/>
  <c r="B234" i="27"/>
  <c r="AF270" i="27" s="1"/>
  <c r="D233" i="27"/>
  <c r="E233" i="27" s="1"/>
  <c r="F233" i="27" s="1"/>
  <c r="G233" i="27" s="1"/>
  <c r="H233" i="27" s="1"/>
  <c r="I233" i="27" s="1"/>
  <c r="J233" i="27" s="1"/>
  <c r="K233" i="27" s="1"/>
  <c r="L233" i="27" s="1"/>
  <c r="M233" i="27" s="1"/>
  <c r="N233" i="27" s="1"/>
  <c r="O233" i="27" s="1"/>
  <c r="P233" i="27" s="1"/>
  <c r="B233" i="27"/>
  <c r="D232" i="27"/>
  <c r="E232" i="27" s="1"/>
  <c r="F232" i="27" s="1"/>
  <c r="G232" i="27" s="1"/>
  <c r="H232" i="27" s="1"/>
  <c r="I232" i="27" s="1"/>
  <c r="B232" i="27"/>
  <c r="F231" i="27"/>
  <c r="G231" i="27" s="1"/>
  <c r="H231" i="27" s="1"/>
  <c r="E231" i="27"/>
  <c r="D231" i="27"/>
  <c r="B231" i="27"/>
  <c r="D230" i="27"/>
  <c r="D235" i="27" s="1"/>
  <c r="B230" i="27"/>
  <c r="D229" i="27"/>
  <c r="E229" i="27" s="1"/>
  <c r="B229" i="27"/>
  <c r="B235" i="27" s="1"/>
  <c r="AG227" i="27"/>
  <c r="AF227" i="27"/>
  <c r="AE227" i="27"/>
  <c r="AD227" i="27"/>
  <c r="AC227" i="27"/>
  <c r="AB227" i="27"/>
  <c r="AA227" i="27"/>
  <c r="Z227" i="27"/>
  <c r="Y227" i="27"/>
  <c r="X227" i="27"/>
  <c r="W227" i="27"/>
  <c r="V227" i="27"/>
  <c r="U227" i="27"/>
  <c r="T227" i="27"/>
  <c r="S227" i="27"/>
  <c r="R227" i="27"/>
  <c r="Q227" i="27"/>
  <c r="P227" i="27"/>
  <c r="O227" i="27"/>
  <c r="N227" i="27"/>
  <c r="M227" i="27"/>
  <c r="L227" i="27"/>
  <c r="K227" i="27"/>
  <c r="J227" i="27"/>
  <c r="I227" i="27"/>
  <c r="H227" i="27"/>
  <c r="G227" i="27"/>
  <c r="F227" i="27"/>
  <c r="E227" i="27"/>
  <c r="D227" i="27"/>
  <c r="C227" i="27"/>
  <c r="B227" i="27"/>
  <c r="AI120" i="27"/>
  <c r="AH120" i="27"/>
  <c r="AI119" i="27"/>
  <c r="AH119" i="27"/>
  <c r="AI118" i="27"/>
  <c r="AH118" i="27"/>
  <c r="AI117" i="27"/>
  <c r="AH117" i="27"/>
  <c r="AI116" i="27"/>
  <c r="AH116" i="27"/>
  <c r="AI115" i="27"/>
  <c r="AH115" i="27"/>
  <c r="AI114" i="27"/>
  <c r="AH114" i="27"/>
  <c r="AI112" i="27"/>
  <c r="AH112" i="27"/>
  <c r="AI111" i="27"/>
  <c r="AH111" i="27"/>
  <c r="AF110" i="27"/>
  <c r="AE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D110" i="27"/>
  <c r="C110" i="27"/>
  <c r="AI109" i="27"/>
  <c r="AH109" i="27"/>
  <c r="AI108" i="27"/>
  <c r="AH108" i="27"/>
  <c r="AI107" i="27"/>
  <c r="AH107" i="27"/>
  <c r="AI106" i="27"/>
  <c r="AH106" i="27"/>
  <c r="AI105" i="27"/>
  <c r="AH105" i="27"/>
  <c r="AI104" i="27"/>
  <c r="AH104" i="27"/>
  <c r="AI103" i="27"/>
  <c r="AH103" i="27"/>
  <c r="AI102" i="27"/>
  <c r="AH102" i="27"/>
  <c r="AI101" i="27"/>
  <c r="AH101" i="27"/>
  <c r="AI99" i="27"/>
  <c r="AH99" i="27"/>
  <c r="AI98" i="27"/>
  <c r="AH98" i="27"/>
  <c r="AI97" i="27"/>
  <c r="AH97" i="27"/>
  <c r="AI96" i="27"/>
  <c r="AH96" i="27"/>
  <c r="AI95" i="27"/>
  <c r="AH95" i="27"/>
  <c r="AI94" i="27"/>
  <c r="AH94" i="27"/>
  <c r="AI93" i="27"/>
  <c r="AH93" i="27"/>
  <c r="AI90" i="27"/>
  <c r="AH90" i="27"/>
  <c r="AI88" i="27"/>
  <c r="AH88" i="27"/>
  <c r="AG88" i="27"/>
  <c r="AG91" i="27" s="1"/>
  <c r="AI87" i="27"/>
  <c r="AH87" i="27"/>
  <c r="AI86" i="27"/>
  <c r="AH86" i="27"/>
  <c r="AI85" i="27"/>
  <c r="AH85" i="27"/>
  <c r="AN84" i="27"/>
  <c r="AG84" i="27"/>
  <c r="AF84" i="27"/>
  <c r="AF100" i="27" s="1"/>
  <c r="AE84" i="27"/>
  <c r="AD5" i="27" s="1"/>
  <c r="AD84" i="27"/>
  <c r="AD100" i="27" s="1"/>
  <c r="AC84" i="27"/>
  <c r="AC100" i="27" s="1"/>
  <c r="AB84" i="27"/>
  <c r="AB100" i="27" s="1"/>
  <c r="AA84" i="27"/>
  <c r="AA100" i="27" s="1"/>
  <c r="Z84" i="27"/>
  <c r="Z100" i="27" s="1"/>
  <c r="Y84" i="27"/>
  <c r="Y100" i="27" s="1"/>
  <c r="X84" i="27"/>
  <c r="X100" i="27" s="1"/>
  <c r="W84" i="27"/>
  <c r="W100" i="27" s="1"/>
  <c r="V84" i="27"/>
  <c r="U5" i="27" s="1"/>
  <c r="U84" i="27"/>
  <c r="T5" i="27" s="1"/>
  <c r="T84" i="27"/>
  <c r="T100" i="27" s="1"/>
  <c r="S84" i="27"/>
  <c r="S100" i="27" s="1"/>
  <c r="R84" i="27"/>
  <c r="R100" i="27" s="1"/>
  <c r="Q84" i="27"/>
  <c r="Q100" i="27" s="1"/>
  <c r="P84" i="27"/>
  <c r="P100" i="27" s="1"/>
  <c r="O84" i="27"/>
  <c r="N5" i="27" s="1"/>
  <c r="N84" i="27"/>
  <c r="N100" i="27" s="1"/>
  <c r="M84" i="27"/>
  <c r="M100" i="27" s="1"/>
  <c r="L84" i="27"/>
  <c r="L100" i="27" s="1"/>
  <c r="K84" i="27"/>
  <c r="K100" i="27" s="1"/>
  <c r="J84" i="27"/>
  <c r="J100" i="27" s="1"/>
  <c r="I84" i="27"/>
  <c r="I100" i="27" s="1"/>
  <c r="H84" i="27"/>
  <c r="H100" i="27" s="1"/>
  <c r="G84" i="27"/>
  <c r="G100" i="27" s="1"/>
  <c r="F84" i="27"/>
  <c r="F100" i="27" s="1"/>
  <c r="E84" i="27"/>
  <c r="E100" i="27" s="1"/>
  <c r="D84" i="27"/>
  <c r="D100" i="27" s="1"/>
  <c r="C84" i="27"/>
  <c r="C100" i="27" s="1"/>
  <c r="AI83" i="27"/>
  <c r="AH83" i="27"/>
  <c r="AN82" i="27"/>
  <c r="AN83" i="27" s="1"/>
  <c r="AI82" i="27"/>
  <c r="AH82" i="27"/>
  <c r="AN81" i="27"/>
  <c r="AI81" i="27"/>
  <c r="AH81" i="27"/>
  <c r="AI80" i="27"/>
  <c r="AH80" i="27"/>
  <c r="AI79" i="27"/>
  <c r="AH79" i="27"/>
  <c r="AI78" i="27"/>
  <c r="AH78" i="27"/>
  <c r="AI77" i="27"/>
  <c r="AH77" i="27"/>
  <c r="AI76" i="27"/>
  <c r="AH76" i="27"/>
  <c r="AI75" i="27"/>
  <c r="AH75" i="27"/>
  <c r="AI74" i="27"/>
  <c r="AH74" i="27"/>
  <c r="AI73" i="27"/>
  <c r="AH73" i="27"/>
  <c r="AG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AI71" i="27"/>
  <c r="AH71" i="27"/>
  <c r="AI70" i="27"/>
  <c r="AH70" i="27"/>
  <c r="AI69" i="27"/>
  <c r="AH69" i="27"/>
  <c r="AG68" i="27"/>
  <c r="AD68" i="27"/>
  <c r="AC68" i="27"/>
  <c r="AA68" i="27"/>
  <c r="Z68" i="27"/>
  <c r="Y68" i="27"/>
  <c r="X68" i="27"/>
  <c r="W68" i="27"/>
  <c r="V68" i="27"/>
  <c r="U68" i="27"/>
  <c r="T68" i="27"/>
  <c r="S68" i="27"/>
  <c r="R68" i="27"/>
  <c r="Q68" i="27"/>
  <c r="P68" i="27"/>
  <c r="O68" i="27"/>
  <c r="N68" i="27"/>
  <c r="M68" i="27"/>
  <c r="L68" i="27"/>
  <c r="K68" i="27"/>
  <c r="J68" i="27"/>
  <c r="I68" i="27"/>
  <c r="H68" i="27"/>
  <c r="G68" i="27"/>
  <c r="F68" i="27"/>
  <c r="E68" i="27"/>
  <c r="D68" i="27"/>
  <c r="C68" i="27"/>
  <c r="AI67" i="27"/>
  <c r="AH67" i="27"/>
  <c r="AG67" i="27"/>
  <c r="AI66" i="27"/>
  <c r="AH66" i="27"/>
  <c r="AI65" i="27"/>
  <c r="AH65" i="27"/>
  <c r="AI64" i="27"/>
  <c r="AH64" i="27"/>
  <c r="AI63" i="27"/>
  <c r="AH63" i="27"/>
  <c r="AI62" i="27"/>
  <c r="AH62" i="27"/>
  <c r="AI61" i="27"/>
  <c r="AH61" i="27"/>
  <c r="AI60" i="27"/>
  <c r="AH60" i="27"/>
  <c r="AI59" i="27"/>
  <c r="AH59" i="27"/>
  <c r="AI58" i="27"/>
  <c r="AH58" i="27"/>
  <c r="AI57" i="27"/>
  <c r="AH57" i="27"/>
  <c r="AI56" i="27"/>
  <c r="AH56" i="27"/>
  <c r="AI55" i="27"/>
  <c r="AH55" i="27"/>
  <c r="AG54" i="27"/>
  <c r="AD54" i="27"/>
  <c r="AC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AI53" i="27"/>
  <c r="AH53" i="27"/>
  <c r="AI52" i="27"/>
  <c r="AH52" i="27"/>
  <c r="AI51" i="27"/>
  <c r="AH51" i="27"/>
  <c r="AG50" i="27"/>
  <c r="AG89" i="27" s="1"/>
  <c r="AD50" i="27"/>
  <c r="AC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I38" i="27"/>
  <c r="AH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AF5" i="27"/>
  <c r="Z5" i="27"/>
  <c r="AG4" i="27"/>
  <c r="K4" i="27"/>
  <c r="E4" i="27"/>
  <c r="H4" i="27" s="1"/>
  <c r="B4" i="27"/>
  <c r="S246" i="27" s="1"/>
  <c r="AG3" i="27"/>
  <c r="AC113" i="26"/>
  <c r="AB113" i="26"/>
  <c r="T113" i="26"/>
  <c r="T49" i="26"/>
  <c r="AF89" i="27" l="1"/>
  <c r="AF91" i="27" s="1"/>
  <c r="AE100" i="27"/>
  <c r="AE89" i="27"/>
  <c r="AE91" i="27" s="1"/>
  <c r="AC5" i="27"/>
  <c r="AD89" i="27"/>
  <c r="AD91" i="27" s="1"/>
  <c r="AC89" i="27"/>
  <c r="AC91" i="27" s="1"/>
  <c r="AB5" i="27"/>
  <c r="AA5" i="27"/>
  <c r="AB89" i="27"/>
  <c r="AB91" i="27" s="1"/>
  <c r="AA89" i="27"/>
  <c r="AA91" i="27" s="1"/>
  <c r="Z89" i="27"/>
  <c r="Z91" i="27" s="1"/>
  <c r="Y5" i="27"/>
  <c r="X5" i="27"/>
  <c r="Y89" i="27"/>
  <c r="Y91" i="27" s="1"/>
  <c r="X89" i="27"/>
  <c r="X91" i="27" s="1"/>
  <c r="V5" i="27"/>
  <c r="W89" i="27"/>
  <c r="W91" i="27" s="1"/>
  <c r="V100" i="27"/>
  <c r="V89" i="27"/>
  <c r="V91" i="27" s="1"/>
  <c r="R5" i="27"/>
  <c r="U100" i="27"/>
  <c r="U89" i="27"/>
  <c r="U91" i="27" s="1"/>
  <c r="S5" i="27"/>
  <c r="T89" i="27"/>
  <c r="T91" i="27" s="1"/>
  <c r="S89" i="27"/>
  <c r="S91" i="27" s="1"/>
  <c r="Q5" i="27"/>
  <c r="R89" i="27"/>
  <c r="R91" i="27" s="1"/>
  <c r="P5" i="27"/>
  <c r="Q89" i="27"/>
  <c r="Q91" i="27" s="1"/>
  <c r="AH72" i="27"/>
  <c r="P89" i="27"/>
  <c r="P91" i="27" s="1"/>
  <c r="O100" i="27"/>
  <c r="O89" i="27"/>
  <c r="O91" i="27" s="1"/>
  <c r="N89" i="27"/>
  <c r="N91" i="27" s="1"/>
  <c r="M5" i="27"/>
  <c r="L5" i="27"/>
  <c r="M89" i="27"/>
  <c r="M91" i="27" s="1"/>
  <c r="AE249" i="27" s="1"/>
  <c r="K5" i="27"/>
  <c r="L89" i="27"/>
  <c r="L91" i="27" s="1"/>
  <c r="L92" i="27" s="1"/>
  <c r="J5" i="27"/>
  <c r="K89" i="27"/>
  <c r="K91" i="27" s="1"/>
  <c r="K7" i="27" s="1"/>
  <c r="I5" i="27"/>
  <c r="J89" i="27"/>
  <c r="J91" i="27" s="1"/>
  <c r="AB249" i="27" s="1"/>
  <c r="AI113" i="27"/>
  <c r="H5" i="27"/>
  <c r="I89" i="27"/>
  <c r="I91" i="27" s="1"/>
  <c r="I7" i="27" s="1"/>
  <c r="H89" i="27"/>
  <c r="H91" i="27" s="1"/>
  <c r="H7" i="27" s="1"/>
  <c r="F5" i="27"/>
  <c r="E5" i="27"/>
  <c r="F89" i="27"/>
  <c r="F91" i="27" s="1"/>
  <c r="F92" i="27" s="1"/>
  <c r="G89" i="27"/>
  <c r="G91" i="27" s="1"/>
  <c r="G92" i="27" s="1"/>
  <c r="D5" i="27"/>
  <c r="E89" i="27"/>
  <c r="E91" i="27" s="1"/>
  <c r="E7" i="27" s="1"/>
  <c r="C5" i="27"/>
  <c r="AH68" i="27"/>
  <c r="D89" i="27"/>
  <c r="D91" i="27" s="1"/>
  <c r="D7" i="27" s="1"/>
  <c r="AI54" i="27"/>
  <c r="B5" i="27"/>
  <c r="C89" i="27"/>
  <c r="C91" i="27" s="1"/>
  <c r="C7" i="27" s="1"/>
  <c r="AH54" i="27"/>
  <c r="X7" i="27"/>
  <c r="X92" i="27"/>
  <c r="AP249" i="27"/>
  <c r="Q7" i="27"/>
  <c r="Q92" i="27"/>
  <c r="AI249" i="27"/>
  <c r="H92" i="27"/>
  <c r="AF7" i="27"/>
  <c r="AF92" i="27"/>
  <c r="AX249" i="27"/>
  <c r="Y7" i="27"/>
  <c r="Y92" i="27"/>
  <c r="AQ249" i="27"/>
  <c r="R7" i="27"/>
  <c r="R92" i="27"/>
  <c r="AJ249" i="27"/>
  <c r="Z7" i="27"/>
  <c r="Z92" i="27"/>
  <c r="AR249" i="27"/>
  <c r="D92" i="27"/>
  <c r="U249" i="27"/>
  <c r="S7" i="27"/>
  <c r="S92" i="27"/>
  <c r="AK249" i="27"/>
  <c r="AA7" i="27"/>
  <c r="AA92" i="27"/>
  <c r="AS249" i="27"/>
  <c r="T92" i="27"/>
  <c r="T7" i="27"/>
  <c r="AL249" i="27"/>
  <c r="AI100" i="27"/>
  <c r="AH100" i="27"/>
  <c r="M92" i="27"/>
  <c r="AB92" i="27"/>
  <c r="AT249" i="27"/>
  <c r="AB7" i="27"/>
  <c r="P7" i="27"/>
  <c r="P92" i="27"/>
  <c r="AH249" i="27"/>
  <c r="U92" i="27"/>
  <c r="AM249" i="27"/>
  <c r="U7" i="27"/>
  <c r="AC92" i="27"/>
  <c r="AU249" i="27"/>
  <c r="AC7" i="27"/>
  <c r="X249" i="27"/>
  <c r="AF249" i="27"/>
  <c r="N7" i="27"/>
  <c r="N92" i="27"/>
  <c r="AN249" i="27"/>
  <c r="V7" i="27"/>
  <c r="V92" i="27"/>
  <c r="AV249" i="27"/>
  <c r="AD7" i="27"/>
  <c r="AD92" i="27"/>
  <c r="AG249" i="27"/>
  <c r="O7" i="27"/>
  <c r="O92" i="27"/>
  <c r="AO249" i="27"/>
  <c r="W7" i="27"/>
  <c r="W92" i="27"/>
  <c r="AW249" i="27"/>
  <c r="AE7" i="27"/>
  <c r="AE92" i="27"/>
  <c r="F229" i="27"/>
  <c r="J232" i="27"/>
  <c r="K232" i="27" s="1"/>
  <c r="L232" i="27" s="1"/>
  <c r="M232" i="27" s="1"/>
  <c r="N232" i="27" s="1"/>
  <c r="O232" i="27" s="1"/>
  <c r="P232" i="27" s="1"/>
  <c r="D246" i="27"/>
  <c r="G5" i="27"/>
  <c r="O5" i="27"/>
  <c r="W5" i="27"/>
  <c r="AE5" i="27"/>
  <c r="AI68" i="27"/>
  <c r="E230" i="27"/>
  <c r="F230" i="27" s="1"/>
  <c r="G230" i="27" s="1"/>
  <c r="H230" i="27" s="1"/>
  <c r="I230" i="27" s="1"/>
  <c r="J230" i="27" s="1"/>
  <c r="K230" i="27" s="1"/>
  <c r="L230" i="27" s="1"/>
  <c r="M230" i="27" s="1"/>
  <c r="N230" i="27" s="1"/>
  <c r="O230" i="27" s="1"/>
  <c r="P230" i="27" s="1"/>
  <c r="E234" i="27"/>
  <c r="E110" i="27" s="1"/>
  <c r="AH84" i="27"/>
  <c r="AI72" i="27"/>
  <c r="AH50" i="27"/>
  <c r="AI84" i="27"/>
  <c r="AI50" i="27"/>
  <c r="AG2" i="27"/>
  <c r="AG6" i="27" s="1"/>
  <c r="K50" i="26"/>
  <c r="K54" i="26"/>
  <c r="AF274" i="26"/>
  <c r="AE274" i="26"/>
  <c r="AD274" i="26"/>
  <c r="AC274" i="26"/>
  <c r="AB274" i="26"/>
  <c r="AA274" i="26"/>
  <c r="Z274" i="26"/>
  <c r="Y274" i="26"/>
  <c r="X274" i="26"/>
  <c r="W274" i="26"/>
  <c r="V274" i="26"/>
  <c r="U274" i="26"/>
  <c r="T274" i="26"/>
  <c r="S274" i="26"/>
  <c r="R274" i="26"/>
  <c r="Q274" i="26"/>
  <c r="P274" i="26"/>
  <c r="O274" i="26"/>
  <c r="N274" i="26"/>
  <c r="M274" i="26"/>
  <c r="L274" i="26"/>
  <c r="K274" i="26"/>
  <c r="J274" i="26"/>
  <c r="I274" i="26"/>
  <c r="H274" i="26"/>
  <c r="G274" i="26"/>
  <c r="F274" i="26"/>
  <c r="E274" i="26"/>
  <c r="D274" i="26"/>
  <c r="C274" i="26"/>
  <c r="B274" i="26"/>
  <c r="A274" i="26"/>
  <c r="AF273" i="26"/>
  <c r="AE273" i="26"/>
  <c r="AD273" i="26"/>
  <c r="AC273" i="26"/>
  <c r="AB273" i="26"/>
  <c r="AA273" i="26"/>
  <c r="Z273" i="26"/>
  <c r="Y273" i="26"/>
  <c r="X273" i="26"/>
  <c r="W273" i="26"/>
  <c r="V273" i="26"/>
  <c r="U273" i="26"/>
  <c r="T273" i="26"/>
  <c r="S273" i="26"/>
  <c r="R273" i="26"/>
  <c r="Q273" i="26"/>
  <c r="P273" i="26"/>
  <c r="O273" i="26"/>
  <c r="N273" i="26"/>
  <c r="M273" i="26"/>
  <c r="L273" i="26"/>
  <c r="K273" i="26"/>
  <c r="J273" i="26"/>
  <c r="I273" i="26"/>
  <c r="H273" i="26"/>
  <c r="G273" i="26"/>
  <c r="F273" i="26"/>
  <c r="E273" i="26"/>
  <c r="D273" i="26"/>
  <c r="C273" i="26"/>
  <c r="B273" i="26"/>
  <c r="A273" i="26"/>
  <c r="AF272" i="26"/>
  <c r="AE272" i="26"/>
  <c r="AD272" i="26"/>
  <c r="AC272" i="26"/>
  <c r="AB272" i="26"/>
  <c r="AA272" i="26"/>
  <c r="Z272" i="26"/>
  <c r="Y272" i="26"/>
  <c r="X272" i="26"/>
  <c r="W272" i="26"/>
  <c r="V272" i="26"/>
  <c r="U272" i="26"/>
  <c r="T272" i="26"/>
  <c r="S272" i="26"/>
  <c r="R272" i="26"/>
  <c r="Q272" i="26"/>
  <c r="P272" i="26"/>
  <c r="O272" i="26"/>
  <c r="N272" i="26"/>
  <c r="M272" i="26"/>
  <c r="L272" i="26"/>
  <c r="K272" i="26"/>
  <c r="J272" i="26"/>
  <c r="I272" i="26"/>
  <c r="H272" i="26"/>
  <c r="G272" i="26"/>
  <c r="F272" i="26"/>
  <c r="E272" i="26"/>
  <c r="D272" i="26"/>
  <c r="C272" i="26"/>
  <c r="B272" i="26"/>
  <c r="A272" i="26"/>
  <c r="AF271" i="26"/>
  <c r="AE271" i="26"/>
  <c r="AD271" i="26"/>
  <c r="AC271" i="26"/>
  <c r="AB271" i="26"/>
  <c r="AA271" i="26"/>
  <c r="Z271" i="26"/>
  <c r="Y271" i="26"/>
  <c r="X271" i="26"/>
  <c r="W271" i="26"/>
  <c r="V271" i="26"/>
  <c r="U271" i="26"/>
  <c r="T271" i="26"/>
  <c r="S271" i="26"/>
  <c r="R271" i="26"/>
  <c r="Q271" i="26"/>
  <c r="P271" i="26"/>
  <c r="O271" i="26"/>
  <c r="N271" i="26"/>
  <c r="M271" i="26"/>
  <c r="L271" i="26"/>
  <c r="K271" i="26"/>
  <c r="J271" i="26"/>
  <c r="I271" i="26"/>
  <c r="H271" i="26"/>
  <c r="G271" i="26"/>
  <c r="F271" i="26"/>
  <c r="E271" i="26"/>
  <c r="D271" i="26"/>
  <c r="C271" i="26"/>
  <c r="B271" i="26"/>
  <c r="A271" i="26"/>
  <c r="AE270" i="26"/>
  <c r="AD270" i="26"/>
  <c r="AC270" i="26"/>
  <c r="AB270" i="26"/>
  <c r="AA270" i="26"/>
  <c r="Z270" i="26"/>
  <c r="Y270" i="26"/>
  <c r="X270" i="26"/>
  <c r="W270" i="26"/>
  <c r="V270" i="26"/>
  <c r="U270" i="26"/>
  <c r="T270" i="26"/>
  <c r="S270" i="26"/>
  <c r="R270" i="26"/>
  <c r="Q270" i="26"/>
  <c r="P270" i="26"/>
  <c r="B270" i="26"/>
  <c r="S245" i="26"/>
  <c r="AG235" i="26"/>
  <c r="AF235" i="26"/>
  <c r="AE235" i="26"/>
  <c r="AD235" i="26"/>
  <c r="AC235" i="26"/>
  <c r="AB235" i="26"/>
  <c r="AA235" i="26"/>
  <c r="Z235" i="26"/>
  <c r="Y235" i="26"/>
  <c r="X235" i="26"/>
  <c r="W235" i="26"/>
  <c r="V235" i="26"/>
  <c r="U235" i="26"/>
  <c r="T235" i="26"/>
  <c r="S235" i="26"/>
  <c r="R235" i="26"/>
  <c r="Q235" i="26"/>
  <c r="C235" i="26"/>
  <c r="D234" i="26"/>
  <c r="C270" i="26" s="1"/>
  <c r="B234" i="26"/>
  <c r="AF270" i="26" s="1"/>
  <c r="F233" i="26"/>
  <c r="G233" i="26" s="1"/>
  <c r="H233" i="26" s="1"/>
  <c r="I233" i="26" s="1"/>
  <c r="J233" i="26" s="1"/>
  <c r="K233" i="26" s="1"/>
  <c r="L233" i="26" s="1"/>
  <c r="M233" i="26" s="1"/>
  <c r="N233" i="26" s="1"/>
  <c r="O233" i="26" s="1"/>
  <c r="P233" i="26" s="1"/>
  <c r="E233" i="26"/>
  <c r="D233" i="26"/>
  <c r="B233" i="26"/>
  <c r="D232" i="26"/>
  <c r="E232" i="26" s="1"/>
  <c r="F232" i="26" s="1"/>
  <c r="G232" i="26" s="1"/>
  <c r="H232" i="26" s="1"/>
  <c r="I232" i="26" s="1"/>
  <c r="B232" i="26"/>
  <c r="F231" i="26"/>
  <c r="G231" i="26" s="1"/>
  <c r="H231" i="26" s="1"/>
  <c r="E231" i="26"/>
  <c r="D231" i="26"/>
  <c r="B231" i="26"/>
  <c r="D230" i="26"/>
  <c r="D235" i="26" s="1"/>
  <c r="B230" i="26"/>
  <c r="E229" i="26"/>
  <c r="F229" i="26" s="1"/>
  <c r="D229" i="26"/>
  <c r="B229" i="26"/>
  <c r="B235" i="26" s="1"/>
  <c r="AG227" i="26"/>
  <c r="AF227" i="26"/>
  <c r="AE227" i="26"/>
  <c r="AD227" i="26"/>
  <c r="AC227" i="26"/>
  <c r="AB227" i="26"/>
  <c r="AA227" i="26"/>
  <c r="Z227" i="26"/>
  <c r="Y227" i="26"/>
  <c r="X227" i="26"/>
  <c r="W227" i="26"/>
  <c r="V227" i="26"/>
  <c r="U227" i="26"/>
  <c r="T227" i="26"/>
  <c r="S227" i="26"/>
  <c r="R227" i="26"/>
  <c r="Q227" i="26"/>
  <c r="P227" i="26"/>
  <c r="O227" i="26"/>
  <c r="N227" i="26"/>
  <c r="M227" i="26"/>
  <c r="L227" i="26"/>
  <c r="K227" i="26"/>
  <c r="J227" i="26"/>
  <c r="I227" i="26"/>
  <c r="H227" i="26"/>
  <c r="G227" i="26"/>
  <c r="F227" i="26"/>
  <c r="E227" i="26"/>
  <c r="D227" i="26"/>
  <c r="C227" i="26"/>
  <c r="B227" i="26"/>
  <c r="AF110" i="26"/>
  <c r="AE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D110" i="26"/>
  <c r="C110" i="26"/>
  <c r="B110" i="26"/>
  <c r="Z100" i="26"/>
  <c r="AG88" i="26"/>
  <c r="AG91" i="26" s="1"/>
  <c r="AN84" i="26"/>
  <c r="AG84" i="26"/>
  <c r="AF84" i="26"/>
  <c r="AF100" i="26" s="1"/>
  <c r="AE84" i="26"/>
  <c r="AD5" i="26" s="1"/>
  <c r="AD84" i="26"/>
  <c r="AD100" i="26" s="1"/>
  <c r="AC84" i="26"/>
  <c r="AC100" i="26" s="1"/>
  <c r="AB84" i="26"/>
  <c r="AB100" i="26" s="1"/>
  <c r="AA84" i="26"/>
  <c r="AA100" i="26" s="1"/>
  <c r="Z84" i="26"/>
  <c r="Y5" i="26" s="1"/>
  <c r="Y84" i="26"/>
  <c r="Y100" i="26" s="1"/>
  <c r="X84" i="26"/>
  <c r="X100" i="26" s="1"/>
  <c r="W84" i="26"/>
  <c r="W100" i="26" s="1"/>
  <c r="V84" i="26"/>
  <c r="V100" i="26" s="1"/>
  <c r="U84" i="26"/>
  <c r="U100" i="26" s="1"/>
  <c r="T84" i="26"/>
  <c r="T100" i="26" s="1"/>
  <c r="S84" i="26"/>
  <c r="S100" i="26" s="1"/>
  <c r="R84" i="26"/>
  <c r="R100" i="26" s="1"/>
  <c r="Q84" i="26"/>
  <c r="Q100" i="26" s="1"/>
  <c r="P84" i="26"/>
  <c r="P100" i="26" s="1"/>
  <c r="O84" i="26"/>
  <c r="O100" i="26" s="1"/>
  <c r="N84" i="26"/>
  <c r="N100" i="26" s="1"/>
  <c r="M84" i="26"/>
  <c r="M100" i="26" s="1"/>
  <c r="L84" i="26"/>
  <c r="L100" i="26" s="1"/>
  <c r="K84" i="26"/>
  <c r="K100" i="26" s="1"/>
  <c r="J84" i="26"/>
  <c r="J100" i="26" s="1"/>
  <c r="I84" i="26"/>
  <c r="I100" i="26" s="1"/>
  <c r="H84" i="26"/>
  <c r="H100" i="26" s="1"/>
  <c r="G84" i="26"/>
  <c r="F5" i="26" s="1"/>
  <c r="F84" i="26"/>
  <c r="F100" i="26" s="1"/>
  <c r="E84" i="26"/>
  <c r="D5" i="26" s="1"/>
  <c r="D84" i="26"/>
  <c r="D100" i="26" s="1"/>
  <c r="C84" i="26"/>
  <c r="C100" i="26" s="1"/>
  <c r="B84" i="26"/>
  <c r="AN82" i="26"/>
  <c r="AN81" i="26"/>
  <c r="AN83" i="26" s="1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S72" i="26"/>
  <c r="R72" i="26"/>
  <c r="Q72" i="26"/>
  <c r="P72" i="26"/>
  <c r="O72" i="26"/>
  <c r="N72" i="26"/>
  <c r="M72" i="26"/>
  <c r="L72" i="26"/>
  <c r="B72" i="26"/>
  <c r="AG68" i="26"/>
  <c r="AF68" i="26"/>
  <c r="AE68" i="26"/>
  <c r="AD68" i="26"/>
  <c r="AC68" i="26"/>
  <c r="AB68" i="26"/>
  <c r="AA68" i="26"/>
  <c r="Z68" i="26"/>
  <c r="Y68" i="26"/>
  <c r="X68" i="26"/>
  <c r="W68" i="26"/>
  <c r="V68" i="26"/>
  <c r="U68" i="26"/>
  <c r="T68" i="26"/>
  <c r="S68" i="26"/>
  <c r="R68" i="26"/>
  <c r="Q68" i="26"/>
  <c r="P68" i="26"/>
  <c r="O68" i="26"/>
  <c r="N68" i="26"/>
  <c r="M68" i="26"/>
  <c r="L68" i="26"/>
  <c r="K68" i="26"/>
  <c r="J68" i="26"/>
  <c r="I68" i="26"/>
  <c r="H68" i="26"/>
  <c r="H89" i="26" s="1"/>
  <c r="H91" i="26" s="1"/>
  <c r="G68" i="26"/>
  <c r="F68" i="26"/>
  <c r="E68" i="26"/>
  <c r="D68" i="26"/>
  <c r="C68" i="26"/>
  <c r="B68" i="26"/>
  <c r="AG67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J54" i="26"/>
  <c r="I54" i="26"/>
  <c r="H54" i="26"/>
  <c r="G54" i="26"/>
  <c r="F54" i="26"/>
  <c r="E54" i="26"/>
  <c r="D54" i="26"/>
  <c r="C54" i="26"/>
  <c r="B54" i="26"/>
  <c r="AG50" i="26"/>
  <c r="AG89" i="26" s="1"/>
  <c r="AF50" i="26"/>
  <c r="AE50" i="26"/>
  <c r="AD50" i="26"/>
  <c r="AC50" i="26"/>
  <c r="AB50" i="26"/>
  <c r="AA50" i="26"/>
  <c r="AA89" i="26" s="1"/>
  <c r="AA91" i="26" s="1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J50" i="26"/>
  <c r="I50" i="26"/>
  <c r="H50" i="26"/>
  <c r="G50" i="26"/>
  <c r="F50" i="26"/>
  <c r="E50" i="26"/>
  <c r="D50" i="26"/>
  <c r="C50" i="26"/>
  <c r="B50" i="26"/>
  <c r="T5" i="26"/>
  <c r="R5" i="26"/>
  <c r="AG4" i="26"/>
  <c r="K4" i="26"/>
  <c r="E4" i="26"/>
  <c r="H4" i="26" s="1"/>
  <c r="B4" i="26"/>
  <c r="D246" i="26" s="1"/>
  <c r="AG3" i="26"/>
  <c r="AG6" i="26" s="1"/>
  <c r="AG2" i="26"/>
  <c r="Z54" i="25"/>
  <c r="AA54" i="25"/>
  <c r="AA113" i="25"/>
  <c r="AA110" i="25" s="1"/>
  <c r="AA99" i="25"/>
  <c r="AA88" i="25"/>
  <c r="AA84" i="25"/>
  <c r="AA100" i="25" s="1"/>
  <c r="AA72" i="25"/>
  <c r="AA68" i="25"/>
  <c r="AA50" i="25"/>
  <c r="Z113" i="25"/>
  <c r="Y113" i="25"/>
  <c r="X113" i="25"/>
  <c r="W113" i="25"/>
  <c r="V113" i="25"/>
  <c r="U113" i="25"/>
  <c r="T113" i="25"/>
  <c r="S113" i="25"/>
  <c r="R84" i="25"/>
  <c r="M7" i="27" l="1"/>
  <c r="L7" i="27"/>
  <c r="AD249" i="27"/>
  <c r="AC249" i="27"/>
  <c r="K92" i="27"/>
  <c r="J92" i="27"/>
  <c r="J7" i="27"/>
  <c r="AA249" i="27"/>
  <c r="I92" i="27"/>
  <c r="Z249" i="27"/>
  <c r="F7" i="27"/>
  <c r="C244" i="27"/>
  <c r="G7" i="27"/>
  <c r="B244" i="27"/>
  <c r="Y249" i="27"/>
  <c r="W249" i="27"/>
  <c r="E92" i="27"/>
  <c r="V249" i="27"/>
  <c r="AH89" i="27"/>
  <c r="AI89" i="27"/>
  <c r="C92" i="27"/>
  <c r="G229" i="27"/>
  <c r="E235" i="27"/>
  <c r="B7" i="27"/>
  <c r="AI91" i="27"/>
  <c r="T249" i="27"/>
  <c r="AH91" i="27"/>
  <c r="D270" i="27"/>
  <c r="F234" i="27"/>
  <c r="AF89" i="26"/>
  <c r="AF91" i="26" s="1"/>
  <c r="AE100" i="26"/>
  <c r="AE89" i="26"/>
  <c r="AE91" i="26" s="1"/>
  <c r="AE92" i="26" s="1"/>
  <c r="AC5" i="26"/>
  <c r="AD89" i="26"/>
  <c r="AD91" i="26" s="1"/>
  <c r="AB5" i="26"/>
  <c r="AC89" i="26"/>
  <c r="AC91" i="26" s="1"/>
  <c r="AC92" i="26" s="1"/>
  <c r="AB89" i="26"/>
  <c r="AB91" i="26" s="1"/>
  <c r="AB92" i="26" s="1"/>
  <c r="Z5" i="26"/>
  <c r="Z89" i="26"/>
  <c r="Z91" i="26" s="1"/>
  <c r="X5" i="26"/>
  <c r="Y89" i="26"/>
  <c r="Y91" i="26" s="1"/>
  <c r="X89" i="26"/>
  <c r="X91" i="26" s="1"/>
  <c r="V5" i="26"/>
  <c r="W89" i="26"/>
  <c r="W91" i="26" s="1"/>
  <c r="U5" i="26"/>
  <c r="V89" i="26"/>
  <c r="V91" i="26" s="1"/>
  <c r="U89" i="26"/>
  <c r="U91" i="26" s="1"/>
  <c r="T89" i="26"/>
  <c r="T91" i="26" s="1"/>
  <c r="S89" i="26"/>
  <c r="S91" i="26" s="1"/>
  <c r="Q5" i="26"/>
  <c r="R89" i="26"/>
  <c r="R91" i="26" s="1"/>
  <c r="P5" i="26"/>
  <c r="Q89" i="26"/>
  <c r="Q91" i="26" s="1"/>
  <c r="P89" i="26"/>
  <c r="P91" i="26" s="1"/>
  <c r="N5" i="26"/>
  <c r="O89" i="26"/>
  <c r="O91" i="26" s="1"/>
  <c r="M5" i="26"/>
  <c r="N89" i="26"/>
  <c r="N91" i="26" s="1"/>
  <c r="N7" i="26" s="1"/>
  <c r="I89" i="26"/>
  <c r="I91" i="26" s="1"/>
  <c r="L5" i="26"/>
  <c r="M89" i="26"/>
  <c r="M91" i="26" s="1"/>
  <c r="M92" i="26" s="1"/>
  <c r="L89" i="26"/>
  <c r="L91" i="26" s="1"/>
  <c r="L7" i="26" s="1"/>
  <c r="J5" i="26"/>
  <c r="K89" i="26"/>
  <c r="K91" i="26" s="1"/>
  <c r="K92" i="26" s="1"/>
  <c r="I5" i="26"/>
  <c r="J89" i="26"/>
  <c r="J91" i="26" s="1"/>
  <c r="AB249" i="26" s="1"/>
  <c r="H5" i="26"/>
  <c r="G100" i="26"/>
  <c r="G89" i="26"/>
  <c r="G91" i="26" s="1"/>
  <c r="G7" i="26" s="1"/>
  <c r="E5" i="26"/>
  <c r="F89" i="26"/>
  <c r="F91" i="26" s="1"/>
  <c r="F7" i="26" s="1"/>
  <c r="E89" i="26"/>
  <c r="E91" i="26" s="1"/>
  <c r="E92" i="26" s="1"/>
  <c r="E100" i="26"/>
  <c r="D89" i="26"/>
  <c r="D91" i="26" s="1"/>
  <c r="V249" i="26" s="1"/>
  <c r="B5" i="26"/>
  <c r="C89" i="26"/>
  <c r="C91" i="26" s="1"/>
  <c r="C92" i="26" s="1"/>
  <c r="AF5" i="26"/>
  <c r="B100" i="26"/>
  <c r="B89" i="26"/>
  <c r="AO249" i="26"/>
  <c r="W7" i="26"/>
  <c r="W92" i="26"/>
  <c r="I7" i="26"/>
  <c r="I92" i="26"/>
  <c r="AA249" i="26"/>
  <c r="Q7" i="26"/>
  <c r="Q92" i="26"/>
  <c r="AI249" i="26"/>
  <c r="Y7" i="26"/>
  <c r="Y92" i="26"/>
  <c r="AQ249" i="26"/>
  <c r="H7" i="26"/>
  <c r="H92" i="26"/>
  <c r="Z249" i="26"/>
  <c r="P7" i="26"/>
  <c r="P92" i="26"/>
  <c r="AH249" i="26"/>
  <c r="X7" i="26"/>
  <c r="X92" i="26"/>
  <c r="AP249" i="26"/>
  <c r="AF7" i="26"/>
  <c r="AF92" i="26"/>
  <c r="AX249" i="26"/>
  <c r="R7" i="26"/>
  <c r="R92" i="26"/>
  <c r="AJ249" i="26"/>
  <c r="Z7" i="26"/>
  <c r="Z92" i="26"/>
  <c r="AR249" i="26"/>
  <c r="S7" i="26"/>
  <c r="S92" i="26"/>
  <c r="AK249" i="26"/>
  <c r="AA7" i="26"/>
  <c r="AA92" i="26"/>
  <c r="AS249" i="26"/>
  <c r="AG249" i="26"/>
  <c r="O7" i="26"/>
  <c r="O92" i="26"/>
  <c r="T92" i="26"/>
  <c r="AL249" i="26"/>
  <c r="T7" i="26"/>
  <c r="G229" i="26"/>
  <c r="J232" i="26"/>
  <c r="K232" i="26" s="1"/>
  <c r="L232" i="26" s="1"/>
  <c r="M232" i="26" s="1"/>
  <c r="N232" i="26" s="1"/>
  <c r="O232" i="26" s="1"/>
  <c r="P232" i="26" s="1"/>
  <c r="W249" i="26"/>
  <c r="E7" i="26"/>
  <c r="U92" i="26"/>
  <c r="AM249" i="26"/>
  <c r="U7" i="26"/>
  <c r="X249" i="26"/>
  <c r="AN249" i="26"/>
  <c r="V7" i="26"/>
  <c r="V92" i="26"/>
  <c r="AV249" i="26"/>
  <c r="AD7" i="26"/>
  <c r="AD92" i="26"/>
  <c r="G5" i="26"/>
  <c r="O5" i="26"/>
  <c r="W5" i="26"/>
  <c r="AE5" i="26"/>
  <c r="E230" i="26"/>
  <c r="E234" i="26"/>
  <c r="E110" i="26" s="1"/>
  <c r="S246" i="26"/>
  <c r="C5" i="26"/>
  <c r="K5" i="26"/>
  <c r="S5" i="26"/>
  <c r="AA5" i="26"/>
  <c r="AA89" i="25"/>
  <c r="AA91" i="25" s="1"/>
  <c r="AA92" i="25" s="1"/>
  <c r="AA109" i="25" s="1"/>
  <c r="K6" i="27" l="1"/>
  <c r="A7" i="27"/>
  <c r="E270" i="27"/>
  <c r="G234" i="27"/>
  <c r="F235" i="27"/>
  <c r="AI92" i="27"/>
  <c r="AH92" i="27"/>
  <c r="F110" i="27"/>
  <c r="H229" i="27"/>
  <c r="G110" i="27"/>
  <c r="G235" i="27"/>
  <c r="AW249" i="26"/>
  <c r="AE7" i="26"/>
  <c r="AC7" i="26"/>
  <c r="AU249" i="26"/>
  <c r="AB7" i="26"/>
  <c r="AT249" i="26"/>
  <c r="N92" i="26"/>
  <c r="AF249" i="26"/>
  <c r="AD249" i="26"/>
  <c r="M7" i="26"/>
  <c r="AE249" i="26"/>
  <c r="L92" i="26"/>
  <c r="J92" i="26"/>
  <c r="K7" i="26"/>
  <c r="J7" i="26"/>
  <c r="AC249" i="26"/>
  <c r="B244" i="26"/>
  <c r="Y249" i="26"/>
  <c r="C244" i="26"/>
  <c r="G92" i="26"/>
  <c r="F92" i="26"/>
  <c r="D7" i="26"/>
  <c r="D92" i="26"/>
  <c r="C7" i="26"/>
  <c r="U249" i="26"/>
  <c r="B91" i="26"/>
  <c r="F230" i="26"/>
  <c r="E235" i="26"/>
  <c r="H229" i="26"/>
  <c r="D270" i="26"/>
  <c r="F234" i="26"/>
  <c r="F270" i="27" l="1"/>
  <c r="H234" i="27"/>
  <c r="I229" i="27"/>
  <c r="H110" i="27"/>
  <c r="H235" i="27"/>
  <c r="K6" i="26"/>
  <c r="B92" i="26"/>
  <c r="B7" i="26"/>
  <c r="A7" i="26"/>
  <c r="T249" i="26"/>
  <c r="E270" i="26"/>
  <c r="G234" i="26"/>
  <c r="F110" i="26"/>
  <c r="I229" i="26"/>
  <c r="G230" i="26"/>
  <c r="F235" i="26"/>
  <c r="J229" i="27" l="1"/>
  <c r="G270" i="27"/>
  <c r="I234" i="27"/>
  <c r="H230" i="26"/>
  <c r="G235" i="26"/>
  <c r="J229" i="26"/>
  <c r="F270" i="26"/>
  <c r="H234" i="26"/>
  <c r="G110" i="26"/>
  <c r="H270" i="27" l="1"/>
  <c r="J234" i="27"/>
  <c r="J110" i="27"/>
  <c r="K229" i="27"/>
  <c r="I110" i="27"/>
  <c r="K229" i="26"/>
  <c r="G270" i="26"/>
  <c r="I234" i="26"/>
  <c r="H110" i="26"/>
  <c r="I230" i="26"/>
  <c r="H235" i="26"/>
  <c r="L229" i="27" l="1"/>
  <c r="K234" i="27"/>
  <c r="I270" i="27"/>
  <c r="H270" i="26"/>
  <c r="J234" i="26"/>
  <c r="I110" i="26"/>
  <c r="L229" i="26"/>
  <c r="J230" i="26"/>
  <c r="J270" i="27" l="1"/>
  <c r="L234" i="27"/>
  <c r="M229" i="27"/>
  <c r="L110" i="27"/>
  <c r="K110" i="27"/>
  <c r="K234" i="26"/>
  <c r="I270" i="26"/>
  <c r="J110" i="26"/>
  <c r="K230" i="26"/>
  <c r="M229" i="26"/>
  <c r="N229" i="27" l="1"/>
  <c r="K270" i="27"/>
  <c r="M234" i="27"/>
  <c r="N229" i="26"/>
  <c r="J270" i="26"/>
  <c r="L234" i="26"/>
  <c r="K110" i="26"/>
  <c r="L230" i="26"/>
  <c r="L270" i="27" l="1"/>
  <c r="N234" i="27"/>
  <c r="M110" i="27"/>
  <c r="O229" i="27"/>
  <c r="N110" i="27"/>
  <c r="M230" i="26"/>
  <c r="K270" i="26"/>
  <c r="M234" i="26"/>
  <c r="L110" i="26"/>
  <c r="O229" i="26"/>
  <c r="P229" i="27" l="1"/>
  <c r="M270" i="27"/>
  <c r="O234" i="27"/>
  <c r="L270" i="26"/>
  <c r="N234" i="26"/>
  <c r="M110" i="26"/>
  <c r="P229" i="26"/>
  <c r="N230" i="26"/>
  <c r="N270" i="27" l="1"/>
  <c r="P234" i="27"/>
  <c r="O270" i="27" s="1"/>
  <c r="O110" i="27"/>
  <c r="M270" i="26"/>
  <c r="O234" i="26"/>
  <c r="N110" i="26"/>
  <c r="O230" i="26"/>
  <c r="AH110" i="27" l="1"/>
  <c r="AI110" i="27"/>
  <c r="P230" i="26"/>
  <c r="N270" i="26"/>
  <c r="P234" i="26"/>
  <c r="O270" i="26" s="1"/>
  <c r="O110" i="26"/>
  <c r="H50" i="25" l="1"/>
  <c r="I50" i="25"/>
  <c r="J50" i="25"/>
  <c r="K50" i="25"/>
  <c r="L50" i="25"/>
  <c r="M50" i="25"/>
  <c r="N50" i="25"/>
  <c r="C50" i="25"/>
  <c r="B50" i="25"/>
  <c r="AF274" i="25"/>
  <c r="AE274" i="25"/>
  <c r="AD274" i="25"/>
  <c r="AC274" i="25"/>
  <c r="AB274" i="25"/>
  <c r="AA274" i="25"/>
  <c r="Z274" i="25"/>
  <c r="Y274" i="25"/>
  <c r="X274" i="25"/>
  <c r="W274" i="25"/>
  <c r="V274" i="25"/>
  <c r="U274" i="25"/>
  <c r="T274" i="25"/>
  <c r="S274" i="25"/>
  <c r="R274" i="25"/>
  <c r="Q274" i="25"/>
  <c r="P274" i="25"/>
  <c r="O274" i="25"/>
  <c r="N274" i="25"/>
  <c r="M274" i="25"/>
  <c r="L274" i="25"/>
  <c r="K274" i="25"/>
  <c r="J274" i="25"/>
  <c r="I274" i="25"/>
  <c r="H274" i="25"/>
  <c r="G274" i="25"/>
  <c r="F274" i="25"/>
  <c r="E274" i="25"/>
  <c r="D274" i="25"/>
  <c r="C274" i="25"/>
  <c r="B274" i="25"/>
  <c r="A274" i="25"/>
  <c r="AF273" i="25"/>
  <c r="AE273" i="25"/>
  <c r="AD273" i="25"/>
  <c r="AC273" i="25"/>
  <c r="AB273" i="25"/>
  <c r="AA273" i="25"/>
  <c r="Z273" i="25"/>
  <c r="Y273" i="25"/>
  <c r="X273" i="25"/>
  <c r="W273" i="25"/>
  <c r="V273" i="25"/>
  <c r="U273" i="25"/>
  <c r="T273" i="25"/>
  <c r="S273" i="25"/>
  <c r="R273" i="25"/>
  <c r="Q273" i="25"/>
  <c r="P273" i="25"/>
  <c r="O273" i="25"/>
  <c r="N273" i="25"/>
  <c r="M273" i="25"/>
  <c r="L273" i="25"/>
  <c r="K273" i="25"/>
  <c r="J273" i="25"/>
  <c r="I273" i="25"/>
  <c r="H273" i="25"/>
  <c r="G273" i="25"/>
  <c r="F273" i="25"/>
  <c r="E273" i="25"/>
  <c r="D273" i="25"/>
  <c r="C273" i="25"/>
  <c r="B273" i="25"/>
  <c r="A273" i="25"/>
  <c r="AF272" i="25"/>
  <c r="AE272" i="25"/>
  <c r="AD272" i="25"/>
  <c r="AC272" i="25"/>
  <c r="AB272" i="25"/>
  <c r="AA272" i="25"/>
  <c r="Z272" i="25"/>
  <c r="Y272" i="25"/>
  <c r="X272" i="25"/>
  <c r="W272" i="25"/>
  <c r="V272" i="25"/>
  <c r="U272" i="25"/>
  <c r="T272" i="25"/>
  <c r="S272" i="25"/>
  <c r="R272" i="25"/>
  <c r="Q272" i="25"/>
  <c r="P272" i="25"/>
  <c r="O272" i="25"/>
  <c r="N272" i="25"/>
  <c r="M272" i="25"/>
  <c r="L272" i="25"/>
  <c r="K272" i="25"/>
  <c r="J272" i="25"/>
  <c r="I272" i="25"/>
  <c r="H272" i="25"/>
  <c r="G272" i="25"/>
  <c r="F272" i="25"/>
  <c r="E272" i="25"/>
  <c r="D272" i="25"/>
  <c r="C272" i="25"/>
  <c r="B272" i="25"/>
  <c r="A272" i="25"/>
  <c r="AF271" i="25"/>
  <c r="AE271" i="25"/>
  <c r="AD271" i="25"/>
  <c r="AC271" i="25"/>
  <c r="AB271" i="25"/>
  <c r="AA271" i="25"/>
  <c r="Z271" i="25"/>
  <c r="Y271" i="25"/>
  <c r="X271" i="25"/>
  <c r="W271" i="25"/>
  <c r="V271" i="25"/>
  <c r="U271" i="25"/>
  <c r="T271" i="25"/>
  <c r="S271" i="25"/>
  <c r="R271" i="25"/>
  <c r="Q271" i="25"/>
  <c r="P271" i="25"/>
  <c r="O271" i="25"/>
  <c r="N271" i="25"/>
  <c r="M271" i="25"/>
  <c r="L271" i="25"/>
  <c r="K271" i="25"/>
  <c r="J271" i="25"/>
  <c r="I271" i="25"/>
  <c r="H271" i="25"/>
  <c r="G271" i="25"/>
  <c r="F271" i="25"/>
  <c r="E271" i="25"/>
  <c r="D271" i="25"/>
  <c r="C271" i="25"/>
  <c r="B271" i="25"/>
  <c r="A271" i="25"/>
  <c r="AE270" i="25"/>
  <c r="AD270" i="25"/>
  <c r="AC270" i="25"/>
  <c r="AB270" i="25"/>
  <c r="AA270" i="25"/>
  <c r="Z270" i="25"/>
  <c r="Y270" i="25"/>
  <c r="X270" i="25"/>
  <c r="W270" i="25"/>
  <c r="V270" i="25"/>
  <c r="U270" i="25"/>
  <c r="T270" i="25"/>
  <c r="S270" i="25"/>
  <c r="R270" i="25"/>
  <c r="Q270" i="25"/>
  <c r="P270" i="25"/>
  <c r="B270" i="25"/>
  <c r="S245" i="25"/>
  <c r="AG235" i="25"/>
  <c r="AF235" i="25"/>
  <c r="AE235" i="25"/>
  <c r="AD235" i="25"/>
  <c r="AC235" i="25"/>
  <c r="AB235" i="25"/>
  <c r="AA235" i="25"/>
  <c r="Z235" i="25"/>
  <c r="Y235" i="25"/>
  <c r="X235" i="25"/>
  <c r="W235" i="25"/>
  <c r="V235" i="25"/>
  <c r="U235" i="25"/>
  <c r="T235" i="25"/>
  <c r="S235" i="25"/>
  <c r="R235" i="25"/>
  <c r="Q235" i="25"/>
  <c r="C235" i="25"/>
  <c r="D234" i="25"/>
  <c r="C270" i="25" s="1"/>
  <c r="B234" i="25"/>
  <c r="AF270" i="25" s="1"/>
  <c r="E233" i="25"/>
  <c r="F233" i="25" s="1"/>
  <c r="G233" i="25" s="1"/>
  <c r="H233" i="25" s="1"/>
  <c r="I233" i="25" s="1"/>
  <c r="J233" i="25" s="1"/>
  <c r="K233" i="25" s="1"/>
  <c r="L233" i="25" s="1"/>
  <c r="M233" i="25" s="1"/>
  <c r="N233" i="25" s="1"/>
  <c r="O233" i="25" s="1"/>
  <c r="P233" i="25" s="1"/>
  <c r="D233" i="25"/>
  <c r="B233" i="25"/>
  <c r="D232" i="25"/>
  <c r="E232" i="25" s="1"/>
  <c r="F232" i="25" s="1"/>
  <c r="G232" i="25" s="1"/>
  <c r="H232" i="25" s="1"/>
  <c r="I232" i="25" s="1"/>
  <c r="B232" i="25"/>
  <c r="F231" i="25"/>
  <c r="G231" i="25" s="1"/>
  <c r="H231" i="25" s="1"/>
  <c r="E231" i="25"/>
  <c r="D231" i="25"/>
  <c r="B231" i="25"/>
  <c r="D230" i="25"/>
  <c r="B230" i="25"/>
  <c r="D229" i="25"/>
  <c r="E229" i="25" s="1"/>
  <c r="F229" i="25" s="1"/>
  <c r="G229" i="25" s="1"/>
  <c r="B229" i="25"/>
  <c r="AG227" i="25"/>
  <c r="AF227" i="25"/>
  <c r="AE227" i="25"/>
  <c r="AD227" i="25"/>
  <c r="AC227" i="25"/>
  <c r="AB227" i="25"/>
  <c r="AA227" i="25"/>
  <c r="Z227" i="25"/>
  <c r="Y227" i="25"/>
  <c r="X227" i="25"/>
  <c r="W227" i="25"/>
  <c r="V227" i="25"/>
  <c r="U227" i="25"/>
  <c r="T227" i="25"/>
  <c r="S227" i="25"/>
  <c r="R227" i="25"/>
  <c r="Q227" i="25"/>
  <c r="P227" i="25"/>
  <c r="O227" i="25"/>
  <c r="N227" i="25"/>
  <c r="M227" i="25"/>
  <c r="L227" i="25"/>
  <c r="K227" i="25"/>
  <c r="J227" i="25"/>
  <c r="I227" i="25"/>
  <c r="H227" i="25"/>
  <c r="G227" i="25"/>
  <c r="F227" i="25"/>
  <c r="E227" i="25"/>
  <c r="D227" i="25"/>
  <c r="C227" i="25"/>
  <c r="B227" i="25"/>
  <c r="AI120" i="25"/>
  <c r="AH120" i="25"/>
  <c r="AI119" i="25"/>
  <c r="AH119" i="25"/>
  <c r="AI118" i="25"/>
  <c r="AH118" i="25"/>
  <c r="AI117" i="25"/>
  <c r="AH117" i="25"/>
  <c r="AI116" i="25"/>
  <c r="AH116" i="25"/>
  <c r="AI115" i="25"/>
  <c r="AH115" i="25"/>
  <c r="AI114" i="25"/>
  <c r="AH114" i="25"/>
  <c r="AI113" i="25"/>
  <c r="AH113" i="25"/>
  <c r="AI112" i="25"/>
  <c r="AH112" i="25"/>
  <c r="AI111" i="25"/>
  <c r="AH111" i="25"/>
  <c r="AF110" i="25"/>
  <c r="AE110" i="25"/>
  <c r="AC110" i="25"/>
  <c r="AB110" i="25"/>
  <c r="Z110" i="25"/>
  <c r="Y110" i="25"/>
  <c r="X110" i="25"/>
  <c r="W110" i="25"/>
  <c r="V110" i="25"/>
  <c r="U110" i="25"/>
  <c r="T110" i="25"/>
  <c r="S110" i="25"/>
  <c r="R110" i="25"/>
  <c r="Q110" i="25"/>
  <c r="D110" i="25"/>
  <c r="C110" i="25"/>
  <c r="AI109" i="25"/>
  <c r="AH109" i="25"/>
  <c r="AI108" i="25"/>
  <c r="AH108" i="25"/>
  <c r="AI107" i="25"/>
  <c r="AH107" i="25"/>
  <c r="AI106" i="25"/>
  <c r="AH106" i="25"/>
  <c r="AI105" i="25"/>
  <c r="AH105" i="25"/>
  <c r="AI104" i="25"/>
  <c r="AH104" i="25"/>
  <c r="AI103" i="25"/>
  <c r="AH103" i="25"/>
  <c r="AI102" i="25"/>
  <c r="AH102" i="25"/>
  <c r="AI101" i="25"/>
  <c r="AH101" i="25"/>
  <c r="AI99" i="25"/>
  <c r="AH99" i="25"/>
  <c r="AI98" i="25"/>
  <c r="AH98" i="25"/>
  <c r="AI97" i="25"/>
  <c r="AH97" i="25"/>
  <c r="AI96" i="25"/>
  <c r="AH96" i="25"/>
  <c r="AI95" i="25"/>
  <c r="AH95" i="25"/>
  <c r="AI94" i="25"/>
  <c r="AH94" i="25"/>
  <c r="AI93" i="25"/>
  <c r="AH93" i="25"/>
  <c r="AI90" i="25"/>
  <c r="AH90" i="25"/>
  <c r="AI88" i="25"/>
  <c r="AH88" i="25"/>
  <c r="AG88" i="25"/>
  <c r="AI87" i="25"/>
  <c r="AH87" i="25"/>
  <c r="AI86" i="25"/>
  <c r="AH86" i="25"/>
  <c r="AI85" i="25"/>
  <c r="AH85" i="25"/>
  <c r="AN84" i="25"/>
  <c r="AG84" i="25"/>
  <c r="AF84" i="25"/>
  <c r="AF100" i="25" s="1"/>
  <c r="AE84" i="25"/>
  <c r="AD5" i="25" s="1"/>
  <c r="AD84" i="25"/>
  <c r="AD100" i="25" s="1"/>
  <c r="AC84" i="25"/>
  <c r="AC100" i="25" s="1"/>
  <c r="AB84" i="25"/>
  <c r="AB100" i="25" s="1"/>
  <c r="Z84" i="25"/>
  <c r="Z100" i="25" s="1"/>
  <c r="Y84" i="25"/>
  <c r="Y100" i="25" s="1"/>
  <c r="X84" i="25"/>
  <c r="X100" i="25" s="1"/>
  <c r="W84" i="25"/>
  <c r="W100" i="25" s="1"/>
  <c r="V84" i="25"/>
  <c r="V100" i="25" s="1"/>
  <c r="U84" i="25"/>
  <c r="U100" i="25" s="1"/>
  <c r="T84" i="25"/>
  <c r="T100" i="25" s="1"/>
  <c r="S84" i="25"/>
  <c r="S100" i="25" s="1"/>
  <c r="R100" i="25"/>
  <c r="Q84" i="25"/>
  <c r="Q100" i="25" s="1"/>
  <c r="P84" i="25"/>
  <c r="P100" i="25" s="1"/>
  <c r="O84" i="25"/>
  <c r="N5" i="25" s="1"/>
  <c r="N84" i="25"/>
  <c r="N100" i="25" s="1"/>
  <c r="M84" i="25"/>
  <c r="M100" i="25" s="1"/>
  <c r="L84" i="25"/>
  <c r="L100" i="25" s="1"/>
  <c r="K84" i="25"/>
  <c r="K100" i="25" s="1"/>
  <c r="J84" i="25"/>
  <c r="J100" i="25" s="1"/>
  <c r="I84" i="25"/>
  <c r="I100" i="25" s="1"/>
  <c r="H84" i="25"/>
  <c r="H100" i="25" s="1"/>
  <c r="G84" i="25"/>
  <c r="G100" i="25" s="1"/>
  <c r="F84" i="25"/>
  <c r="F100" i="25" s="1"/>
  <c r="E84" i="25"/>
  <c r="E100" i="25" s="1"/>
  <c r="D84" i="25"/>
  <c r="D100" i="25" s="1"/>
  <c r="C84" i="25"/>
  <c r="C100" i="25" s="1"/>
  <c r="AI83" i="25"/>
  <c r="AH83" i="25"/>
  <c r="AN82" i="25"/>
  <c r="AI82" i="25"/>
  <c r="AH82" i="25"/>
  <c r="AN81" i="25"/>
  <c r="AN83" i="25" s="1"/>
  <c r="AI81" i="25"/>
  <c r="AH81" i="25"/>
  <c r="AI80" i="25"/>
  <c r="AH80" i="25"/>
  <c r="AI79" i="25"/>
  <c r="AH79" i="25"/>
  <c r="AI78" i="25"/>
  <c r="AH78" i="25"/>
  <c r="AI77" i="25"/>
  <c r="AH77" i="25"/>
  <c r="AI76" i="25"/>
  <c r="AH76" i="25"/>
  <c r="AI75" i="25"/>
  <c r="AH75" i="25"/>
  <c r="AI74" i="25"/>
  <c r="AH74" i="25"/>
  <c r="AI73" i="25"/>
  <c r="AH73" i="25"/>
  <c r="AG72" i="25"/>
  <c r="AF72" i="25"/>
  <c r="AE72" i="25"/>
  <c r="AD72" i="25"/>
  <c r="AC72" i="25"/>
  <c r="AB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AI71" i="25"/>
  <c r="AH71" i="25"/>
  <c r="AI70" i="25"/>
  <c r="AH70" i="25"/>
  <c r="AI69" i="25"/>
  <c r="AH69" i="25"/>
  <c r="AF68" i="25"/>
  <c r="AE68" i="25"/>
  <c r="AD68" i="25"/>
  <c r="AC68" i="25"/>
  <c r="AB68" i="25"/>
  <c r="Z68" i="25"/>
  <c r="Y68" i="25"/>
  <c r="X68" i="25"/>
  <c r="W68" i="25"/>
  <c r="V68" i="25"/>
  <c r="U68" i="25"/>
  <c r="T68" i="25"/>
  <c r="S68" i="25"/>
  <c r="R68" i="25"/>
  <c r="Q68" i="25"/>
  <c r="P68" i="25"/>
  <c r="O68" i="25"/>
  <c r="N68" i="25"/>
  <c r="M68" i="25"/>
  <c r="L68" i="25"/>
  <c r="K68" i="25"/>
  <c r="J68" i="25"/>
  <c r="I68" i="25"/>
  <c r="H68" i="25"/>
  <c r="G68" i="25"/>
  <c r="F68" i="25"/>
  <c r="E68" i="25"/>
  <c r="D68" i="25"/>
  <c r="AI67" i="25"/>
  <c r="AH67" i="25"/>
  <c r="AG67" i="25"/>
  <c r="AG68" i="25" s="1"/>
  <c r="AG3" i="25" s="1"/>
  <c r="AI66" i="25"/>
  <c r="AH66" i="25"/>
  <c r="AI65" i="25"/>
  <c r="AH65" i="25"/>
  <c r="AI64" i="25"/>
  <c r="AH64" i="25"/>
  <c r="AI63" i="25"/>
  <c r="AH63" i="25"/>
  <c r="AI62" i="25"/>
  <c r="AH62" i="25"/>
  <c r="AI61" i="25"/>
  <c r="AH61" i="25"/>
  <c r="AI60" i="25"/>
  <c r="AH60" i="25"/>
  <c r="AI59" i="25"/>
  <c r="AH59" i="25"/>
  <c r="AI58" i="25"/>
  <c r="AH58" i="25"/>
  <c r="AI57" i="25"/>
  <c r="AH57" i="25"/>
  <c r="AI56" i="25"/>
  <c r="AH56" i="25"/>
  <c r="AI55" i="25"/>
  <c r="AH55" i="25"/>
  <c r="AG54" i="25"/>
  <c r="AF54" i="25"/>
  <c r="AE54" i="25"/>
  <c r="AD54" i="25"/>
  <c r="AC54" i="25"/>
  <c r="AB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AI53" i="25"/>
  <c r="AH53" i="25"/>
  <c r="AI52" i="25"/>
  <c r="AH52" i="25"/>
  <c r="AI51" i="25"/>
  <c r="AH51" i="25"/>
  <c r="AG50" i="25"/>
  <c r="AF50" i="25"/>
  <c r="AE50" i="25"/>
  <c r="AD50" i="25"/>
  <c r="AC50" i="25"/>
  <c r="AB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G50" i="25"/>
  <c r="F50" i="25"/>
  <c r="E50" i="25"/>
  <c r="D50" i="25"/>
  <c r="AI49" i="25"/>
  <c r="AH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I38" i="25"/>
  <c r="AH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AF5" i="25"/>
  <c r="Z5" i="25"/>
  <c r="X5" i="25"/>
  <c r="T5" i="25"/>
  <c r="AG4" i="25"/>
  <c r="K4" i="25"/>
  <c r="E4" i="25"/>
  <c r="H4" i="25" s="1"/>
  <c r="B4" i="25"/>
  <c r="S246" i="25" s="1"/>
  <c r="AG2" i="25"/>
  <c r="AD110" i="24"/>
  <c r="AA110" i="24"/>
  <c r="AA99" i="24"/>
  <c r="AA88" i="24"/>
  <c r="AA84" i="24"/>
  <c r="AA100" i="24" s="1"/>
  <c r="AA72" i="24"/>
  <c r="AA68" i="24"/>
  <c r="AA54" i="24"/>
  <c r="AA89" i="24" s="1"/>
  <c r="AA91" i="24" s="1"/>
  <c r="AA92" i="24" s="1"/>
  <c r="AA109" i="24" s="1"/>
  <c r="AA50" i="24"/>
  <c r="Y113" i="24"/>
  <c r="X113" i="24"/>
  <c r="W113" i="24"/>
  <c r="U114" i="24"/>
  <c r="AE5" i="25" l="1"/>
  <c r="AF89" i="25"/>
  <c r="AF91" i="25" s="1"/>
  <c r="B235" i="25"/>
  <c r="D235" i="25"/>
  <c r="AG6" i="25"/>
  <c r="AE100" i="25"/>
  <c r="AE89" i="25"/>
  <c r="AE91" i="25" s="1"/>
  <c r="AC5" i="25"/>
  <c r="AB5" i="25"/>
  <c r="AC89" i="25"/>
  <c r="AC91" i="25" s="1"/>
  <c r="AU249" i="25" s="1"/>
  <c r="AA5" i="25"/>
  <c r="AB89" i="25"/>
  <c r="AB91" i="25" s="1"/>
  <c r="Z89" i="25"/>
  <c r="Z91" i="25" s="1"/>
  <c r="AD89" i="25"/>
  <c r="AD91" i="25" s="1"/>
  <c r="Y5" i="25"/>
  <c r="Y89" i="25"/>
  <c r="Y91" i="25" s="1"/>
  <c r="W5" i="25"/>
  <c r="X89" i="25"/>
  <c r="X91" i="25" s="1"/>
  <c r="X7" i="25" s="1"/>
  <c r="V89" i="25"/>
  <c r="V91" i="25" s="1"/>
  <c r="U5" i="25"/>
  <c r="V5" i="25"/>
  <c r="W89" i="25"/>
  <c r="W91" i="25" s="1"/>
  <c r="U89" i="25"/>
  <c r="U91" i="25" s="1"/>
  <c r="S5" i="25"/>
  <c r="T89" i="25"/>
  <c r="T91" i="25" s="1"/>
  <c r="R5" i="25"/>
  <c r="S89" i="25"/>
  <c r="S91" i="25" s="1"/>
  <c r="Q5" i="25"/>
  <c r="R89" i="25"/>
  <c r="R91" i="25" s="1"/>
  <c r="P5" i="25"/>
  <c r="Q89" i="25"/>
  <c r="Q91" i="25" s="1"/>
  <c r="O5" i="25"/>
  <c r="P89" i="25"/>
  <c r="P91" i="25" s="1"/>
  <c r="O100" i="25"/>
  <c r="O89" i="25"/>
  <c r="O91" i="25" s="1"/>
  <c r="O7" i="25" s="1"/>
  <c r="M5" i="25"/>
  <c r="N89" i="25"/>
  <c r="N91" i="25" s="1"/>
  <c r="N92" i="25" s="1"/>
  <c r="L5" i="25"/>
  <c r="AH72" i="25"/>
  <c r="M89" i="25"/>
  <c r="M91" i="25" s="1"/>
  <c r="M7" i="25" s="1"/>
  <c r="K5" i="25"/>
  <c r="L89" i="25"/>
  <c r="L91" i="25" s="1"/>
  <c r="L7" i="25" s="1"/>
  <c r="J5" i="25"/>
  <c r="K89" i="25"/>
  <c r="K91" i="25" s="1"/>
  <c r="K7" i="25" s="1"/>
  <c r="J89" i="25"/>
  <c r="J91" i="25" s="1"/>
  <c r="J92" i="25" s="1"/>
  <c r="I89" i="25"/>
  <c r="I91" i="25" s="1"/>
  <c r="AA249" i="25" s="1"/>
  <c r="H5" i="25"/>
  <c r="AI54" i="25"/>
  <c r="H89" i="25"/>
  <c r="H91" i="25" s="1"/>
  <c r="H7" i="25" s="1"/>
  <c r="G5" i="25"/>
  <c r="I5" i="25"/>
  <c r="F5" i="25"/>
  <c r="G89" i="25"/>
  <c r="G91" i="25" s="1"/>
  <c r="Y249" i="25" s="1"/>
  <c r="E5" i="25"/>
  <c r="F89" i="25"/>
  <c r="F91" i="25" s="1"/>
  <c r="F7" i="25" s="1"/>
  <c r="D5" i="25"/>
  <c r="AI68" i="25"/>
  <c r="E89" i="25"/>
  <c r="E91" i="25" s="1"/>
  <c r="E92" i="25" s="1"/>
  <c r="D89" i="25"/>
  <c r="D91" i="25" s="1"/>
  <c r="D92" i="25" s="1"/>
  <c r="C5" i="25"/>
  <c r="B5" i="25"/>
  <c r="C89" i="25"/>
  <c r="C91" i="25" s="1"/>
  <c r="U249" i="25" s="1"/>
  <c r="AA7" i="25"/>
  <c r="AS249" i="25"/>
  <c r="T92" i="25"/>
  <c r="AL249" i="25"/>
  <c r="T7" i="25"/>
  <c r="AB92" i="25"/>
  <c r="AT249" i="25"/>
  <c r="AB7" i="25"/>
  <c r="U92" i="25"/>
  <c r="AM249" i="25"/>
  <c r="U7" i="25"/>
  <c r="AN249" i="25"/>
  <c r="V7" i="25"/>
  <c r="V92" i="25"/>
  <c r="AV249" i="25"/>
  <c r="AD7" i="25"/>
  <c r="AD92" i="25"/>
  <c r="AG91" i="25"/>
  <c r="AO249" i="25"/>
  <c r="W7" i="25"/>
  <c r="W92" i="25"/>
  <c r="AW249" i="25"/>
  <c r="AE7" i="25"/>
  <c r="AE92" i="25"/>
  <c r="AI100" i="25"/>
  <c r="AH100" i="25"/>
  <c r="P7" i="25"/>
  <c r="P92" i="25"/>
  <c r="AH249" i="25"/>
  <c r="AF7" i="25"/>
  <c r="AF92" i="25"/>
  <c r="AX249" i="25"/>
  <c r="H229" i="25"/>
  <c r="J232" i="25"/>
  <c r="K232" i="25" s="1"/>
  <c r="L232" i="25" s="1"/>
  <c r="M232" i="25" s="1"/>
  <c r="N232" i="25" s="1"/>
  <c r="O232" i="25" s="1"/>
  <c r="P232" i="25" s="1"/>
  <c r="S7" i="25"/>
  <c r="S92" i="25"/>
  <c r="AK249" i="25"/>
  <c r="Q7" i="25"/>
  <c r="Q92" i="25"/>
  <c r="AI249" i="25"/>
  <c r="Y7" i="25"/>
  <c r="Y92" i="25"/>
  <c r="AQ249" i="25"/>
  <c r="AG89" i="25"/>
  <c r="R7" i="25"/>
  <c r="R92" i="25"/>
  <c r="AJ249" i="25"/>
  <c r="AH68" i="25"/>
  <c r="AI72" i="25"/>
  <c r="D246" i="25"/>
  <c r="E230" i="25"/>
  <c r="E234" i="25"/>
  <c r="AH84" i="25"/>
  <c r="AH50" i="25"/>
  <c r="AH54" i="25"/>
  <c r="AI84" i="25"/>
  <c r="AI50" i="25"/>
  <c r="AC92" i="25" l="1"/>
  <c r="AP249" i="25"/>
  <c r="AC7" i="25"/>
  <c r="M92" i="25"/>
  <c r="X92" i="25"/>
  <c r="AE249" i="25"/>
  <c r="AF249" i="25"/>
  <c r="N7" i="25"/>
  <c r="J7" i="25"/>
  <c r="Z92" i="25"/>
  <c r="AR249" i="25"/>
  <c r="Z7" i="25"/>
  <c r="O92" i="25"/>
  <c r="AG249" i="25"/>
  <c r="I92" i="25"/>
  <c r="L92" i="25"/>
  <c r="AD249" i="25"/>
  <c r="AC249" i="25"/>
  <c r="K92" i="25"/>
  <c r="AB249" i="25"/>
  <c r="I7" i="25"/>
  <c r="Z249" i="25"/>
  <c r="H92" i="25"/>
  <c r="G92" i="25"/>
  <c r="G7" i="25"/>
  <c r="B244" i="25"/>
  <c r="C244" i="25"/>
  <c r="D7" i="25"/>
  <c r="V249" i="25"/>
  <c r="X249" i="25"/>
  <c r="F92" i="25"/>
  <c r="E7" i="25"/>
  <c r="W249" i="25"/>
  <c r="AH89" i="25"/>
  <c r="AI89" i="25"/>
  <c r="C92" i="25"/>
  <c r="C7" i="25"/>
  <c r="D270" i="25"/>
  <c r="F234" i="25"/>
  <c r="E110" i="25"/>
  <c r="B7" i="25"/>
  <c r="AI91" i="25"/>
  <c r="T249" i="25"/>
  <c r="AH91" i="25"/>
  <c r="F230" i="25"/>
  <c r="E235" i="25"/>
  <c r="I229" i="25"/>
  <c r="K6" i="25" l="1"/>
  <c r="A7" i="25"/>
  <c r="AI92" i="25"/>
  <c r="AH92" i="25"/>
  <c r="J229" i="25"/>
  <c r="E270" i="25"/>
  <c r="G234" i="25"/>
  <c r="F110" i="25"/>
  <c r="G230" i="25"/>
  <c r="F235" i="25"/>
  <c r="H230" i="25" l="1"/>
  <c r="G235" i="25"/>
  <c r="K229" i="25"/>
  <c r="F270" i="25"/>
  <c r="H234" i="25"/>
  <c r="H110" i="25" s="1"/>
  <c r="G110" i="25"/>
  <c r="G270" i="25" l="1"/>
  <c r="I234" i="25"/>
  <c r="L229" i="25"/>
  <c r="I230" i="25"/>
  <c r="H235" i="25"/>
  <c r="H270" i="25" l="1"/>
  <c r="J234" i="25"/>
  <c r="I110" i="25"/>
  <c r="M229" i="25"/>
  <c r="J230" i="25"/>
  <c r="N229" i="25" l="1"/>
  <c r="K234" i="25"/>
  <c r="I270" i="25"/>
  <c r="J110" i="25"/>
  <c r="K230" i="25"/>
  <c r="S113" i="24"/>
  <c r="L113" i="24"/>
  <c r="K113" i="24"/>
  <c r="C72" i="24"/>
  <c r="D72" i="24"/>
  <c r="E72" i="24"/>
  <c r="F72" i="24"/>
  <c r="G72" i="24"/>
  <c r="H72" i="24"/>
  <c r="I72" i="24"/>
  <c r="J72" i="24"/>
  <c r="K72" i="24"/>
  <c r="AF274" i="24"/>
  <c r="AE274" i="24"/>
  <c r="AD274" i="24"/>
  <c r="AC274" i="24"/>
  <c r="AB274" i="24"/>
  <c r="AA274" i="24"/>
  <c r="Z274" i="24"/>
  <c r="Y274" i="24"/>
  <c r="X274" i="24"/>
  <c r="W274" i="24"/>
  <c r="V274" i="24"/>
  <c r="U274" i="24"/>
  <c r="T274" i="24"/>
  <c r="S274" i="24"/>
  <c r="R274" i="24"/>
  <c r="Q274" i="24"/>
  <c r="P274" i="24"/>
  <c r="O274" i="24"/>
  <c r="N274" i="24"/>
  <c r="M274" i="24"/>
  <c r="L274" i="24"/>
  <c r="K274" i="24"/>
  <c r="J274" i="24"/>
  <c r="I274" i="24"/>
  <c r="H274" i="24"/>
  <c r="G274" i="24"/>
  <c r="F274" i="24"/>
  <c r="E274" i="24"/>
  <c r="D274" i="24"/>
  <c r="C274" i="24"/>
  <c r="B274" i="24"/>
  <c r="A274" i="24"/>
  <c r="AF273" i="24"/>
  <c r="AE273" i="24"/>
  <c r="AD273" i="24"/>
  <c r="AC273" i="24"/>
  <c r="AB273" i="24"/>
  <c r="AA273" i="24"/>
  <c r="Z273" i="24"/>
  <c r="Y273" i="24"/>
  <c r="X273" i="24"/>
  <c r="W273" i="24"/>
  <c r="V273" i="24"/>
  <c r="U273" i="24"/>
  <c r="T273" i="24"/>
  <c r="S273" i="24"/>
  <c r="R273" i="24"/>
  <c r="Q273" i="24"/>
  <c r="P273" i="24"/>
  <c r="O273" i="24"/>
  <c r="N273" i="24"/>
  <c r="M273" i="24"/>
  <c r="L273" i="24"/>
  <c r="K273" i="24"/>
  <c r="J273" i="24"/>
  <c r="I273" i="24"/>
  <c r="H273" i="24"/>
  <c r="G273" i="24"/>
  <c r="F273" i="24"/>
  <c r="E273" i="24"/>
  <c r="D273" i="24"/>
  <c r="C273" i="24"/>
  <c r="B273" i="24"/>
  <c r="A273" i="24"/>
  <c r="AF272" i="24"/>
  <c r="AE272" i="24"/>
  <c r="AD272" i="24"/>
  <c r="AC272" i="24"/>
  <c r="AB272" i="24"/>
  <c r="AA272" i="24"/>
  <c r="Z272" i="24"/>
  <c r="Y272" i="24"/>
  <c r="X272" i="24"/>
  <c r="W272" i="24"/>
  <c r="V272" i="24"/>
  <c r="U272" i="24"/>
  <c r="T272" i="24"/>
  <c r="S272" i="24"/>
  <c r="R272" i="24"/>
  <c r="Q272" i="24"/>
  <c r="P272" i="24"/>
  <c r="O272" i="24"/>
  <c r="N272" i="24"/>
  <c r="M272" i="24"/>
  <c r="L272" i="24"/>
  <c r="K272" i="24"/>
  <c r="J272" i="24"/>
  <c r="I272" i="24"/>
  <c r="H272" i="24"/>
  <c r="G272" i="24"/>
  <c r="F272" i="24"/>
  <c r="E272" i="24"/>
  <c r="D272" i="24"/>
  <c r="C272" i="24"/>
  <c r="B272" i="24"/>
  <c r="A272" i="24"/>
  <c r="AF271" i="24"/>
  <c r="AE271" i="24"/>
  <c r="AD271" i="24"/>
  <c r="AC271" i="24"/>
  <c r="AB271" i="24"/>
  <c r="AA271" i="24"/>
  <c r="Z271" i="24"/>
  <c r="Y271" i="24"/>
  <c r="X271" i="24"/>
  <c r="W271" i="24"/>
  <c r="V271" i="24"/>
  <c r="U271" i="24"/>
  <c r="T271" i="24"/>
  <c r="S271" i="24"/>
  <c r="R271" i="24"/>
  <c r="Q271" i="24"/>
  <c r="P271" i="24"/>
  <c r="O271" i="24"/>
  <c r="N271" i="24"/>
  <c r="M271" i="24"/>
  <c r="L271" i="24"/>
  <c r="K271" i="24"/>
  <c r="J271" i="24"/>
  <c r="I271" i="24"/>
  <c r="H271" i="24"/>
  <c r="G271" i="24"/>
  <c r="F271" i="24"/>
  <c r="E271" i="24"/>
  <c r="D271" i="24"/>
  <c r="C271" i="24"/>
  <c r="B271" i="24"/>
  <c r="A271" i="24"/>
  <c r="AE270" i="24"/>
  <c r="AD270" i="24"/>
  <c r="AC270" i="24"/>
  <c r="AB270" i="24"/>
  <c r="AA270" i="24"/>
  <c r="Z270" i="24"/>
  <c r="Y270" i="24"/>
  <c r="X270" i="24"/>
  <c r="W270" i="24"/>
  <c r="V270" i="24"/>
  <c r="U270" i="24"/>
  <c r="T270" i="24"/>
  <c r="S270" i="24"/>
  <c r="R270" i="24"/>
  <c r="Q270" i="24"/>
  <c r="P270" i="24"/>
  <c r="B270" i="24"/>
  <c r="S245" i="24"/>
  <c r="AG235" i="24"/>
  <c r="AF235" i="24"/>
  <c r="AE235" i="24"/>
  <c r="AD235" i="24"/>
  <c r="AC235" i="24"/>
  <c r="AB235" i="24"/>
  <c r="AA235" i="24"/>
  <c r="Z235" i="24"/>
  <c r="Y235" i="24"/>
  <c r="X235" i="24"/>
  <c r="W235" i="24"/>
  <c r="V235" i="24"/>
  <c r="U235" i="24"/>
  <c r="T235" i="24"/>
  <c r="S235" i="24"/>
  <c r="R235" i="24"/>
  <c r="Q235" i="24"/>
  <c r="C235" i="24"/>
  <c r="D234" i="24"/>
  <c r="C270" i="24" s="1"/>
  <c r="B234" i="24"/>
  <c r="AF270" i="24" s="1"/>
  <c r="E233" i="24"/>
  <c r="F233" i="24" s="1"/>
  <c r="G233" i="24" s="1"/>
  <c r="H233" i="24" s="1"/>
  <c r="I233" i="24" s="1"/>
  <c r="J233" i="24" s="1"/>
  <c r="K233" i="24" s="1"/>
  <c r="L233" i="24" s="1"/>
  <c r="M233" i="24" s="1"/>
  <c r="N233" i="24" s="1"/>
  <c r="O233" i="24" s="1"/>
  <c r="P233" i="24" s="1"/>
  <c r="D233" i="24"/>
  <c r="B233" i="24"/>
  <c r="E232" i="24"/>
  <c r="F232" i="24" s="1"/>
  <c r="G232" i="24" s="1"/>
  <c r="H232" i="24" s="1"/>
  <c r="I232" i="24" s="1"/>
  <c r="D232" i="24"/>
  <c r="B232" i="24"/>
  <c r="D231" i="24"/>
  <c r="E231" i="24" s="1"/>
  <c r="F231" i="24" s="1"/>
  <c r="G231" i="24" s="1"/>
  <c r="H231" i="24" s="1"/>
  <c r="B231" i="24"/>
  <c r="D230" i="24"/>
  <c r="D235" i="24" s="1"/>
  <c r="B230" i="24"/>
  <c r="E229" i="24"/>
  <c r="F229" i="24" s="1"/>
  <c r="D229" i="24"/>
  <c r="B229" i="24"/>
  <c r="B235" i="24" s="1"/>
  <c r="AG227" i="24"/>
  <c r="AF227" i="24"/>
  <c r="AE227" i="24"/>
  <c r="AD227" i="24"/>
  <c r="AC227" i="24"/>
  <c r="AB227" i="24"/>
  <c r="AA227" i="24"/>
  <c r="Z227" i="24"/>
  <c r="Y227" i="24"/>
  <c r="X227" i="24"/>
  <c r="W227" i="24"/>
  <c r="V227" i="24"/>
  <c r="U227" i="24"/>
  <c r="T227" i="24"/>
  <c r="S227" i="24"/>
  <c r="R227" i="24"/>
  <c r="Q227" i="24"/>
  <c r="P227" i="24"/>
  <c r="O227" i="24"/>
  <c r="N227" i="24"/>
  <c r="M227" i="24"/>
  <c r="L227" i="24"/>
  <c r="K227" i="24"/>
  <c r="J227" i="24"/>
  <c r="I227" i="24"/>
  <c r="H227" i="24"/>
  <c r="G227" i="24"/>
  <c r="F227" i="24"/>
  <c r="E227" i="24"/>
  <c r="D227" i="24"/>
  <c r="C227" i="24"/>
  <c r="B227" i="24"/>
  <c r="AI120" i="24"/>
  <c r="AH120" i="24"/>
  <c r="AI119" i="24"/>
  <c r="AH119" i="24"/>
  <c r="AI118" i="24"/>
  <c r="AH118" i="24"/>
  <c r="AI117" i="24"/>
  <c r="AH117" i="24"/>
  <c r="AI116" i="24"/>
  <c r="AH116" i="24"/>
  <c r="AI115" i="24"/>
  <c r="AH115" i="24"/>
  <c r="AI114" i="24"/>
  <c r="AH114" i="24"/>
  <c r="AI113" i="24"/>
  <c r="AH113" i="24"/>
  <c r="AI112" i="24"/>
  <c r="AH112" i="24"/>
  <c r="AI111" i="24"/>
  <c r="AH111" i="24"/>
  <c r="AF110" i="24"/>
  <c r="AE110" i="24"/>
  <c r="AC110" i="24"/>
  <c r="AB110" i="24"/>
  <c r="Z110" i="24"/>
  <c r="Y110" i="24"/>
  <c r="X110" i="24"/>
  <c r="W110" i="24"/>
  <c r="V110" i="24"/>
  <c r="U110" i="24"/>
  <c r="T110" i="24"/>
  <c r="S110" i="24"/>
  <c r="R110" i="24"/>
  <c r="Q110" i="24"/>
  <c r="D110" i="24"/>
  <c r="C110" i="24"/>
  <c r="B110" i="24"/>
  <c r="AI109" i="24"/>
  <c r="AH109" i="24"/>
  <c r="AI108" i="24"/>
  <c r="AH108" i="24"/>
  <c r="AI107" i="24"/>
  <c r="AH107" i="24"/>
  <c r="AI106" i="24"/>
  <c r="AH106" i="24"/>
  <c r="AI105" i="24"/>
  <c r="AH105" i="24"/>
  <c r="AI104" i="24"/>
  <c r="AH104" i="24"/>
  <c r="AI103" i="24"/>
  <c r="AH103" i="24"/>
  <c r="AI102" i="24"/>
  <c r="AH102" i="24"/>
  <c r="AI101" i="24"/>
  <c r="AH101" i="24"/>
  <c r="Z100" i="24"/>
  <c r="R100" i="24"/>
  <c r="B100" i="24"/>
  <c r="AI99" i="24"/>
  <c r="AH99" i="24"/>
  <c r="AI98" i="24"/>
  <c r="AH98" i="24"/>
  <c r="AI97" i="24"/>
  <c r="AH97" i="24"/>
  <c r="AI96" i="24"/>
  <c r="AH96" i="24"/>
  <c r="AI95" i="24"/>
  <c r="AH95" i="24"/>
  <c r="AI94" i="24"/>
  <c r="AH94" i="24"/>
  <c r="AI93" i="24"/>
  <c r="AH93" i="24"/>
  <c r="AI90" i="24"/>
  <c r="AH90" i="24"/>
  <c r="W89" i="24"/>
  <c r="W91" i="24" s="1"/>
  <c r="W7" i="24" s="1"/>
  <c r="AI88" i="24"/>
  <c r="AH88" i="24"/>
  <c r="AG88" i="24"/>
  <c r="AG91" i="24" s="1"/>
  <c r="AI87" i="24"/>
  <c r="AH87" i="24"/>
  <c r="AI86" i="24"/>
  <c r="AH86" i="24"/>
  <c r="AI85" i="24"/>
  <c r="AH85" i="24"/>
  <c r="AN84" i="24"/>
  <c r="AG84" i="24"/>
  <c r="AF84" i="24"/>
  <c r="AF100" i="24" s="1"/>
  <c r="AE84" i="24"/>
  <c r="AD5" i="24" s="1"/>
  <c r="AD84" i="24"/>
  <c r="AD100" i="24" s="1"/>
  <c r="AC84" i="24"/>
  <c r="AC100" i="24" s="1"/>
  <c r="AB84" i="24"/>
  <c r="AB100" i="24" s="1"/>
  <c r="Z84" i="24"/>
  <c r="Y84" i="24"/>
  <c r="Y100" i="24" s="1"/>
  <c r="X84" i="24"/>
  <c r="X100" i="24" s="1"/>
  <c r="W84" i="24"/>
  <c r="W100" i="24" s="1"/>
  <c r="V84" i="24"/>
  <c r="V100" i="24" s="1"/>
  <c r="U84" i="24"/>
  <c r="U100" i="24" s="1"/>
  <c r="T84" i="24"/>
  <c r="T100" i="24" s="1"/>
  <c r="S84" i="24"/>
  <c r="R84" i="24"/>
  <c r="Q5" i="24" s="1"/>
  <c r="Q84" i="24"/>
  <c r="Q100" i="24" s="1"/>
  <c r="P84" i="24"/>
  <c r="P100" i="24" s="1"/>
  <c r="O84" i="24"/>
  <c r="N5" i="24" s="1"/>
  <c r="N84" i="24"/>
  <c r="N100" i="24" s="1"/>
  <c r="M84" i="24"/>
  <c r="M100" i="24" s="1"/>
  <c r="L84" i="24"/>
  <c r="L100" i="24" s="1"/>
  <c r="K84" i="24"/>
  <c r="J84" i="24"/>
  <c r="I5" i="24" s="1"/>
  <c r="I84" i="24"/>
  <c r="I100" i="24" s="1"/>
  <c r="H84" i="24"/>
  <c r="H100" i="24" s="1"/>
  <c r="G84" i="24"/>
  <c r="G100" i="24" s="1"/>
  <c r="F84" i="24"/>
  <c r="F100" i="24" s="1"/>
  <c r="E84" i="24"/>
  <c r="E100" i="24" s="1"/>
  <c r="D84" i="24"/>
  <c r="D100" i="24" s="1"/>
  <c r="C84" i="24"/>
  <c r="B84" i="24"/>
  <c r="AI83" i="24"/>
  <c r="AH83" i="24"/>
  <c r="AN82" i="24"/>
  <c r="AI82" i="24"/>
  <c r="AH82" i="24"/>
  <c r="AN81" i="24"/>
  <c r="AN83" i="24" s="1"/>
  <c r="AI81" i="24"/>
  <c r="AH81" i="24"/>
  <c r="AI80" i="24"/>
  <c r="AH80" i="24"/>
  <c r="AI79" i="24"/>
  <c r="AH79" i="24"/>
  <c r="AI78" i="24"/>
  <c r="AH78" i="24"/>
  <c r="AI77" i="24"/>
  <c r="AH77" i="24"/>
  <c r="AI76" i="24"/>
  <c r="AH76" i="24"/>
  <c r="AI75" i="24"/>
  <c r="AH75" i="24"/>
  <c r="AI74" i="24"/>
  <c r="AH74" i="24"/>
  <c r="AI73" i="24"/>
  <c r="AH73" i="24"/>
  <c r="AG72" i="24"/>
  <c r="AG89" i="24" s="1"/>
  <c r="AF72" i="24"/>
  <c r="AE72" i="24"/>
  <c r="AD72" i="24"/>
  <c r="AC72" i="24"/>
  <c r="AB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B72" i="24"/>
  <c r="AI71" i="24"/>
  <c r="AH71" i="24"/>
  <c r="AI70" i="24"/>
  <c r="AH70" i="24"/>
  <c r="AI69" i="24"/>
  <c r="AH69" i="24"/>
  <c r="AG68" i="24"/>
  <c r="AG3" i="24" s="1"/>
  <c r="AF68" i="24"/>
  <c r="AE68" i="24"/>
  <c r="AD68" i="24"/>
  <c r="AC68" i="24"/>
  <c r="AB68" i="24"/>
  <c r="Z68" i="24"/>
  <c r="Y68" i="24"/>
  <c r="X68" i="24"/>
  <c r="W68" i="24"/>
  <c r="V68" i="24"/>
  <c r="U68" i="24"/>
  <c r="T68" i="24"/>
  <c r="S68" i="24"/>
  <c r="R68" i="24"/>
  <c r="Q68" i="24"/>
  <c r="P68" i="24"/>
  <c r="O68" i="24"/>
  <c r="N68" i="24"/>
  <c r="M68" i="24"/>
  <c r="L68" i="24"/>
  <c r="K68" i="24"/>
  <c r="J68" i="24"/>
  <c r="I68" i="24"/>
  <c r="H68" i="24"/>
  <c r="G68" i="24"/>
  <c r="F68" i="24"/>
  <c r="E68" i="24"/>
  <c r="D68" i="24"/>
  <c r="C68" i="24"/>
  <c r="B68" i="24"/>
  <c r="AI67" i="24"/>
  <c r="AH67" i="24"/>
  <c r="AG67" i="24"/>
  <c r="AI66" i="24"/>
  <c r="AH66" i="24"/>
  <c r="AI65" i="24"/>
  <c r="AH65" i="24"/>
  <c r="AI64" i="24"/>
  <c r="AH64" i="24"/>
  <c r="AI63" i="24"/>
  <c r="AH63" i="24"/>
  <c r="AI62" i="24"/>
  <c r="AH62" i="24"/>
  <c r="AI61" i="24"/>
  <c r="AH61" i="24"/>
  <c r="AI60" i="24"/>
  <c r="AH60" i="24"/>
  <c r="AI59" i="24"/>
  <c r="AH59" i="24"/>
  <c r="AI58" i="24"/>
  <c r="AH58" i="24"/>
  <c r="AI57" i="24"/>
  <c r="AH57" i="24"/>
  <c r="AI56" i="24"/>
  <c r="AH56" i="24"/>
  <c r="AI55" i="24"/>
  <c r="AH55" i="24"/>
  <c r="AG54" i="24"/>
  <c r="AF54" i="24"/>
  <c r="AE54" i="24"/>
  <c r="AD54" i="24"/>
  <c r="AC54" i="24"/>
  <c r="AB54" i="24"/>
  <c r="Z54" i="24"/>
  <c r="Y54" i="24"/>
  <c r="X54" i="24"/>
  <c r="W54" i="24"/>
  <c r="V54" i="24"/>
  <c r="U54" i="24"/>
  <c r="T54" i="24"/>
  <c r="T89" i="24" s="1"/>
  <c r="T91" i="24" s="1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AI53" i="24"/>
  <c r="AH53" i="24"/>
  <c r="AI52" i="24"/>
  <c r="AH52" i="24"/>
  <c r="AI51" i="24"/>
  <c r="AH51" i="24"/>
  <c r="AG50" i="24"/>
  <c r="AF50" i="24"/>
  <c r="AE50" i="24"/>
  <c r="AD50" i="24"/>
  <c r="AC50" i="24"/>
  <c r="AB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F89" i="24" s="1"/>
  <c r="F91" i="24" s="1"/>
  <c r="E50" i="24"/>
  <c r="D50" i="24"/>
  <c r="C50" i="24"/>
  <c r="B50" i="24"/>
  <c r="AI49" i="24"/>
  <c r="AH49" i="24"/>
  <c r="AI48" i="24"/>
  <c r="AH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I38" i="24"/>
  <c r="AH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AF5" i="24"/>
  <c r="Y5" i="24"/>
  <c r="U5" i="24"/>
  <c r="S5" i="24"/>
  <c r="AG4" i="24"/>
  <c r="K4" i="24"/>
  <c r="E4" i="24"/>
  <c r="H4" i="24" s="1"/>
  <c r="B4" i="24"/>
  <c r="S246" i="24" s="1"/>
  <c r="AG2" i="24"/>
  <c r="L230" i="25" l="1"/>
  <c r="J270" i="25"/>
  <c r="L234" i="25"/>
  <c r="K110" i="25"/>
  <c r="O229" i="25"/>
  <c r="AF89" i="24"/>
  <c r="AF91" i="24" s="1"/>
  <c r="AE89" i="24"/>
  <c r="AE91" i="24" s="1"/>
  <c r="AE7" i="24" s="1"/>
  <c r="AC5" i="24"/>
  <c r="AA5" i="24"/>
  <c r="AB5" i="24"/>
  <c r="AC89" i="24"/>
  <c r="AC91" i="24" s="1"/>
  <c r="AD89" i="24"/>
  <c r="AD91" i="24" s="1"/>
  <c r="AB89" i="24"/>
  <c r="AB91" i="24" s="1"/>
  <c r="X5" i="24"/>
  <c r="X89" i="24"/>
  <c r="X91" i="24" s="1"/>
  <c r="Y89" i="24"/>
  <c r="Y91" i="24" s="1"/>
  <c r="T5" i="24"/>
  <c r="U89" i="24"/>
  <c r="U91" i="24" s="1"/>
  <c r="S89" i="24"/>
  <c r="S91" i="24" s="1"/>
  <c r="P5" i="24"/>
  <c r="Q89" i="24"/>
  <c r="Q91" i="24" s="1"/>
  <c r="P89" i="24"/>
  <c r="P91" i="24" s="1"/>
  <c r="O89" i="24"/>
  <c r="O91" i="24" s="1"/>
  <c r="O7" i="24" s="1"/>
  <c r="M5" i="24"/>
  <c r="N89" i="24"/>
  <c r="N91" i="24" s="1"/>
  <c r="L5" i="24"/>
  <c r="M89" i="24"/>
  <c r="M91" i="24" s="1"/>
  <c r="M92" i="24" s="1"/>
  <c r="K5" i="24"/>
  <c r="L89" i="24"/>
  <c r="L91" i="24" s="1"/>
  <c r="L7" i="24" s="1"/>
  <c r="K89" i="24"/>
  <c r="K91" i="24" s="1"/>
  <c r="AC249" i="24" s="1"/>
  <c r="J100" i="24"/>
  <c r="H5" i="24"/>
  <c r="I89" i="24"/>
  <c r="I91" i="24" s="1"/>
  <c r="I7" i="24" s="1"/>
  <c r="H89" i="24"/>
  <c r="H91" i="24" s="1"/>
  <c r="Z249" i="24" s="1"/>
  <c r="G89" i="24"/>
  <c r="G91" i="24" s="1"/>
  <c r="G7" i="24" s="1"/>
  <c r="E5" i="24"/>
  <c r="D5" i="24"/>
  <c r="AH68" i="24"/>
  <c r="E89" i="24"/>
  <c r="E91" i="24" s="1"/>
  <c r="E92" i="24" s="1"/>
  <c r="C5" i="24"/>
  <c r="AH84" i="24"/>
  <c r="AI84" i="24"/>
  <c r="D89" i="24"/>
  <c r="D91" i="24" s="1"/>
  <c r="D92" i="24" s="1"/>
  <c r="C89" i="24"/>
  <c r="C91" i="24" s="1"/>
  <c r="C92" i="24" s="1"/>
  <c r="S92" i="24"/>
  <c r="S7" i="24"/>
  <c r="AK249" i="24"/>
  <c r="X249" i="24"/>
  <c r="F7" i="24"/>
  <c r="F92" i="24"/>
  <c r="AF249" i="24"/>
  <c r="N7" i="24"/>
  <c r="N92" i="24"/>
  <c r="V89" i="24"/>
  <c r="V91" i="24" s="1"/>
  <c r="AV249" i="24"/>
  <c r="AD7" i="24"/>
  <c r="AD92" i="24"/>
  <c r="AH72" i="24"/>
  <c r="Y249" i="24"/>
  <c r="AG6" i="24"/>
  <c r="L92" i="24"/>
  <c r="P7" i="24"/>
  <c r="P92" i="24"/>
  <c r="AH249" i="24"/>
  <c r="X7" i="24"/>
  <c r="X92" i="24"/>
  <c r="AP249" i="24"/>
  <c r="AF7" i="24"/>
  <c r="AF92" i="24"/>
  <c r="AX249" i="24"/>
  <c r="AG249" i="24"/>
  <c r="O92" i="24"/>
  <c r="AI54" i="24"/>
  <c r="AH54" i="24"/>
  <c r="Q7" i="24"/>
  <c r="Q92" i="24"/>
  <c r="AI249" i="24"/>
  <c r="Y7" i="24"/>
  <c r="AQ249" i="24"/>
  <c r="Y92" i="24"/>
  <c r="T92" i="24"/>
  <c r="AL249" i="24"/>
  <c r="T7" i="24"/>
  <c r="B89" i="24"/>
  <c r="AI50" i="24"/>
  <c r="Z89" i="24"/>
  <c r="Z91" i="24" s="1"/>
  <c r="AH50" i="24"/>
  <c r="AO249" i="24"/>
  <c r="W92" i="24"/>
  <c r="J89" i="24"/>
  <c r="J91" i="24" s="1"/>
  <c r="R89" i="24"/>
  <c r="R91" i="24" s="1"/>
  <c r="K92" i="24"/>
  <c r="AS249" i="24"/>
  <c r="AA7" i="24"/>
  <c r="AI72" i="24"/>
  <c r="C100" i="24"/>
  <c r="B5" i="24"/>
  <c r="K100" i="24"/>
  <c r="J5" i="24"/>
  <c r="S100" i="24"/>
  <c r="R5" i="24"/>
  <c r="Z5" i="24"/>
  <c r="AB92" i="24"/>
  <c r="AT249" i="24"/>
  <c r="AB7" i="24"/>
  <c r="AW249" i="24"/>
  <c r="AE92" i="24"/>
  <c r="J232" i="24"/>
  <c r="K232" i="24" s="1"/>
  <c r="L232" i="24" s="1"/>
  <c r="M232" i="24" s="1"/>
  <c r="N232" i="24" s="1"/>
  <c r="O232" i="24" s="1"/>
  <c r="P232" i="24" s="1"/>
  <c r="U92" i="24"/>
  <c r="AM249" i="24"/>
  <c r="U7" i="24"/>
  <c r="AC92" i="24"/>
  <c r="AU249" i="24"/>
  <c r="AC7" i="24"/>
  <c r="G229" i="24"/>
  <c r="F5" i="24"/>
  <c r="V5" i="24"/>
  <c r="O100" i="24"/>
  <c r="AE100" i="24"/>
  <c r="D246" i="24"/>
  <c r="G5" i="24"/>
  <c r="O5" i="24"/>
  <c r="W5" i="24"/>
  <c r="AE5" i="24"/>
  <c r="AI68" i="24"/>
  <c r="E230" i="24"/>
  <c r="F230" i="24" s="1"/>
  <c r="G230" i="24" s="1"/>
  <c r="H230" i="24" s="1"/>
  <c r="I230" i="24" s="1"/>
  <c r="J230" i="24" s="1"/>
  <c r="K230" i="24" s="1"/>
  <c r="L230" i="24" s="1"/>
  <c r="M230" i="24" s="1"/>
  <c r="N230" i="24" s="1"/>
  <c r="O230" i="24" s="1"/>
  <c r="P230" i="24" s="1"/>
  <c r="E234" i="24"/>
  <c r="P229" i="25" l="1"/>
  <c r="K270" i="25"/>
  <c r="M234" i="25"/>
  <c r="L110" i="25"/>
  <c r="M230" i="25"/>
  <c r="M7" i="24"/>
  <c r="AE249" i="24"/>
  <c r="AD249" i="24"/>
  <c r="K7" i="24"/>
  <c r="AH100" i="24"/>
  <c r="D7" i="24"/>
  <c r="AA249" i="24"/>
  <c r="H92" i="24"/>
  <c r="E7" i="24"/>
  <c r="B244" i="24"/>
  <c r="I92" i="24"/>
  <c r="H7" i="24"/>
  <c r="C244" i="24"/>
  <c r="G92" i="24"/>
  <c r="W249" i="24"/>
  <c r="V249" i="24"/>
  <c r="U249" i="24"/>
  <c r="C7" i="24"/>
  <c r="AI100" i="24"/>
  <c r="F234" i="24"/>
  <c r="D270" i="24"/>
  <c r="H229" i="24"/>
  <c r="E235" i="24"/>
  <c r="E110" i="24"/>
  <c r="R7" i="24"/>
  <c r="R92" i="24"/>
  <c r="AJ249" i="24"/>
  <c r="Z7" i="24"/>
  <c r="Z92" i="24"/>
  <c r="AR249" i="24"/>
  <c r="J7" i="24"/>
  <c r="J92" i="24"/>
  <c r="AB249" i="24"/>
  <c r="AI89" i="24"/>
  <c r="AH89" i="24"/>
  <c r="B91" i="24"/>
  <c r="AN249" i="24"/>
  <c r="V7" i="24"/>
  <c r="V92" i="24"/>
  <c r="N230" i="25" l="1"/>
  <c r="L270" i="25"/>
  <c r="N234" i="25"/>
  <c r="M110" i="25"/>
  <c r="K6" i="24"/>
  <c r="B7" i="24"/>
  <c r="A7" i="24" s="1"/>
  <c r="B92" i="24"/>
  <c r="T249" i="24"/>
  <c r="AH91" i="24"/>
  <c r="AI91" i="24"/>
  <c r="I229" i="24"/>
  <c r="E270" i="24"/>
  <c r="G234" i="24"/>
  <c r="F110" i="24"/>
  <c r="F235" i="24"/>
  <c r="M270" i="25" l="1"/>
  <c r="O234" i="25"/>
  <c r="N110" i="25"/>
  <c r="O230" i="25"/>
  <c r="J229" i="24"/>
  <c r="F270" i="24"/>
  <c r="H234" i="24"/>
  <c r="G235" i="24"/>
  <c r="G110" i="24"/>
  <c r="AI92" i="24"/>
  <c r="AH92" i="24"/>
  <c r="P230" i="25" l="1"/>
  <c r="N270" i="25"/>
  <c r="P234" i="25"/>
  <c r="O270" i="25" s="1"/>
  <c r="O110" i="25"/>
  <c r="G270" i="24"/>
  <c r="I234" i="24"/>
  <c r="H110" i="24"/>
  <c r="H235" i="24"/>
  <c r="K229" i="24"/>
  <c r="AI110" i="25" l="1"/>
  <c r="AH110" i="25"/>
  <c r="L229" i="24"/>
  <c r="H270" i="24"/>
  <c r="J234" i="24"/>
  <c r="I110" i="24"/>
  <c r="K234" i="24" l="1"/>
  <c r="I270" i="24"/>
  <c r="J110" i="24"/>
  <c r="M229" i="24"/>
  <c r="N229" i="24" l="1"/>
  <c r="J270" i="24"/>
  <c r="L234" i="24"/>
  <c r="K110" i="24"/>
  <c r="K270" i="24" l="1"/>
  <c r="M234" i="24"/>
  <c r="L110" i="24"/>
  <c r="O229" i="24"/>
  <c r="P229" i="24" l="1"/>
  <c r="L270" i="24"/>
  <c r="N234" i="24"/>
  <c r="M110" i="24"/>
  <c r="M270" i="24" l="1"/>
  <c r="O234" i="24"/>
  <c r="N110" i="24"/>
  <c r="N270" i="24" l="1"/>
  <c r="P234" i="24"/>
  <c r="O270" i="24" s="1"/>
  <c r="O110" i="24"/>
  <c r="AH110" i="24" l="1"/>
  <c r="AI110" i="24"/>
  <c r="AB49" i="22" l="1"/>
  <c r="AA110" i="22"/>
  <c r="AA100" i="22"/>
  <c r="AA92" i="22"/>
  <c r="AA91" i="22"/>
  <c r="AA89" i="22"/>
  <c r="AA84" i="22"/>
  <c r="AA72" i="22"/>
  <c r="AA68" i="22"/>
  <c r="AA54" i="22"/>
  <c r="AA50" i="22"/>
  <c r="X50" i="22" l="1"/>
  <c r="X54" i="22"/>
  <c r="W50" i="22"/>
  <c r="V113" i="22"/>
  <c r="B8" i="23" l="1"/>
  <c r="B7" i="23"/>
  <c r="B6" i="23"/>
  <c r="C3" i="23"/>
  <c r="C2" i="23"/>
  <c r="C1" i="23"/>
  <c r="P54" i="22"/>
  <c r="D113" i="22"/>
  <c r="D50" i="22"/>
  <c r="D54" i="22"/>
  <c r="D68" i="22"/>
  <c r="D72" i="22"/>
  <c r="D84" i="22"/>
  <c r="D100" i="22" s="1"/>
  <c r="C113" i="22"/>
  <c r="AH113" i="22" s="1"/>
  <c r="C50" i="22"/>
  <c r="C54" i="22"/>
  <c r="C68" i="22"/>
  <c r="C72" i="22"/>
  <c r="C84" i="22"/>
  <c r="C100" i="22" s="1"/>
  <c r="B113" i="22"/>
  <c r="B84" i="22"/>
  <c r="B100" i="22" s="1"/>
  <c r="B72" i="22"/>
  <c r="B68" i="22"/>
  <c r="B54" i="22"/>
  <c r="B50" i="22"/>
  <c r="AF274" i="22"/>
  <c r="AE274" i="22"/>
  <c r="AD274" i="22"/>
  <c r="AC274" i="22"/>
  <c r="AB274" i="22"/>
  <c r="AA274" i="22"/>
  <c r="Z274" i="22"/>
  <c r="Y274" i="22"/>
  <c r="X274" i="22"/>
  <c r="W274" i="22"/>
  <c r="V274" i="22"/>
  <c r="U274" i="22"/>
  <c r="T274" i="22"/>
  <c r="S274" i="22"/>
  <c r="R274" i="22"/>
  <c r="Q274" i="22"/>
  <c r="P274" i="22"/>
  <c r="O274" i="22"/>
  <c r="N274" i="22"/>
  <c r="M274" i="22"/>
  <c r="L274" i="22"/>
  <c r="K274" i="22"/>
  <c r="J274" i="22"/>
  <c r="I274" i="22"/>
  <c r="H274" i="22"/>
  <c r="G274" i="22"/>
  <c r="F274" i="22"/>
  <c r="E274" i="22"/>
  <c r="D274" i="22"/>
  <c r="C274" i="22"/>
  <c r="B274" i="22"/>
  <c r="A274" i="22"/>
  <c r="AF273" i="22"/>
  <c r="AE273" i="22"/>
  <c r="AD273" i="22"/>
  <c r="AC273" i="22"/>
  <c r="AB273" i="22"/>
  <c r="AA273" i="22"/>
  <c r="Z273" i="22"/>
  <c r="Y273" i="22"/>
  <c r="X273" i="22"/>
  <c r="W273" i="22"/>
  <c r="V273" i="22"/>
  <c r="U273" i="22"/>
  <c r="T273" i="22"/>
  <c r="S273" i="22"/>
  <c r="R273" i="22"/>
  <c r="Q273" i="22"/>
  <c r="P273" i="22"/>
  <c r="O273" i="22"/>
  <c r="N273" i="22"/>
  <c r="M273" i="22"/>
  <c r="L273" i="22"/>
  <c r="K273" i="22"/>
  <c r="J273" i="22"/>
  <c r="I273" i="22"/>
  <c r="H273" i="22"/>
  <c r="G273" i="22"/>
  <c r="F273" i="22"/>
  <c r="E273" i="22"/>
  <c r="D273" i="22"/>
  <c r="C273" i="22"/>
  <c r="B273" i="22"/>
  <c r="A273" i="22"/>
  <c r="AF272" i="22"/>
  <c r="AE272" i="22"/>
  <c r="AD272" i="22"/>
  <c r="AC272" i="22"/>
  <c r="AB272" i="22"/>
  <c r="AA272" i="22"/>
  <c r="Z272" i="22"/>
  <c r="Y272" i="22"/>
  <c r="X272" i="22"/>
  <c r="W272" i="22"/>
  <c r="V272" i="22"/>
  <c r="U272" i="22"/>
  <c r="T272" i="22"/>
  <c r="S272" i="22"/>
  <c r="R272" i="22"/>
  <c r="Q272" i="22"/>
  <c r="P272" i="22"/>
  <c r="O272" i="22"/>
  <c r="N272" i="22"/>
  <c r="M272" i="22"/>
  <c r="L272" i="22"/>
  <c r="K272" i="22"/>
  <c r="J272" i="22"/>
  <c r="I272" i="22"/>
  <c r="H272" i="22"/>
  <c r="G272" i="22"/>
  <c r="F272" i="22"/>
  <c r="E272" i="22"/>
  <c r="D272" i="22"/>
  <c r="C272" i="22"/>
  <c r="B272" i="22"/>
  <c r="A272" i="22"/>
  <c r="AF271" i="22"/>
  <c r="AE271" i="22"/>
  <c r="AD271" i="22"/>
  <c r="AC271" i="22"/>
  <c r="AB271" i="22"/>
  <c r="AA271" i="22"/>
  <c r="Z271" i="22"/>
  <c r="Y271" i="22"/>
  <c r="X271" i="22"/>
  <c r="W271" i="22"/>
  <c r="V271" i="22"/>
  <c r="U271" i="22"/>
  <c r="T271" i="22"/>
  <c r="S271" i="22"/>
  <c r="R271" i="22"/>
  <c r="Q271" i="22"/>
  <c r="P271" i="22"/>
  <c r="O271" i="22"/>
  <c r="N271" i="22"/>
  <c r="M271" i="22"/>
  <c r="L271" i="22"/>
  <c r="K271" i="22"/>
  <c r="J271" i="22"/>
  <c r="I271" i="22"/>
  <c r="H271" i="22"/>
  <c r="G271" i="22"/>
  <c r="F271" i="22"/>
  <c r="E271" i="22"/>
  <c r="D271" i="22"/>
  <c r="C271" i="22"/>
  <c r="B271" i="22"/>
  <c r="A271" i="22"/>
  <c r="AE270" i="22"/>
  <c r="AD270" i="22"/>
  <c r="AC270" i="22"/>
  <c r="AB270" i="22"/>
  <c r="AA270" i="22"/>
  <c r="Z270" i="22"/>
  <c r="Y270" i="22"/>
  <c r="X270" i="22"/>
  <c r="W270" i="22"/>
  <c r="V270" i="22"/>
  <c r="U270" i="22"/>
  <c r="T270" i="22"/>
  <c r="S270" i="22"/>
  <c r="R270" i="22"/>
  <c r="Q270" i="22"/>
  <c r="P270" i="22"/>
  <c r="B270" i="22"/>
  <c r="S245" i="22"/>
  <c r="AG235" i="22"/>
  <c r="AF235" i="22"/>
  <c r="AE235" i="22"/>
  <c r="AD235" i="22"/>
  <c r="AC235" i="22"/>
  <c r="AB235" i="22"/>
  <c r="AA235" i="22"/>
  <c r="Z235" i="22"/>
  <c r="Y235" i="22"/>
  <c r="X235" i="22"/>
  <c r="W235" i="22"/>
  <c r="V235" i="22"/>
  <c r="U235" i="22"/>
  <c r="T235" i="22"/>
  <c r="S235" i="22"/>
  <c r="R235" i="22"/>
  <c r="Q235" i="22"/>
  <c r="C235" i="22"/>
  <c r="D234" i="22"/>
  <c r="E234" i="22" s="1"/>
  <c r="B234" i="22"/>
  <c r="AF270" i="22" s="1"/>
  <c r="D233" i="22"/>
  <c r="E233" i="22" s="1"/>
  <c r="F233" i="22" s="1"/>
  <c r="G233" i="22" s="1"/>
  <c r="H233" i="22" s="1"/>
  <c r="I233" i="22" s="1"/>
  <c r="J233" i="22" s="1"/>
  <c r="K233" i="22" s="1"/>
  <c r="L233" i="22" s="1"/>
  <c r="M233" i="22" s="1"/>
  <c r="N233" i="22" s="1"/>
  <c r="O233" i="22" s="1"/>
  <c r="P233" i="22" s="1"/>
  <c r="B233" i="22"/>
  <c r="D232" i="22"/>
  <c r="E232" i="22" s="1"/>
  <c r="F232" i="22" s="1"/>
  <c r="G232" i="22" s="1"/>
  <c r="H232" i="22" s="1"/>
  <c r="I232" i="22" s="1"/>
  <c r="B232" i="22"/>
  <c r="E231" i="22"/>
  <c r="F231" i="22" s="1"/>
  <c r="G231" i="22" s="1"/>
  <c r="H231" i="22" s="1"/>
  <c r="D231" i="22"/>
  <c r="B231" i="22"/>
  <c r="D230" i="22"/>
  <c r="E230" i="22" s="1"/>
  <c r="F230" i="22" s="1"/>
  <c r="G230" i="22" s="1"/>
  <c r="H230" i="22" s="1"/>
  <c r="I230" i="22" s="1"/>
  <c r="J230" i="22" s="1"/>
  <c r="K230" i="22" s="1"/>
  <c r="L230" i="22" s="1"/>
  <c r="M230" i="22" s="1"/>
  <c r="N230" i="22" s="1"/>
  <c r="O230" i="22" s="1"/>
  <c r="P230" i="22" s="1"/>
  <c r="B230" i="22"/>
  <c r="D229" i="22"/>
  <c r="B229" i="22"/>
  <c r="B110" i="22" s="1"/>
  <c r="AG227" i="22"/>
  <c r="AF227" i="22"/>
  <c r="AE227" i="22"/>
  <c r="AD227" i="22"/>
  <c r="AC227" i="22"/>
  <c r="AB227" i="22"/>
  <c r="AA227" i="22"/>
  <c r="Z227" i="22"/>
  <c r="Y227" i="22"/>
  <c r="X227" i="22"/>
  <c r="W227" i="22"/>
  <c r="V227" i="22"/>
  <c r="U227" i="22"/>
  <c r="T227" i="22"/>
  <c r="S227" i="22"/>
  <c r="R227" i="22"/>
  <c r="Q227" i="22"/>
  <c r="P227" i="22"/>
  <c r="O227" i="22"/>
  <c r="N227" i="22"/>
  <c r="M227" i="22"/>
  <c r="L227" i="22"/>
  <c r="K227" i="22"/>
  <c r="J227" i="22"/>
  <c r="I227" i="22"/>
  <c r="H227" i="22"/>
  <c r="G227" i="22"/>
  <c r="F227" i="22"/>
  <c r="E227" i="22"/>
  <c r="D227" i="22"/>
  <c r="C227" i="22"/>
  <c r="B227" i="22"/>
  <c r="AI120" i="22"/>
  <c r="AH120" i="22"/>
  <c r="AI119" i="22"/>
  <c r="AH119" i="22"/>
  <c r="AI118" i="22"/>
  <c r="AH118" i="22"/>
  <c r="AI117" i="22"/>
  <c r="AH117" i="22"/>
  <c r="AI116" i="22"/>
  <c r="AH116" i="22"/>
  <c r="AI115" i="22"/>
  <c r="AH115" i="22"/>
  <c r="AI114" i="22"/>
  <c r="AH114" i="22"/>
  <c r="AI112" i="22"/>
  <c r="AH112" i="22"/>
  <c r="AI111" i="22"/>
  <c r="AH111" i="22"/>
  <c r="AF110" i="22"/>
  <c r="AE110" i="22"/>
  <c r="AC110" i="22"/>
  <c r="AB110" i="22"/>
  <c r="Z110" i="22"/>
  <c r="Y110" i="22"/>
  <c r="X110" i="22"/>
  <c r="W110" i="22"/>
  <c r="V110" i="22"/>
  <c r="U110" i="22"/>
  <c r="T110" i="22"/>
  <c r="S110" i="22"/>
  <c r="R110" i="22"/>
  <c r="Q110" i="22"/>
  <c r="C110" i="22"/>
  <c r="AI109" i="22"/>
  <c r="AH109" i="22"/>
  <c r="AI108" i="22"/>
  <c r="AH108" i="22"/>
  <c r="AI107" i="22"/>
  <c r="AH107" i="22"/>
  <c r="AI106" i="22"/>
  <c r="AH106" i="22"/>
  <c r="AI105" i="22"/>
  <c r="AH105" i="22"/>
  <c r="AI104" i="22"/>
  <c r="AH104" i="22"/>
  <c r="AI103" i="22"/>
  <c r="AH103" i="22"/>
  <c r="AI102" i="22"/>
  <c r="AH102" i="22"/>
  <c r="AI101" i="22"/>
  <c r="AH101" i="22"/>
  <c r="AI99" i="22"/>
  <c r="AH99" i="22"/>
  <c r="AI98" i="22"/>
  <c r="AH98" i="22"/>
  <c r="AI97" i="22"/>
  <c r="AH97" i="22"/>
  <c r="AI96" i="22"/>
  <c r="AH96" i="22"/>
  <c r="AI95" i="22"/>
  <c r="AH95" i="22"/>
  <c r="AI94" i="22"/>
  <c r="AH94" i="22"/>
  <c r="AI93" i="22"/>
  <c r="AH93" i="22"/>
  <c r="AI90" i="22"/>
  <c r="AH90" i="22"/>
  <c r="AI88" i="22"/>
  <c r="AH88" i="22"/>
  <c r="AG88" i="22"/>
  <c r="AI87" i="22"/>
  <c r="AH87" i="22"/>
  <c r="AI86" i="22"/>
  <c r="AH86" i="22"/>
  <c r="AI85" i="22"/>
  <c r="AH85" i="22"/>
  <c r="AN84" i="22"/>
  <c r="AG84" i="22"/>
  <c r="AF84" i="22"/>
  <c r="AF100" i="22" s="1"/>
  <c r="AE84" i="22"/>
  <c r="AE100" i="22" s="1"/>
  <c r="AD84" i="22"/>
  <c r="AD100" i="22" s="1"/>
  <c r="AC84" i="22"/>
  <c r="AC100" i="22" s="1"/>
  <c r="AB84" i="22"/>
  <c r="AB100" i="22" s="1"/>
  <c r="Z84" i="22"/>
  <c r="Z100" i="22" s="1"/>
  <c r="Y84" i="22"/>
  <c r="X5" i="22" s="1"/>
  <c r="X84" i="22"/>
  <c r="X100" i="22" s="1"/>
  <c r="W84" i="22"/>
  <c r="W100" i="22" s="1"/>
  <c r="V84" i="22"/>
  <c r="V100" i="22" s="1"/>
  <c r="U84" i="22"/>
  <c r="U100" i="22" s="1"/>
  <c r="T84" i="22"/>
  <c r="T100" i="22" s="1"/>
  <c r="S84" i="22"/>
  <c r="S100" i="22" s="1"/>
  <c r="R84" i="22"/>
  <c r="R100" i="22" s="1"/>
  <c r="Q84" i="22"/>
  <c r="Q100" i="22" s="1"/>
  <c r="P84" i="22"/>
  <c r="P100" i="22" s="1"/>
  <c r="O84" i="22"/>
  <c r="O100" i="22" s="1"/>
  <c r="N84" i="22"/>
  <c r="N100" i="22" s="1"/>
  <c r="M84" i="22"/>
  <c r="M100" i="22" s="1"/>
  <c r="L84" i="22"/>
  <c r="L100" i="22" s="1"/>
  <c r="K84" i="22"/>
  <c r="K100" i="22" s="1"/>
  <c r="J84" i="22"/>
  <c r="J100" i="22" s="1"/>
  <c r="I84" i="22"/>
  <c r="H5" i="22" s="1"/>
  <c r="H84" i="22"/>
  <c r="H100" i="22" s="1"/>
  <c r="G84" i="22"/>
  <c r="F5" i="22" s="1"/>
  <c r="F84" i="22"/>
  <c r="F100" i="22" s="1"/>
  <c r="E84" i="22"/>
  <c r="E100" i="22" s="1"/>
  <c r="AI83" i="22"/>
  <c r="AH83" i="22"/>
  <c r="AN82" i="22"/>
  <c r="AN83" i="22" s="1"/>
  <c r="AI82" i="22"/>
  <c r="AH82" i="22"/>
  <c r="AN81" i="22"/>
  <c r="AI81" i="22"/>
  <c r="AH81" i="22"/>
  <c r="AI80" i="22"/>
  <c r="AH80" i="22"/>
  <c r="AI79" i="22"/>
  <c r="AH79" i="22"/>
  <c r="AI78" i="22"/>
  <c r="AH78" i="22"/>
  <c r="AI77" i="22"/>
  <c r="AH77" i="22"/>
  <c r="AI76" i="22"/>
  <c r="AH76" i="22"/>
  <c r="AI75" i="22"/>
  <c r="AH75" i="22"/>
  <c r="AI74" i="22"/>
  <c r="AH74" i="22"/>
  <c r="AI73" i="22"/>
  <c r="AH73" i="22"/>
  <c r="AG72" i="22"/>
  <c r="AG4" i="22" s="1"/>
  <c r="AF72" i="22"/>
  <c r="AE72" i="22"/>
  <c r="AD72" i="22"/>
  <c r="AC72" i="22"/>
  <c r="AB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AI71" i="22"/>
  <c r="AH71" i="22"/>
  <c r="AI70" i="22"/>
  <c r="AH70" i="22"/>
  <c r="AI69" i="22"/>
  <c r="AH69" i="22"/>
  <c r="AG68" i="22"/>
  <c r="AG3" i="22" s="1"/>
  <c r="AF68" i="22"/>
  <c r="AE68" i="22"/>
  <c r="AD68" i="22"/>
  <c r="AC68" i="22"/>
  <c r="AB68" i="22"/>
  <c r="Z68" i="22"/>
  <c r="Y68" i="22"/>
  <c r="X68" i="22"/>
  <c r="W68" i="22"/>
  <c r="V68" i="22"/>
  <c r="U68" i="22"/>
  <c r="T68" i="22"/>
  <c r="S68" i="22"/>
  <c r="R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AI67" i="22"/>
  <c r="AH67" i="22"/>
  <c r="AG67" i="22"/>
  <c r="AI66" i="22"/>
  <c r="AH66" i="22"/>
  <c r="AI65" i="22"/>
  <c r="AH65" i="22"/>
  <c r="AI64" i="22"/>
  <c r="AH64" i="22"/>
  <c r="AI63" i="22"/>
  <c r="AH63" i="22"/>
  <c r="AI62" i="22"/>
  <c r="AH62" i="22"/>
  <c r="AI61" i="22"/>
  <c r="AH61" i="22"/>
  <c r="AI60" i="22"/>
  <c r="AH60" i="22"/>
  <c r="AI59" i="22"/>
  <c r="AH59" i="22"/>
  <c r="AI58" i="22"/>
  <c r="AH58" i="22"/>
  <c r="AI57" i="22"/>
  <c r="AH57" i="22"/>
  <c r="AI56" i="22"/>
  <c r="AH56" i="22"/>
  <c r="AI55" i="22"/>
  <c r="AH55" i="22"/>
  <c r="AG54" i="22"/>
  <c r="AF54" i="22"/>
  <c r="AE54" i="22"/>
  <c r="AD54" i="22"/>
  <c r="AC54" i="22"/>
  <c r="AB54" i="22"/>
  <c r="Z54" i="22"/>
  <c r="Y54" i="22"/>
  <c r="W54" i="22"/>
  <c r="V54" i="22"/>
  <c r="U54" i="22"/>
  <c r="T54" i="22"/>
  <c r="S54" i="22"/>
  <c r="R54" i="22"/>
  <c r="Q54" i="22"/>
  <c r="O54" i="22"/>
  <c r="N54" i="22"/>
  <c r="M54" i="22"/>
  <c r="L54" i="22"/>
  <c r="K54" i="22"/>
  <c r="J54" i="22"/>
  <c r="I54" i="22"/>
  <c r="H54" i="22"/>
  <c r="G54" i="22"/>
  <c r="F54" i="22"/>
  <c r="E54" i="22"/>
  <c r="AI53" i="22"/>
  <c r="AH53" i="22"/>
  <c r="AI52" i="22"/>
  <c r="AH52" i="22"/>
  <c r="AI51" i="22"/>
  <c r="AH51" i="22"/>
  <c r="AG50" i="22"/>
  <c r="AF50" i="22"/>
  <c r="AF89" i="22" s="1"/>
  <c r="AF91" i="22" s="1"/>
  <c r="AE50" i="22"/>
  <c r="AD50" i="22"/>
  <c r="AC50" i="22"/>
  <c r="AB50" i="22"/>
  <c r="Z50" i="22"/>
  <c r="Y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AI49" i="22"/>
  <c r="AH49" i="22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I38" i="22"/>
  <c r="AH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Z5" i="22"/>
  <c r="N5" i="22"/>
  <c r="M5" i="22"/>
  <c r="L5" i="22"/>
  <c r="K5" i="22"/>
  <c r="D5" i="22"/>
  <c r="K4" i="22"/>
  <c r="E4" i="22"/>
  <c r="H4" i="22" s="1"/>
  <c r="B4" i="22"/>
  <c r="S246" i="22" s="1"/>
  <c r="AF113" i="21"/>
  <c r="AF41" i="21"/>
  <c r="AF50" i="21" s="1"/>
  <c r="AE113" i="21"/>
  <c r="AE41" i="21"/>
  <c r="AE50" i="21"/>
  <c r="AE54" i="21"/>
  <c r="AD113" i="21"/>
  <c r="AC113" i="21"/>
  <c r="AC50" i="21"/>
  <c r="AC54" i="21"/>
  <c r="AC68" i="21"/>
  <c r="AC72" i="21"/>
  <c r="AC84" i="21"/>
  <c r="AB113" i="21"/>
  <c r="X84" i="21"/>
  <c r="T113" i="21"/>
  <c r="Q113" i="21"/>
  <c r="L113" i="21"/>
  <c r="L50" i="21"/>
  <c r="L54" i="21"/>
  <c r="L68" i="21"/>
  <c r="L84" i="21"/>
  <c r="L100" i="21" s="1"/>
  <c r="L110" i="21"/>
  <c r="K113" i="21"/>
  <c r="I113" i="21"/>
  <c r="I110" i="21" s="1"/>
  <c r="I50" i="21"/>
  <c r="J50" i="21"/>
  <c r="I54" i="21"/>
  <c r="J54" i="21"/>
  <c r="I68" i="21"/>
  <c r="J68" i="21"/>
  <c r="I84" i="21"/>
  <c r="J84" i="21"/>
  <c r="J100" i="21" s="1"/>
  <c r="I100" i="21"/>
  <c r="J113" i="21"/>
  <c r="J110" i="21" s="1"/>
  <c r="H113" i="21"/>
  <c r="F50" i="21"/>
  <c r="G50" i="21"/>
  <c r="F54" i="21"/>
  <c r="G54" i="21"/>
  <c r="F68" i="21"/>
  <c r="G68" i="21"/>
  <c r="F84" i="21"/>
  <c r="E5" i="21" s="1"/>
  <c r="G84" i="21"/>
  <c r="G100" i="21" s="1"/>
  <c r="F100" i="21"/>
  <c r="F110" i="21"/>
  <c r="F113" i="21"/>
  <c r="G113" i="21"/>
  <c r="G110" i="21" s="1"/>
  <c r="E113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B270" i="21"/>
  <c r="S24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C235" i="21"/>
  <c r="D234" i="21"/>
  <c r="C270" i="21" s="1"/>
  <c r="B234" i="21"/>
  <c r="AF270" i="21" s="1"/>
  <c r="D233" i="21"/>
  <c r="E233" i="21" s="1"/>
  <c r="F233" i="21" s="1"/>
  <c r="G233" i="21" s="1"/>
  <c r="H233" i="21" s="1"/>
  <c r="I233" i="21" s="1"/>
  <c r="J233" i="21" s="1"/>
  <c r="K233" i="21" s="1"/>
  <c r="L233" i="21" s="1"/>
  <c r="M233" i="21" s="1"/>
  <c r="N233" i="21" s="1"/>
  <c r="O233" i="21" s="1"/>
  <c r="P233" i="21" s="1"/>
  <c r="B233" i="21"/>
  <c r="D232" i="21"/>
  <c r="E232" i="21" s="1"/>
  <c r="F232" i="21" s="1"/>
  <c r="G232" i="21" s="1"/>
  <c r="H232" i="21" s="1"/>
  <c r="I232" i="21" s="1"/>
  <c r="B232" i="21"/>
  <c r="F231" i="21"/>
  <c r="G231" i="21" s="1"/>
  <c r="H231" i="21" s="1"/>
  <c r="E231" i="21"/>
  <c r="D231" i="21"/>
  <c r="B231" i="21"/>
  <c r="D230" i="21"/>
  <c r="D235" i="21" s="1"/>
  <c r="B230" i="21"/>
  <c r="D229" i="21"/>
  <c r="E229" i="21" s="1"/>
  <c r="B229" i="21"/>
  <c r="B235" i="21" s="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I120" i="21"/>
  <c r="AH120" i="21"/>
  <c r="AI119" i="21"/>
  <c r="AH119" i="21"/>
  <c r="AI118" i="21"/>
  <c r="AH118" i="21"/>
  <c r="AI117" i="21"/>
  <c r="AH117" i="21"/>
  <c r="AI116" i="21"/>
  <c r="AH116" i="21"/>
  <c r="AI115" i="21"/>
  <c r="AH115" i="21"/>
  <c r="AI114" i="21"/>
  <c r="AH114" i="21"/>
  <c r="AI112" i="21"/>
  <c r="AH112" i="21"/>
  <c r="AI111" i="21"/>
  <c r="AH111" i="21"/>
  <c r="AF110" i="21"/>
  <c r="AE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D110" i="21"/>
  <c r="C110" i="21"/>
  <c r="AI109" i="21"/>
  <c r="AH109" i="21"/>
  <c r="AI108" i="21"/>
  <c r="AH108" i="21"/>
  <c r="AI107" i="21"/>
  <c r="AH107" i="21"/>
  <c r="AI106" i="21"/>
  <c r="AH106" i="21"/>
  <c r="AI105" i="21"/>
  <c r="AH105" i="21"/>
  <c r="AI104" i="21"/>
  <c r="AH104" i="21"/>
  <c r="AI103" i="21"/>
  <c r="AH103" i="21"/>
  <c r="AI102" i="21"/>
  <c r="AH102" i="21"/>
  <c r="AI101" i="21"/>
  <c r="AH101" i="21"/>
  <c r="W100" i="21"/>
  <c r="O100" i="21"/>
  <c r="AI99" i="21"/>
  <c r="AH99" i="21"/>
  <c r="AI98" i="21"/>
  <c r="AH98" i="21"/>
  <c r="AI97" i="21"/>
  <c r="AH97" i="21"/>
  <c r="AI96" i="21"/>
  <c r="AH96" i="21"/>
  <c r="AI95" i="21"/>
  <c r="AH95" i="21"/>
  <c r="AI94" i="21"/>
  <c r="AH94" i="21"/>
  <c r="AI93" i="21"/>
  <c r="AH93" i="21"/>
  <c r="AI90" i="21"/>
  <c r="AH90" i="21"/>
  <c r="AI88" i="21"/>
  <c r="AH88" i="21"/>
  <c r="AG88" i="21"/>
  <c r="AG91" i="21" s="1"/>
  <c r="AI87" i="21"/>
  <c r="AH87" i="21"/>
  <c r="AI86" i="21"/>
  <c r="AH86" i="21"/>
  <c r="AI85" i="21"/>
  <c r="AH85" i="21"/>
  <c r="AN84" i="21"/>
  <c r="AG84" i="21"/>
  <c r="AF84" i="21"/>
  <c r="AE84" i="21"/>
  <c r="AE100" i="21" s="1"/>
  <c r="AD84" i="21"/>
  <c r="AC5" i="21" s="1"/>
  <c r="AC100" i="21"/>
  <c r="AB84" i="21"/>
  <c r="AB100" i="21" s="1"/>
  <c r="AA84" i="21"/>
  <c r="AA100" i="21" s="1"/>
  <c r="Z84" i="21"/>
  <c r="Z100" i="21" s="1"/>
  <c r="Y84" i="21"/>
  <c r="Y100" i="21" s="1"/>
  <c r="W84" i="21"/>
  <c r="V5" i="21" s="1"/>
  <c r="V84" i="21"/>
  <c r="V100" i="21" s="1"/>
  <c r="U84" i="21"/>
  <c r="U100" i="21" s="1"/>
  <c r="T84" i="21"/>
  <c r="T100" i="21" s="1"/>
  <c r="S84" i="21"/>
  <c r="S100" i="21" s="1"/>
  <c r="R84" i="21"/>
  <c r="R100" i="21" s="1"/>
  <c r="Q84" i="21"/>
  <c r="P5" i="21" s="1"/>
  <c r="P84" i="21"/>
  <c r="O84" i="21"/>
  <c r="N84" i="21"/>
  <c r="N100" i="21" s="1"/>
  <c r="M84" i="21"/>
  <c r="M100" i="21" s="1"/>
  <c r="K84" i="21"/>
  <c r="J5" i="21" s="1"/>
  <c r="H84" i="21"/>
  <c r="E84" i="21"/>
  <c r="E100" i="21" s="1"/>
  <c r="D84" i="21"/>
  <c r="D100" i="21" s="1"/>
  <c r="C84" i="21"/>
  <c r="B5" i="21" s="1"/>
  <c r="AI83" i="21"/>
  <c r="AH83" i="21"/>
  <c r="AN82" i="21"/>
  <c r="AI82" i="21"/>
  <c r="AH82" i="21"/>
  <c r="AN81" i="21"/>
  <c r="AN83" i="21" s="1"/>
  <c r="AI81" i="21"/>
  <c r="AH81" i="21"/>
  <c r="AI80" i="21"/>
  <c r="AH80" i="21"/>
  <c r="AI79" i="21"/>
  <c r="AH79" i="21"/>
  <c r="AI78" i="21"/>
  <c r="AH78" i="21"/>
  <c r="AI77" i="21"/>
  <c r="AH77" i="21"/>
  <c r="AI76" i="21"/>
  <c r="AH76" i="21"/>
  <c r="AI75" i="21"/>
  <c r="AH75" i="21"/>
  <c r="AI74" i="21"/>
  <c r="AH74" i="21"/>
  <c r="AI73" i="21"/>
  <c r="AH73" i="21"/>
  <c r="AG72" i="21"/>
  <c r="AF72" i="21"/>
  <c r="AE72" i="21"/>
  <c r="AD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AI71" i="21"/>
  <c r="AH71" i="21"/>
  <c r="AI70" i="21"/>
  <c r="AH70" i="21"/>
  <c r="AI69" i="21"/>
  <c r="AH69" i="21"/>
  <c r="AG68" i="21"/>
  <c r="AG3" i="21" s="1"/>
  <c r="AF68" i="21"/>
  <c r="AE68" i="21"/>
  <c r="AD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K68" i="21"/>
  <c r="H68" i="21"/>
  <c r="E68" i="21"/>
  <c r="D68" i="21"/>
  <c r="C68" i="21"/>
  <c r="AI67" i="21"/>
  <c r="AH67" i="21"/>
  <c r="AG67" i="21"/>
  <c r="AI66" i="21"/>
  <c r="AH66" i="21"/>
  <c r="AI65" i="21"/>
  <c r="AH65" i="21"/>
  <c r="AI64" i="21"/>
  <c r="AH64" i="21"/>
  <c r="AI63" i="21"/>
  <c r="AH63" i="21"/>
  <c r="AI62" i="21"/>
  <c r="AH62" i="21"/>
  <c r="AI61" i="21"/>
  <c r="AH61" i="21"/>
  <c r="AI60" i="21"/>
  <c r="AH60" i="21"/>
  <c r="AI59" i="21"/>
  <c r="AH59" i="21"/>
  <c r="AI58" i="21"/>
  <c r="AH58" i="21"/>
  <c r="AI57" i="21"/>
  <c r="AH57" i="21"/>
  <c r="AI56" i="21"/>
  <c r="AH56" i="21"/>
  <c r="AI55" i="21"/>
  <c r="AH55" i="21"/>
  <c r="AG54" i="21"/>
  <c r="AF54" i="21"/>
  <c r="AD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K54" i="21"/>
  <c r="H54" i="21"/>
  <c r="E54" i="21"/>
  <c r="D54" i="21"/>
  <c r="C54" i="21"/>
  <c r="AI53" i="21"/>
  <c r="AH53" i="21"/>
  <c r="AI52" i="21"/>
  <c r="AH52" i="21"/>
  <c r="AI51" i="21"/>
  <c r="AH51" i="21"/>
  <c r="AG50" i="21"/>
  <c r="AG89" i="21" s="1"/>
  <c r="AD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O89" i="21" s="1"/>
  <c r="O91" i="21" s="1"/>
  <c r="N50" i="21"/>
  <c r="M50" i="21"/>
  <c r="K50" i="21"/>
  <c r="H50" i="21"/>
  <c r="E50" i="21"/>
  <c r="D50" i="21"/>
  <c r="C50" i="21"/>
  <c r="B50" i="21"/>
  <c r="AI49" i="21"/>
  <c r="AH49" i="21"/>
  <c r="AI48" i="21"/>
  <c r="AH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I38" i="21"/>
  <c r="AH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AF5" i="21"/>
  <c r="AB5" i="21"/>
  <c r="Z5" i="21"/>
  <c r="R5" i="21"/>
  <c r="N5" i="21"/>
  <c r="H5" i="21"/>
  <c r="F5" i="21"/>
  <c r="D5" i="21"/>
  <c r="AG4" i="21"/>
  <c r="K4" i="21"/>
  <c r="E4" i="21"/>
  <c r="H4" i="21" s="1"/>
  <c r="B4" i="21"/>
  <c r="D246" i="21" s="1"/>
  <c r="AB113" i="20"/>
  <c r="Y110" i="20"/>
  <c r="T113" i="20"/>
  <c r="S113" i="20"/>
  <c r="K50" i="20"/>
  <c r="L50" i="20"/>
  <c r="M50" i="20"/>
  <c r="F50" i="20"/>
  <c r="F54" i="20"/>
  <c r="AF274" i="20"/>
  <c r="AE274" i="20"/>
  <c r="AD274" i="20"/>
  <c r="AC274" i="20"/>
  <c r="AB274" i="20"/>
  <c r="AA274" i="20"/>
  <c r="Z274" i="20"/>
  <c r="Y274" i="20"/>
  <c r="X274" i="20"/>
  <c r="W274" i="20"/>
  <c r="V274" i="20"/>
  <c r="U274" i="20"/>
  <c r="T274" i="20"/>
  <c r="S274" i="20"/>
  <c r="R274" i="20"/>
  <c r="Q274" i="20"/>
  <c r="P274" i="20"/>
  <c r="O274" i="20"/>
  <c r="N274" i="20"/>
  <c r="M274" i="20"/>
  <c r="L274" i="20"/>
  <c r="K274" i="20"/>
  <c r="J274" i="20"/>
  <c r="I274" i="20"/>
  <c r="H274" i="20"/>
  <c r="G274" i="20"/>
  <c r="F274" i="20"/>
  <c r="E274" i="20"/>
  <c r="D274" i="20"/>
  <c r="C274" i="20"/>
  <c r="B274" i="20"/>
  <c r="A274" i="20"/>
  <c r="AF273" i="20"/>
  <c r="AE273" i="20"/>
  <c r="AD273" i="20"/>
  <c r="AC273" i="20"/>
  <c r="AB273" i="20"/>
  <c r="AA273" i="20"/>
  <c r="Z273" i="20"/>
  <c r="Y273" i="20"/>
  <c r="X273" i="20"/>
  <c r="W273" i="20"/>
  <c r="V273" i="20"/>
  <c r="U273" i="20"/>
  <c r="T273" i="20"/>
  <c r="S273" i="20"/>
  <c r="R273" i="20"/>
  <c r="Q273" i="20"/>
  <c r="P273" i="20"/>
  <c r="O273" i="20"/>
  <c r="N273" i="20"/>
  <c r="M273" i="20"/>
  <c r="L273" i="20"/>
  <c r="K273" i="20"/>
  <c r="J273" i="20"/>
  <c r="I273" i="20"/>
  <c r="H273" i="20"/>
  <c r="G273" i="20"/>
  <c r="F273" i="20"/>
  <c r="E273" i="20"/>
  <c r="D273" i="20"/>
  <c r="C273" i="20"/>
  <c r="B273" i="20"/>
  <c r="A273" i="20"/>
  <c r="AF272" i="20"/>
  <c r="AE272" i="20"/>
  <c r="AD272" i="20"/>
  <c r="AC272" i="20"/>
  <c r="AB272" i="20"/>
  <c r="AA272" i="20"/>
  <c r="Z272" i="20"/>
  <c r="Y272" i="20"/>
  <c r="X272" i="20"/>
  <c r="W272" i="20"/>
  <c r="V272" i="20"/>
  <c r="U272" i="20"/>
  <c r="T272" i="20"/>
  <c r="S272" i="20"/>
  <c r="R272" i="20"/>
  <c r="Q272" i="20"/>
  <c r="P272" i="20"/>
  <c r="O272" i="20"/>
  <c r="N272" i="20"/>
  <c r="M272" i="20"/>
  <c r="L272" i="20"/>
  <c r="K272" i="20"/>
  <c r="J272" i="20"/>
  <c r="I272" i="20"/>
  <c r="H272" i="20"/>
  <c r="G272" i="20"/>
  <c r="F272" i="20"/>
  <c r="E272" i="20"/>
  <c r="D272" i="20"/>
  <c r="C272" i="20"/>
  <c r="B272" i="20"/>
  <c r="A272" i="20"/>
  <c r="AF271" i="20"/>
  <c r="AE271" i="20"/>
  <c r="AD271" i="20"/>
  <c r="AC271" i="20"/>
  <c r="AB271" i="20"/>
  <c r="AA271" i="20"/>
  <c r="Z271" i="20"/>
  <c r="Y271" i="20"/>
  <c r="X271" i="20"/>
  <c r="W271" i="20"/>
  <c r="V271" i="20"/>
  <c r="U271" i="20"/>
  <c r="T271" i="20"/>
  <c r="S271" i="20"/>
  <c r="R271" i="20"/>
  <c r="Q271" i="20"/>
  <c r="P271" i="20"/>
  <c r="O271" i="20"/>
  <c r="N271" i="20"/>
  <c r="M271" i="20"/>
  <c r="L271" i="20"/>
  <c r="K271" i="20"/>
  <c r="J271" i="20"/>
  <c r="I271" i="20"/>
  <c r="H271" i="20"/>
  <c r="G271" i="20"/>
  <c r="F271" i="20"/>
  <c r="E271" i="20"/>
  <c r="D271" i="20"/>
  <c r="C271" i="20"/>
  <c r="B271" i="20"/>
  <c r="A271" i="20"/>
  <c r="AE270" i="20"/>
  <c r="AD270" i="20"/>
  <c r="AC270" i="20"/>
  <c r="AB270" i="20"/>
  <c r="AA270" i="20"/>
  <c r="Z270" i="20"/>
  <c r="Y270" i="20"/>
  <c r="X270" i="20"/>
  <c r="W270" i="20"/>
  <c r="V270" i="20"/>
  <c r="U270" i="20"/>
  <c r="T270" i="20"/>
  <c r="S270" i="20"/>
  <c r="R270" i="20"/>
  <c r="Q270" i="20"/>
  <c r="P270" i="20"/>
  <c r="C270" i="20"/>
  <c r="B270" i="20"/>
  <c r="S245" i="20"/>
  <c r="AG235" i="20"/>
  <c r="AF235" i="20"/>
  <c r="AE235" i="20"/>
  <c r="AD235" i="20"/>
  <c r="AC235" i="20"/>
  <c r="AB235" i="20"/>
  <c r="AA235" i="20"/>
  <c r="Z235" i="20"/>
  <c r="Y235" i="20"/>
  <c r="X235" i="20"/>
  <c r="W235" i="20"/>
  <c r="V235" i="20"/>
  <c r="U235" i="20"/>
  <c r="T235" i="20"/>
  <c r="S235" i="20"/>
  <c r="R235" i="20"/>
  <c r="Q235" i="20"/>
  <c r="D235" i="20"/>
  <c r="C235" i="20"/>
  <c r="D234" i="20"/>
  <c r="E234" i="20" s="1"/>
  <c r="B234" i="20"/>
  <c r="AF270" i="20" s="1"/>
  <c r="E233" i="20"/>
  <c r="F233" i="20" s="1"/>
  <c r="G233" i="20" s="1"/>
  <c r="H233" i="20" s="1"/>
  <c r="I233" i="20" s="1"/>
  <c r="J233" i="20" s="1"/>
  <c r="K233" i="20" s="1"/>
  <c r="L233" i="20" s="1"/>
  <c r="M233" i="20" s="1"/>
  <c r="N233" i="20" s="1"/>
  <c r="O233" i="20" s="1"/>
  <c r="P233" i="20" s="1"/>
  <c r="D233" i="20"/>
  <c r="B233" i="20"/>
  <c r="D232" i="20"/>
  <c r="E232" i="20" s="1"/>
  <c r="F232" i="20" s="1"/>
  <c r="G232" i="20" s="1"/>
  <c r="H232" i="20" s="1"/>
  <c r="I232" i="20" s="1"/>
  <c r="B232" i="20"/>
  <c r="E231" i="20"/>
  <c r="F231" i="20" s="1"/>
  <c r="G231" i="20" s="1"/>
  <c r="H231" i="20" s="1"/>
  <c r="D231" i="20"/>
  <c r="B231" i="20"/>
  <c r="D230" i="20"/>
  <c r="E230" i="20" s="1"/>
  <c r="F230" i="20" s="1"/>
  <c r="G230" i="20" s="1"/>
  <c r="H230" i="20" s="1"/>
  <c r="I230" i="20" s="1"/>
  <c r="J230" i="20" s="1"/>
  <c r="K230" i="20" s="1"/>
  <c r="L230" i="20" s="1"/>
  <c r="M230" i="20" s="1"/>
  <c r="N230" i="20" s="1"/>
  <c r="O230" i="20" s="1"/>
  <c r="P230" i="20" s="1"/>
  <c r="B230" i="20"/>
  <c r="E229" i="20"/>
  <c r="F229" i="20" s="1"/>
  <c r="D229" i="20"/>
  <c r="B229" i="20"/>
  <c r="B235" i="20" s="1"/>
  <c r="AG227" i="20"/>
  <c r="AF227" i="20"/>
  <c r="AE227" i="20"/>
  <c r="AD227" i="20"/>
  <c r="AC227" i="20"/>
  <c r="AB227" i="20"/>
  <c r="AA227" i="20"/>
  <c r="Z227" i="20"/>
  <c r="Y227" i="20"/>
  <c r="X227" i="20"/>
  <c r="W227" i="20"/>
  <c r="V227" i="20"/>
  <c r="U227" i="20"/>
  <c r="T227" i="20"/>
  <c r="S227" i="20"/>
  <c r="R227" i="20"/>
  <c r="Q227" i="20"/>
  <c r="P227" i="20"/>
  <c r="O227" i="20"/>
  <c r="N227" i="20"/>
  <c r="M227" i="20"/>
  <c r="L227" i="20"/>
  <c r="K227" i="20"/>
  <c r="J227" i="20"/>
  <c r="I227" i="20"/>
  <c r="H227" i="20"/>
  <c r="G227" i="20"/>
  <c r="F227" i="20"/>
  <c r="E227" i="20"/>
  <c r="D227" i="20"/>
  <c r="C227" i="20"/>
  <c r="B227" i="20"/>
  <c r="AI120" i="20"/>
  <c r="AH120" i="20"/>
  <c r="AI119" i="20"/>
  <c r="AH119" i="20"/>
  <c r="AI118" i="20"/>
  <c r="AH118" i="20"/>
  <c r="AI117" i="20"/>
  <c r="AH117" i="20"/>
  <c r="AI116" i="20"/>
  <c r="AH116" i="20"/>
  <c r="AI115" i="20"/>
  <c r="AH115" i="20"/>
  <c r="AI114" i="20"/>
  <c r="AH114" i="20"/>
  <c r="AI113" i="20"/>
  <c r="AH113" i="20"/>
  <c r="AI112" i="20"/>
  <c r="AH112" i="20"/>
  <c r="AI111" i="20"/>
  <c r="AH111" i="20"/>
  <c r="AF110" i="20"/>
  <c r="AE110" i="20"/>
  <c r="AC110" i="20"/>
  <c r="AB110" i="20"/>
  <c r="AA110" i="20"/>
  <c r="Z110" i="20"/>
  <c r="X110" i="20"/>
  <c r="W110" i="20"/>
  <c r="V110" i="20"/>
  <c r="U110" i="20"/>
  <c r="T110" i="20"/>
  <c r="S110" i="20"/>
  <c r="R110" i="20"/>
  <c r="Q110" i="20"/>
  <c r="D110" i="20"/>
  <c r="C110" i="20"/>
  <c r="AI109" i="20"/>
  <c r="AH109" i="20"/>
  <c r="AI108" i="20"/>
  <c r="AH108" i="20"/>
  <c r="AI107" i="20"/>
  <c r="AH107" i="20"/>
  <c r="AI106" i="20"/>
  <c r="AH106" i="20"/>
  <c r="AI105" i="20"/>
  <c r="AH105" i="20"/>
  <c r="AI104" i="20"/>
  <c r="AH104" i="20"/>
  <c r="AI103" i="20"/>
  <c r="AH103" i="20"/>
  <c r="AI102" i="20"/>
  <c r="AH102" i="20"/>
  <c r="AI101" i="20"/>
  <c r="AH101" i="20"/>
  <c r="AI99" i="20"/>
  <c r="AH99" i="20"/>
  <c r="AI98" i="20"/>
  <c r="AH98" i="20"/>
  <c r="AI97" i="20"/>
  <c r="AH97" i="20"/>
  <c r="AI96" i="20"/>
  <c r="AH96" i="20"/>
  <c r="AI95" i="20"/>
  <c r="AH95" i="20"/>
  <c r="AI94" i="20"/>
  <c r="AH94" i="20"/>
  <c r="AI93" i="20"/>
  <c r="AH93" i="20"/>
  <c r="AI90" i="20"/>
  <c r="AH90" i="20"/>
  <c r="AA89" i="20"/>
  <c r="AA91" i="20" s="1"/>
  <c r="AA7" i="20" s="1"/>
  <c r="S89" i="20"/>
  <c r="S91" i="20" s="1"/>
  <c r="S7" i="20" s="1"/>
  <c r="AI88" i="20"/>
  <c r="AH88" i="20"/>
  <c r="AG88" i="20"/>
  <c r="AI87" i="20"/>
  <c r="AH87" i="20"/>
  <c r="AI86" i="20"/>
  <c r="AH86" i="20"/>
  <c r="AI85" i="20"/>
  <c r="AH85" i="20"/>
  <c r="AN84" i="20"/>
  <c r="AG84" i="20"/>
  <c r="AF84" i="20"/>
  <c r="AF100" i="20" s="1"/>
  <c r="AE84" i="20"/>
  <c r="AD84" i="20"/>
  <c r="AC5" i="20" s="1"/>
  <c r="AC84" i="20"/>
  <c r="AC100" i="20" s="1"/>
  <c r="AB84" i="20"/>
  <c r="AB100" i="20" s="1"/>
  <c r="AA84" i="20"/>
  <c r="Z5" i="20" s="1"/>
  <c r="Z84" i="20"/>
  <c r="Z100" i="20" s="1"/>
  <c r="Y84" i="20"/>
  <c r="X5" i="20" s="1"/>
  <c r="X84" i="20"/>
  <c r="X100" i="20" s="1"/>
  <c r="W84" i="20"/>
  <c r="V84" i="20"/>
  <c r="V100" i="20" s="1"/>
  <c r="U84" i="20"/>
  <c r="U100" i="20" s="1"/>
  <c r="T84" i="20"/>
  <c r="T100" i="20" s="1"/>
  <c r="S84" i="20"/>
  <c r="S100" i="20" s="1"/>
  <c r="R84" i="20"/>
  <c r="R100" i="20" s="1"/>
  <c r="Q84" i="20"/>
  <c r="Q100" i="20" s="1"/>
  <c r="P84" i="20"/>
  <c r="P100" i="20" s="1"/>
  <c r="O84" i="20"/>
  <c r="N84" i="20"/>
  <c r="M5" i="20" s="1"/>
  <c r="M84" i="20"/>
  <c r="M100" i="20" s="1"/>
  <c r="L84" i="20"/>
  <c r="L100" i="20" s="1"/>
  <c r="K84" i="20"/>
  <c r="K100" i="20" s="1"/>
  <c r="J84" i="20"/>
  <c r="J100" i="20" s="1"/>
  <c r="I84" i="20"/>
  <c r="H5" i="20" s="1"/>
  <c r="H84" i="20"/>
  <c r="H100" i="20" s="1"/>
  <c r="G84" i="20"/>
  <c r="F84" i="20"/>
  <c r="E5" i="20" s="1"/>
  <c r="E84" i="20"/>
  <c r="E100" i="20" s="1"/>
  <c r="D84" i="20"/>
  <c r="D100" i="20" s="1"/>
  <c r="C84" i="20"/>
  <c r="B5" i="20" s="1"/>
  <c r="B84" i="20"/>
  <c r="B100" i="20" s="1"/>
  <c r="AI83" i="20"/>
  <c r="AH83" i="20"/>
  <c r="AN82" i="20"/>
  <c r="AI82" i="20"/>
  <c r="AH82" i="20"/>
  <c r="AN81" i="20"/>
  <c r="AN83" i="20" s="1"/>
  <c r="AI81" i="20"/>
  <c r="AH81" i="20"/>
  <c r="AI80" i="20"/>
  <c r="AH80" i="20"/>
  <c r="AI79" i="20"/>
  <c r="AH79" i="20"/>
  <c r="AI78" i="20"/>
  <c r="AH78" i="20"/>
  <c r="AI77" i="20"/>
  <c r="AH77" i="20"/>
  <c r="AI76" i="20"/>
  <c r="AH76" i="20"/>
  <c r="AI75" i="20"/>
  <c r="AH75" i="20"/>
  <c r="AI74" i="20"/>
  <c r="AH74" i="20"/>
  <c r="AI73" i="20"/>
  <c r="AH73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B72" i="20"/>
  <c r="AI71" i="20"/>
  <c r="AH71" i="20"/>
  <c r="AI70" i="20"/>
  <c r="AH70" i="20"/>
  <c r="AI69" i="20"/>
  <c r="AH69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B68" i="20"/>
  <c r="AI67" i="20"/>
  <c r="AH67" i="20"/>
  <c r="AG67" i="20"/>
  <c r="AI66" i="20"/>
  <c r="AH66" i="20"/>
  <c r="AI65" i="20"/>
  <c r="AH65" i="20"/>
  <c r="AI64" i="20"/>
  <c r="AH64" i="20"/>
  <c r="AI63" i="20"/>
  <c r="AH63" i="20"/>
  <c r="AI62" i="20"/>
  <c r="AH62" i="20"/>
  <c r="AI61" i="20"/>
  <c r="AH61" i="20"/>
  <c r="AI60" i="20"/>
  <c r="AH60" i="20"/>
  <c r="AI59" i="20"/>
  <c r="AH59" i="20"/>
  <c r="AI58" i="20"/>
  <c r="AH58" i="20"/>
  <c r="AI57" i="20"/>
  <c r="AH57" i="20"/>
  <c r="AI56" i="20"/>
  <c r="AH56" i="20"/>
  <c r="AI55" i="20"/>
  <c r="AH55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E54" i="20"/>
  <c r="D54" i="20"/>
  <c r="C54" i="20"/>
  <c r="B54" i="20"/>
  <c r="AI53" i="20"/>
  <c r="AH53" i="20"/>
  <c r="AI52" i="20"/>
  <c r="AH52" i="20"/>
  <c r="AI51" i="20"/>
  <c r="AH51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J50" i="20"/>
  <c r="I50" i="20"/>
  <c r="H50" i="20"/>
  <c r="G50" i="20"/>
  <c r="E50" i="20"/>
  <c r="D50" i="20"/>
  <c r="C50" i="20"/>
  <c r="B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I38" i="20"/>
  <c r="AH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G4" i="20"/>
  <c r="K4" i="20"/>
  <c r="E4" i="20"/>
  <c r="H4" i="20" s="1"/>
  <c r="B4" i="20"/>
  <c r="AG3" i="20"/>
  <c r="AA113" i="19"/>
  <c r="AA110" i="19"/>
  <c r="AA99" i="19"/>
  <c r="AA88" i="19"/>
  <c r="AA84" i="19"/>
  <c r="AA100" i="19" s="1"/>
  <c r="AA72" i="19"/>
  <c r="AA68" i="19"/>
  <c r="AA54" i="19"/>
  <c r="AA50" i="19"/>
  <c r="AA89" i="19" s="1"/>
  <c r="AA91" i="19" s="1"/>
  <c r="AA92" i="19" s="1"/>
  <c r="AA109" i="19" s="1"/>
  <c r="Z113" i="19"/>
  <c r="Y113" i="19"/>
  <c r="X113" i="19"/>
  <c r="V50" i="19"/>
  <c r="W50" i="19"/>
  <c r="X50" i="19"/>
  <c r="V54" i="19"/>
  <c r="W54" i="19"/>
  <c r="W89" i="19" s="1"/>
  <c r="W91" i="19" s="1"/>
  <c r="W92" i="19" s="1"/>
  <c r="X54" i="19"/>
  <c r="V68" i="19"/>
  <c r="W68" i="19"/>
  <c r="X68" i="19"/>
  <c r="V72" i="19"/>
  <c r="W72" i="19"/>
  <c r="X72" i="19"/>
  <c r="V84" i="19"/>
  <c r="V100" i="19" s="1"/>
  <c r="W84" i="19"/>
  <c r="W100" i="19" s="1"/>
  <c r="X84" i="19"/>
  <c r="X100" i="19" s="1"/>
  <c r="V110" i="19"/>
  <c r="W110" i="19"/>
  <c r="X110" i="19"/>
  <c r="T113" i="19"/>
  <c r="AC5" i="22" l="1"/>
  <c r="AD89" i="22"/>
  <c r="AD91" i="22" s="1"/>
  <c r="AD92" i="22" s="1"/>
  <c r="AB5" i="22"/>
  <c r="AB89" i="22"/>
  <c r="AB91" i="22" s="1"/>
  <c r="Z89" i="22"/>
  <c r="Z91" i="22" s="1"/>
  <c r="X89" i="22"/>
  <c r="X91" i="22" s="1"/>
  <c r="U5" i="22"/>
  <c r="V89" i="22"/>
  <c r="V91" i="22" s="1"/>
  <c r="V7" i="22" s="1"/>
  <c r="S5" i="22"/>
  <c r="T89" i="22"/>
  <c r="T91" i="22" s="1"/>
  <c r="AL249" i="22" s="1"/>
  <c r="R89" i="22"/>
  <c r="R91" i="22" s="1"/>
  <c r="AJ249" i="22" s="1"/>
  <c r="P89" i="22"/>
  <c r="P91" i="22" s="1"/>
  <c r="N89" i="22"/>
  <c r="N91" i="22" s="1"/>
  <c r="AD5" i="22"/>
  <c r="AG91" i="22"/>
  <c r="T5" i="22"/>
  <c r="O89" i="22"/>
  <c r="O91" i="22" s="1"/>
  <c r="W89" i="22"/>
  <c r="W91" i="22" s="1"/>
  <c r="AO249" i="22" s="1"/>
  <c r="AE89" i="22"/>
  <c r="AE91" i="22" s="1"/>
  <c r="V5" i="22"/>
  <c r="Q89" i="22"/>
  <c r="Q91" i="22" s="1"/>
  <c r="Q7" i="22" s="1"/>
  <c r="Y89" i="22"/>
  <c r="Y91" i="22" s="1"/>
  <c r="AG89" i="22"/>
  <c r="AA5" i="22"/>
  <c r="S89" i="22"/>
  <c r="S91" i="22" s="1"/>
  <c r="S92" i="22" s="1"/>
  <c r="D235" i="22"/>
  <c r="R5" i="22"/>
  <c r="U89" i="22"/>
  <c r="U91" i="22" s="1"/>
  <c r="AM249" i="22" s="1"/>
  <c r="AC89" i="22"/>
  <c r="AC91" i="22" s="1"/>
  <c r="AU249" i="22" s="1"/>
  <c r="M89" i="22"/>
  <c r="M91" i="22" s="1"/>
  <c r="M7" i="22" s="1"/>
  <c r="L89" i="22"/>
  <c r="L91" i="22" s="1"/>
  <c r="L92" i="22" s="1"/>
  <c r="J5" i="22"/>
  <c r="K89" i="22"/>
  <c r="K91" i="22" s="1"/>
  <c r="AC249" i="22" s="1"/>
  <c r="J89" i="22"/>
  <c r="J91" i="22" s="1"/>
  <c r="J92" i="22" s="1"/>
  <c r="I89" i="22"/>
  <c r="I91" i="22" s="1"/>
  <c r="AA249" i="22" s="1"/>
  <c r="H89" i="22"/>
  <c r="H91" i="22" s="1"/>
  <c r="H7" i="22" s="1"/>
  <c r="G100" i="22"/>
  <c r="AI54" i="22"/>
  <c r="G89" i="22"/>
  <c r="G91" i="22" s="1"/>
  <c r="Y249" i="22" s="1"/>
  <c r="E5" i="22"/>
  <c r="F89" i="22"/>
  <c r="F91" i="22" s="1"/>
  <c r="X249" i="22" s="1"/>
  <c r="E89" i="22"/>
  <c r="E91" i="22" s="1"/>
  <c r="E92" i="22" s="1"/>
  <c r="AC89" i="21"/>
  <c r="AC91" i="21" s="1"/>
  <c r="D89" i="22"/>
  <c r="D91" i="22" s="1"/>
  <c r="D92" i="22" s="1"/>
  <c r="C5" i="22"/>
  <c r="AH72" i="22"/>
  <c r="AI68" i="22"/>
  <c r="AI113" i="22"/>
  <c r="D110" i="22"/>
  <c r="C89" i="22"/>
  <c r="C91" i="22" s="1"/>
  <c r="C92" i="22" s="1"/>
  <c r="B5" i="22"/>
  <c r="AF5" i="22"/>
  <c r="B89" i="22"/>
  <c r="B91" i="22" s="1"/>
  <c r="B92" i="22" s="1"/>
  <c r="D246" i="22"/>
  <c r="AG249" i="22"/>
  <c r="O92" i="22"/>
  <c r="O7" i="22"/>
  <c r="AW249" i="22"/>
  <c r="AE92" i="22"/>
  <c r="AE7" i="22"/>
  <c r="P7" i="22"/>
  <c r="P92" i="22"/>
  <c r="AH249" i="22"/>
  <c r="X92" i="22"/>
  <c r="X7" i="22"/>
  <c r="AP249" i="22"/>
  <c r="AF7" i="22"/>
  <c r="AF92" i="22"/>
  <c r="AX249" i="22"/>
  <c r="AF249" i="22"/>
  <c r="N92" i="22"/>
  <c r="N7" i="22"/>
  <c r="D270" i="22"/>
  <c r="F234" i="22"/>
  <c r="Y7" i="22"/>
  <c r="Y92" i="22"/>
  <c r="AQ249" i="22"/>
  <c r="T92" i="22"/>
  <c r="T7" i="22"/>
  <c r="R92" i="22"/>
  <c r="Z7" i="22"/>
  <c r="Z92" i="22"/>
  <c r="AR249" i="22"/>
  <c r="AA7" i="22"/>
  <c r="AS249" i="22"/>
  <c r="AN249" i="22"/>
  <c r="AB92" i="22"/>
  <c r="AT249" i="22"/>
  <c r="AB7" i="22"/>
  <c r="J232" i="22"/>
  <c r="K232" i="22" s="1"/>
  <c r="L232" i="22" s="1"/>
  <c r="M232" i="22" s="1"/>
  <c r="N232" i="22" s="1"/>
  <c r="O232" i="22" s="1"/>
  <c r="P232" i="22" s="1"/>
  <c r="G5" i="22"/>
  <c r="W5" i="22"/>
  <c r="P5" i="22"/>
  <c r="AH84" i="22"/>
  <c r="I100" i="22"/>
  <c r="Y100" i="22"/>
  <c r="C270" i="22"/>
  <c r="I5" i="22"/>
  <c r="Q5" i="22"/>
  <c r="Y5" i="22"/>
  <c r="AH50" i="22"/>
  <c r="AH54" i="22"/>
  <c r="AI84" i="22"/>
  <c r="E229" i="22"/>
  <c r="AI50" i="22"/>
  <c r="AH68" i="22"/>
  <c r="AI72" i="22"/>
  <c r="O5" i="22"/>
  <c r="AE5" i="22"/>
  <c r="AG2" i="22"/>
  <c r="AG6" i="22" s="1"/>
  <c r="B235" i="22"/>
  <c r="AF89" i="21"/>
  <c r="AF91" i="21" s="1"/>
  <c r="AX249" i="21" s="1"/>
  <c r="AD5" i="21"/>
  <c r="AE89" i="21"/>
  <c r="AE91" i="21" s="1"/>
  <c r="AE92" i="21" s="1"/>
  <c r="AD100" i="21"/>
  <c r="AD89" i="21"/>
  <c r="AD91" i="21" s="1"/>
  <c r="AB89" i="21"/>
  <c r="AB91" i="21" s="1"/>
  <c r="AA89" i="21"/>
  <c r="AA91" i="21" s="1"/>
  <c r="Z89" i="21"/>
  <c r="Z91" i="21" s="1"/>
  <c r="X5" i="21"/>
  <c r="Y89" i="21"/>
  <c r="Y91" i="21" s="1"/>
  <c r="X89" i="21"/>
  <c r="X91" i="21" s="1"/>
  <c r="W89" i="21"/>
  <c r="W91" i="21" s="1"/>
  <c r="U5" i="21"/>
  <c r="V89" i="21"/>
  <c r="V91" i="21" s="1"/>
  <c r="T5" i="21"/>
  <c r="U89" i="21"/>
  <c r="U91" i="21" s="1"/>
  <c r="T89" i="21"/>
  <c r="T91" i="21" s="1"/>
  <c r="S89" i="21"/>
  <c r="S91" i="21" s="1"/>
  <c r="R89" i="21"/>
  <c r="R91" i="21" s="1"/>
  <c r="Q100" i="21"/>
  <c r="Q89" i="21"/>
  <c r="Q91" i="21" s="1"/>
  <c r="AH72" i="21"/>
  <c r="P89" i="21"/>
  <c r="P91" i="21" s="1"/>
  <c r="M5" i="21"/>
  <c r="N89" i="21"/>
  <c r="N91" i="21" s="1"/>
  <c r="AF249" i="21" s="1"/>
  <c r="L89" i="21"/>
  <c r="L91" i="21" s="1"/>
  <c r="L92" i="21" s="1"/>
  <c r="L5" i="21"/>
  <c r="M89" i="21"/>
  <c r="M91" i="21" s="1"/>
  <c r="M92" i="21" s="1"/>
  <c r="AI113" i="21"/>
  <c r="K100" i="21"/>
  <c r="K89" i="21"/>
  <c r="K91" i="21" s="1"/>
  <c r="AC249" i="21" s="1"/>
  <c r="I89" i="21"/>
  <c r="I91" i="21" s="1"/>
  <c r="I92" i="21" s="1"/>
  <c r="J89" i="21"/>
  <c r="J91" i="21" s="1"/>
  <c r="J92" i="21" s="1"/>
  <c r="AH68" i="21"/>
  <c r="AH113" i="21"/>
  <c r="H89" i="21"/>
  <c r="H91" i="21" s="1"/>
  <c r="Z249" i="21" s="1"/>
  <c r="G89" i="21"/>
  <c r="G91" i="21" s="1"/>
  <c r="G92" i="21" s="1"/>
  <c r="F89" i="21"/>
  <c r="F91" i="21" s="1"/>
  <c r="F92" i="21" s="1"/>
  <c r="E89" i="21"/>
  <c r="E91" i="21" s="1"/>
  <c r="W249" i="21" s="1"/>
  <c r="AH54" i="21"/>
  <c r="D89" i="21"/>
  <c r="D91" i="21" s="1"/>
  <c r="D7" i="21" s="1"/>
  <c r="C100" i="21"/>
  <c r="C89" i="21"/>
  <c r="C91" i="21" s="1"/>
  <c r="C92" i="21" s="1"/>
  <c r="AI54" i="21"/>
  <c r="AN249" i="21"/>
  <c r="V92" i="21"/>
  <c r="V7" i="21"/>
  <c r="AV249" i="21"/>
  <c r="AD92" i="21"/>
  <c r="AD7" i="21"/>
  <c r="X7" i="21"/>
  <c r="X92" i="21"/>
  <c r="AP249" i="21"/>
  <c r="AG249" i="21"/>
  <c r="O7" i="21"/>
  <c r="O92" i="21"/>
  <c r="AO249" i="21"/>
  <c r="W7" i="21"/>
  <c r="W92" i="21"/>
  <c r="AW249" i="21"/>
  <c r="AE7" i="21"/>
  <c r="D92" i="21"/>
  <c r="V249" i="21"/>
  <c r="Q7" i="21"/>
  <c r="Q92" i="21"/>
  <c r="AI249" i="21"/>
  <c r="Z7" i="21"/>
  <c r="Z92" i="21"/>
  <c r="AR249" i="21"/>
  <c r="C7" i="21"/>
  <c r="K92" i="21"/>
  <c r="S7" i="21"/>
  <c r="S92" i="21"/>
  <c r="AK249" i="21"/>
  <c r="AA7" i="21"/>
  <c r="AA92" i="21"/>
  <c r="AS249" i="21"/>
  <c r="L7" i="21"/>
  <c r="AD249" i="21"/>
  <c r="Y7" i="21"/>
  <c r="Y92" i="21"/>
  <c r="AQ249" i="21"/>
  <c r="T92" i="21"/>
  <c r="AL249" i="21"/>
  <c r="T7" i="21"/>
  <c r="P7" i="21"/>
  <c r="AH249" i="21"/>
  <c r="P92" i="21"/>
  <c r="R7" i="21"/>
  <c r="R92" i="21"/>
  <c r="AJ249" i="21"/>
  <c r="E92" i="21"/>
  <c r="E7" i="21"/>
  <c r="U92" i="21"/>
  <c r="AM249" i="21"/>
  <c r="U7" i="21"/>
  <c r="AC92" i="21"/>
  <c r="AU249" i="21"/>
  <c r="AC7" i="21"/>
  <c r="AB92" i="21"/>
  <c r="AB7" i="21"/>
  <c r="AT249" i="21"/>
  <c r="F229" i="21"/>
  <c r="E110" i="21"/>
  <c r="J232" i="21"/>
  <c r="K232" i="21" s="1"/>
  <c r="L232" i="21" s="1"/>
  <c r="M232" i="21" s="1"/>
  <c r="N232" i="21" s="1"/>
  <c r="O232" i="21" s="1"/>
  <c r="P232" i="21" s="1"/>
  <c r="G5" i="21"/>
  <c r="O5" i="21"/>
  <c r="W5" i="21"/>
  <c r="AE5" i="21"/>
  <c r="AI68" i="21"/>
  <c r="H100" i="21"/>
  <c r="P100" i="21"/>
  <c r="X100" i="21"/>
  <c r="AF100" i="21"/>
  <c r="E230" i="21"/>
  <c r="F230" i="21" s="1"/>
  <c r="G230" i="21" s="1"/>
  <c r="H230" i="21" s="1"/>
  <c r="I230" i="21" s="1"/>
  <c r="J230" i="21" s="1"/>
  <c r="K230" i="21" s="1"/>
  <c r="L230" i="21" s="1"/>
  <c r="M230" i="21" s="1"/>
  <c r="N230" i="21" s="1"/>
  <c r="O230" i="21" s="1"/>
  <c r="P230" i="21" s="1"/>
  <c r="E234" i="21"/>
  <c r="S246" i="21"/>
  <c r="AH84" i="21"/>
  <c r="AI72" i="21"/>
  <c r="I5" i="21"/>
  <c r="Q5" i="21"/>
  <c r="Y5" i="21"/>
  <c r="AH50" i="21"/>
  <c r="AI84" i="21"/>
  <c r="AI50" i="21"/>
  <c r="AG2" i="21"/>
  <c r="AG6" i="21" s="1"/>
  <c r="C5" i="21"/>
  <c r="K5" i="21"/>
  <c r="S5" i="21"/>
  <c r="AA5" i="21"/>
  <c r="AF89" i="20"/>
  <c r="AF91" i="20" s="1"/>
  <c r="AD100" i="20"/>
  <c r="AB5" i="20"/>
  <c r="AB89" i="20"/>
  <c r="AB91" i="20" s="1"/>
  <c r="Z89" i="20"/>
  <c r="Z91" i="20" s="1"/>
  <c r="Z7" i="20" s="1"/>
  <c r="Y5" i="20"/>
  <c r="Y100" i="20"/>
  <c r="Y89" i="20"/>
  <c r="Y91" i="20" s="1"/>
  <c r="Y7" i="20" s="1"/>
  <c r="X89" i="20"/>
  <c r="X91" i="20" s="1"/>
  <c r="X7" i="20" s="1"/>
  <c r="U5" i="20"/>
  <c r="T5" i="20"/>
  <c r="T89" i="20"/>
  <c r="T91" i="20" s="1"/>
  <c r="R89" i="20"/>
  <c r="R91" i="20" s="1"/>
  <c r="R7" i="20" s="1"/>
  <c r="Q5" i="20"/>
  <c r="P5" i="20"/>
  <c r="Q89" i="20"/>
  <c r="Q91" i="20" s="1"/>
  <c r="P89" i="20"/>
  <c r="P91" i="20" s="1"/>
  <c r="N100" i="20"/>
  <c r="AH72" i="20"/>
  <c r="L5" i="20"/>
  <c r="K89" i="20"/>
  <c r="K91" i="20" s="1"/>
  <c r="K7" i="20" s="1"/>
  <c r="I5" i="20"/>
  <c r="J89" i="20"/>
  <c r="J91" i="20" s="1"/>
  <c r="J7" i="20" s="1"/>
  <c r="I100" i="20"/>
  <c r="I89" i="20"/>
  <c r="I91" i="20" s="1"/>
  <c r="I7" i="20" s="1"/>
  <c r="H89" i="20"/>
  <c r="H91" i="20" s="1"/>
  <c r="H92" i="20" s="1"/>
  <c r="F100" i="20"/>
  <c r="D5" i="20"/>
  <c r="L89" i="20"/>
  <c r="L91" i="20" s="1"/>
  <c r="L92" i="20" s="1"/>
  <c r="D89" i="20"/>
  <c r="D91" i="20" s="1"/>
  <c r="D92" i="20" s="1"/>
  <c r="C89" i="20"/>
  <c r="C91" i="20" s="1"/>
  <c r="C7" i="20" s="1"/>
  <c r="B89" i="20"/>
  <c r="B91" i="20" s="1"/>
  <c r="AF5" i="20"/>
  <c r="AI68" i="20"/>
  <c r="E89" i="20"/>
  <c r="E91" i="20" s="1"/>
  <c r="U89" i="20"/>
  <c r="U91" i="20" s="1"/>
  <c r="F89" i="20"/>
  <c r="F91" i="20" s="1"/>
  <c r="N89" i="20"/>
  <c r="N91" i="20" s="1"/>
  <c r="AD89" i="20"/>
  <c r="AD91" i="20" s="1"/>
  <c r="G89" i="20"/>
  <c r="G91" i="20" s="1"/>
  <c r="G100" i="20"/>
  <c r="F5" i="20"/>
  <c r="W89" i="20"/>
  <c r="W91" i="20" s="1"/>
  <c r="W100" i="20"/>
  <c r="V5" i="20"/>
  <c r="AA92" i="20"/>
  <c r="AS249" i="20"/>
  <c r="S246" i="20"/>
  <c r="D246" i="20"/>
  <c r="M89" i="20"/>
  <c r="M91" i="20" s="1"/>
  <c r="AC89" i="20"/>
  <c r="AC91" i="20" s="1"/>
  <c r="V89" i="20"/>
  <c r="V91" i="20" s="1"/>
  <c r="O89" i="20"/>
  <c r="O91" i="20" s="1"/>
  <c r="O100" i="20"/>
  <c r="N5" i="20"/>
  <c r="AI54" i="20"/>
  <c r="AG91" i="20"/>
  <c r="D270" i="20"/>
  <c r="F234" i="20"/>
  <c r="AG89" i="20"/>
  <c r="AG2" i="20"/>
  <c r="AG6" i="20" s="1"/>
  <c r="H7" i="20"/>
  <c r="Z249" i="20"/>
  <c r="P7" i="20"/>
  <c r="P92" i="20"/>
  <c r="AH249" i="20"/>
  <c r="AF7" i="20"/>
  <c r="AF92" i="20"/>
  <c r="AX249" i="20"/>
  <c r="AI72" i="20"/>
  <c r="R92" i="20"/>
  <c r="AJ249" i="20"/>
  <c r="AR249" i="20"/>
  <c r="J232" i="20"/>
  <c r="K232" i="20" s="1"/>
  <c r="L232" i="20" s="1"/>
  <c r="M232" i="20" s="1"/>
  <c r="N232" i="20" s="1"/>
  <c r="O232" i="20" s="1"/>
  <c r="P232" i="20" s="1"/>
  <c r="K92" i="20"/>
  <c r="AC249" i="20"/>
  <c r="G229" i="20"/>
  <c r="F110" i="20"/>
  <c r="F235" i="20"/>
  <c r="T92" i="20"/>
  <c r="AL249" i="20"/>
  <c r="T7" i="20"/>
  <c r="AB92" i="20"/>
  <c r="AT249" i="20"/>
  <c r="AB7" i="20"/>
  <c r="S92" i="20"/>
  <c r="AK249" i="20"/>
  <c r="Q7" i="20"/>
  <c r="Q92" i="20"/>
  <c r="AI249" i="20"/>
  <c r="AE89" i="20"/>
  <c r="AE91" i="20" s="1"/>
  <c r="AE100" i="20"/>
  <c r="AD5" i="20"/>
  <c r="E235" i="20"/>
  <c r="AH68" i="20"/>
  <c r="G5" i="20"/>
  <c r="O5" i="20"/>
  <c r="W5" i="20"/>
  <c r="AE5" i="20"/>
  <c r="E110" i="20"/>
  <c r="AH84" i="20"/>
  <c r="AH54" i="20"/>
  <c r="C100" i="20"/>
  <c r="AA100" i="20"/>
  <c r="AH50" i="20"/>
  <c r="AI84" i="20"/>
  <c r="J5" i="20"/>
  <c r="R5" i="20"/>
  <c r="AI50" i="20"/>
  <c r="C5" i="20"/>
  <c r="K5" i="20"/>
  <c r="S5" i="20"/>
  <c r="AA5" i="20"/>
  <c r="B110" i="20"/>
  <c r="X89" i="19"/>
  <c r="X91" i="19" s="1"/>
  <c r="X92" i="19" s="1"/>
  <c r="V89" i="19"/>
  <c r="V91" i="19" s="1"/>
  <c r="V92" i="19" s="1"/>
  <c r="AD7" i="22" l="1"/>
  <c r="AV249" i="22"/>
  <c r="AC92" i="22"/>
  <c r="AC7" i="22"/>
  <c r="W7" i="22"/>
  <c r="W92" i="22"/>
  <c r="V92" i="22"/>
  <c r="U7" i="22"/>
  <c r="U92" i="22"/>
  <c r="S7" i="22"/>
  <c r="AK249" i="22"/>
  <c r="R7" i="22"/>
  <c r="AI249" i="22"/>
  <c r="Q92" i="22"/>
  <c r="AE249" i="22"/>
  <c r="M92" i="22"/>
  <c r="L7" i="22"/>
  <c r="AD249" i="22"/>
  <c r="K92" i="22"/>
  <c r="K7" i="22"/>
  <c r="AB249" i="22"/>
  <c r="J7" i="22"/>
  <c r="U249" i="22"/>
  <c r="C7" i="22"/>
  <c r="I7" i="22"/>
  <c r="I92" i="22"/>
  <c r="Z249" i="22"/>
  <c r="H92" i="22"/>
  <c r="AI100" i="22"/>
  <c r="G92" i="22"/>
  <c r="B244" i="22"/>
  <c r="G7" i="22"/>
  <c r="C244" i="22"/>
  <c r="F92" i="22"/>
  <c r="F7" i="22"/>
  <c r="E7" i="22"/>
  <c r="W249" i="22"/>
  <c r="D7" i="22"/>
  <c r="V249" i="22"/>
  <c r="AI89" i="22"/>
  <c r="AH89" i="22"/>
  <c r="E235" i="22"/>
  <c r="F229" i="22"/>
  <c r="E110" i="22"/>
  <c r="AH100" i="22"/>
  <c r="B7" i="22"/>
  <c r="AI91" i="22"/>
  <c r="T249" i="22"/>
  <c r="AH91" i="22"/>
  <c r="E270" i="22"/>
  <c r="G234" i="22"/>
  <c r="AF92" i="21"/>
  <c r="AF7" i="21"/>
  <c r="N92" i="21"/>
  <c r="N7" i="21"/>
  <c r="M7" i="21"/>
  <c r="AE249" i="21"/>
  <c r="K7" i="21"/>
  <c r="H7" i="21"/>
  <c r="AA249" i="21"/>
  <c r="I7" i="21"/>
  <c r="AB249" i="21"/>
  <c r="J7" i="21"/>
  <c r="H92" i="21"/>
  <c r="B244" i="21"/>
  <c r="C244" i="21"/>
  <c r="Y249" i="21"/>
  <c r="F7" i="21"/>
  <c r="G7" i="21"/>
  <c r="X249" i="21"/>
  <c r="AI100" i="21"/>
  <c r="AI89" i="21"/>
  <c r="AH89" i="21"/>
  <c r="U249" i="21"/>
  <c r="B7" i="21"/>
  <c r="AI91" i="21"/>
  <c r="T249" i="21"/>
  <c r="AH91" i="21"/>
  <c r="G229" i="21"/>
  <c r="E235" i="21"/>
  <c r="AH100" i="21"/>
  <c r="D270" i="21"/>
  <c r="F234" i="21"/>
  <c r="X92" i="20"/>
  <c r="Z92" i="20"/>
  <c r="AQ249" i="20"/>
  <c r="AP249" i="20"/>
  <c r="Y92" i="20"/>
  <c r="L7" i="20"/>
  <c r="AD249" i="20"/>
  <c r="J92" i="20"/>
  <c r="AB249" i="20"/>
  <c r="AA249" i="20"/>
  <c r="I92" i="20"/>
  <c r="AH100" i="20"/>
  <c r="D7" i="20"/>
  <c r="V249" i="20"/>
  <c r="U249" i="20"/>
  <c r="C92" i="20"/>
  <c r="AI100" i="20"/>
  <c r="AG249" i="20"/>
  <c r="O7" i="20"/>
  <c r="O92" i="20"/>
  <c r="H229" i="20"/>
  <c r="G110" i="20"/>
  <c r="AN249" i="20"/>
  <c r="V92" i="20"/>
  <c r="V7" i="20"/>
  <c r="E270" i="20"/>
  <c r="G234" i="20"/>
  <c r="G235" i="20" s="1"/>
  <c r="X249" i="20"/>
  <c r="F92" i="20"/>
  <c r="F7" i="20"/>
  <c r="AU249" i="20"/>
  <c r="AC7" i="20"/>
  <c r="AC92" i="20"/>
  <c r="AM249" i="20"/>
  <c r="U7" i="20"/>
  <c r="U92" i="20"/>
  <c r="AE249" i="20"/>
  <c r="M7" i="20"/>
  <c r="M92" i="20"/>
  <c r="AO249" i="20"/>
  <c r="W7" i="20"/>
  <c r="W92" i="20"/>
  <c r="W249" i="20"/>
  <c r="E7" i="20"/>
  <c r="E92" i="20"/>
  <c r="B92" i="20"/>
  <c r="AI91" i="20"/>
  <c r="T249" i="20"/>
  <c r="AH91" i="20"/>
  <c r="B7" i="20"/>
  <c r="AH89" i="20"/>
  <c r="AI89" i="20"/>
  <c r="Y249" i="20"/>
  <c r="C244" i="20"/>
  <c r="B244" i="20"/>
  <c r="G7" i="20"/>
  <c r="G92" i="20"/>
  <c r="AV249" i="20"/>
  <c r="AD92" i="20"/>
  <c r="AD7" i="20"/>
  <c r="AW249" i="20"/>
  <c r="AE7" i="20"/>
  <c r="AE92" i="20"/>
  <c r="AF249" i="20"/>
  <c r="N92" i="20"/>
  <c r="N7" i="20"/>
  <c r="AF274" i="19"/>
  <c r="AE274" i="19"/>
  <c r="AD274" i="19"/>
  <c r="AC274" i="19"/>
  <c r="AB274" i="19"/>
  <c r="AA274" i="19"/>
  <c r="Z274" i="19"/>
  <c r="Y274" i="19"/>
  <c r="X274" i="19"/>
  <c r="W274" i="19"/>
  <c r="V274" i="19"/>
  <c r="U274" i="19"/>
  <c r="T274" i="19"/>
  <c r="S274" i="19"/>
  <c r="R274" i="19"/>
  <c r="Q274" i="19"/>
  <c r="P274" i="19"/>
  <c r="O274" i="19"/>
  <c r="N274" i="19"/>
  <c r="M274" i="19"/>
  <c r="L274" i="19"/>
  <c r="K274" i="19"/>
  <c r="J274" i="19"/>
  <c r="I274" i="19"/>
  <c r="H274" i="19"/>
  <c r="G274" i="19"/>
  <c r="F274" i="19"/>
  <c r="E274" i="19"/>
  <c r="D274" i="19"/>
  <c r="C274" i="19"/>
  <c r="B274" i="19"/>
  <c r="A274" i="19"/>
  <c r="AF273" i="19"/>
  <c r="AE273" i="19"/>
  <c r="AD273" i="19"/>
  <c r="AC273" i="19"/>
  <c r="AB273" i="19"/>
  <c r="AA273" i="19"/>
  <c r="Z273" i="19"/>
  <c r="Y273" i="19"/>
  <c r="X273" i="19"/>
  <c r="W273" i="19"/>
  <c r="V273" i="19"/>
  <c r="U273" i="19"/>
  <c r="T273" i="19"/>
  <c r="S273" i="19"/>
  <c r="R273" i="19"/>
  <c r="Q273" i="19"/>
  <c r="P273" i="19"/>
  <c r="O273" i="19"/>
  <c r="N273" i="19"/>
  <c r="M273" i="19"/>
  <c r="L273" i="19"/>
  <c r="K273" i="19"/>
  <c r="J273" i="19"/>
  <c r="I273" i="19"/>
  <c r="H273" i="19"/>
  <c r="G273" i="19"/>
  <c r="F273" i="19"/>
  <c r="E273" i="19"/>
  <c r="D273" i="19"/>
  <c r="C273" i="19"/>
  <c r="B273" i="19"/>
  <c r="A273" i="19"/>
  <c r="AF272" i="19"/>
  <c r="AE272" i="19"/>
  <c r="AD272" i="19"/>
  <c r="AC272" i="19"/>
  <c r="AB272" i="19"/>
  <c r="AA272" i="19"/>
  <c r="Z272" i="19"/>
  <c r="Y272" i="19"/>
  <c r="X272" i="19"/>
  <c r="W272" i="19"/>
  <c r="V272" i="19"/>
  <c r="U272" i="19"/>
  <c r="T272" i="19"/>
  <c r="S272" i="19"/>
  <c r="R272" i="19"/>
  <c r="Q272" i="19"/>
  <c r="P272" i="19"/>
  <c r="O272" i="19"/>
  <c r="N272" i="19"/>
  <c r="M272" i="19"/>
  <c r="L272" i="19"/>
  <c r="K272" i="19"/>
  <c r="J272" i="19"/>
  <c r="I272" i="19"/>
  <c r="H272" i="19"/>
  <c r="G272" i="19"/>
  <c r="F272" i="19"/>
  <c r="E272" i="19"/>
  <c r="D272" i="19"/>
  <c r="C272" i="19"/>
  <c r="B272" i="19"/>
  <c r="A272" i="19"/>
  <c r="AF271" i="19"/>
  <c r="AE271" i="19"/>
  <c r="AD271" i="19"/>
  <c r="AC271" i="19"/>
  <c r="AB271" i="19"/>
  <c r="AA271" i="19"/>
  <c r="Z271" i="19"/>
  <c r="Y271" i="19"/>
  <c r="X271" i="19"/>
  <c r="W271" i="19"/>
  <c r="V271" i="19"/>
  <c r="U271" i="19"/>
  <c r="T271" i="19"/>
  <c r="S271" i="19"/>
  <c r="R271" i="19"/>
  <c r="Q271" i="19"/>
  <c r="P271" i="19"/>
  <c r="O271" i="19"/>
  <c r="N271" i="19"/>
  <c r="M271" i="19"/>
  <c r="L271" i="19"/>
  <c r="K271" i="19"/>
  <c r="J271" i="19"/>
  <c r="I271" i="19"/>
  <c r="H271" i="19"/>
  <c r="G271" i="19"/>
  <c r="F271" i="19"/>
  <c r="E271" i="19"/>
  <c r="D271" i="19"/>
  <c r="C271" i="19"/>
  <c r="B271" i="19"/>
  <c r="A271" i="19"/>
  <c r="AE270" i="19"/>
  <c r="AD270" i="19"/>
  <c r="AC270" i="19"/>
  <c r="AB270" i="19"/>
  <c r="AA270" i="19"/>
  <c r="Z270" i="19"/>
  <c r="Y270" i="19"/>
  <c r="X270" i="19"/>
  <c r="W270" i="19"/>
  <c r="V270" i="19"/>
  <c r="U270" i="19"/>
  <c r="T270" i="19"/>
  <c r="S270" i="19"/>
  <c r="R270" i="19"/>
  <c r="Q270" i="19"/>
  <c r="P270" i="19"/>
  <c r="B270" i="19"/>
  <c r="S245" i="19"/>
  <c r="AG235" i="19"/>
  <c r="AF235" i="19"/>
  <c r="AE235" i="19"/>
  <c r="AD235" i="19"/>
  <c r="AC235" i="19"/>
  <c r="AB235" i="19"/>
  <c r="AA235" i="19"/>
  <c r="Z235" i="19"/>
  <c r="Y235" i="19"/>
  <c r="X235" i="19"/>
  <c r="W235" i="19"/>
  <c r="V235" i="19"/>
  <c r="U235" i="19"/>
  <c r="T235" i="19"/>
  <c r="S235" i="19"/>
  <c r="R235" i="19"/>
  <c r="Q235" i="19"/>
  <c r="C235" i="19"/>
  <c r="E234" i="19"/>
  <c r="D270" i="19" s="1"/>
  <c r="D234" i="19"/>
  <c r="C270" i="19" s="1"/>
  <c r="B234" i="19"/>
  <c r="AF270" i="19" s="1"/>
  <c r="E233" i="19"/>
  <c r="F233" i="19" s="1"/>
  <c r="G233" i="19" s="1"/>
  <c r="H233" i="19" s="1"/>
  <c r="I233" i="19" s="1"/>
  <c r="J233" i="19" s="1"/>
  <c r="K233" i="19" s="1"/>
  <c r="L233" i="19" s="1"/>
  <c r="M233" i="19" s="1"/>
  <c r="N233" i="19" s="1"/>
  <c r="O233" i="19" s="1"/>
  <c r="P233" i="19" s="1"/>
  <c r="D233" i="19"/>
  <c r="B233" i="19"/>
  <c r="E232" i="19"/>
  <c r="F232" i="19" s="1"/>
  <c r="G232" i="19" s="1"/>
  <c r="H232" i="19" s="1"/>
  <c r="I232" i="19" s="1"/>
  <c r="D232" i="19"/>
  <c r="B232" i="19"/>
  <c r="E231" i="19"/>
  <c r="F231" i="19" s="1"/>
  <c r="G231" i="19" s="1"/>
  <c r="H231" i="19" s="1"/>
  <c r="D231" i="19"/>
  <c r="B231" i="19"/>
  <c r="E230" i="19"/>
  <c r="F230" i="19" s="1"/>
  <c r="G230" i="19" s="1"/>
  <c r="H230" i="19" s="1"/>
  <c r="I230" i="19" s="1"/>
  <c r="J230" i="19" s="1"/>
  <c r="K230" i="19" s="1"/>
  <c r="L230" i="19" s="1"/>
  <c r="M230" i="19" s="1"/>
  <c r="N230" i="19" s="1"/>
  <c r="O230" i="19" s="1"/>
  <c r="P230" i="19" s="1"/>
  <c r="D230" i="19"/>
  <c r="B230" i="19"/>
  <c r="D229" i="19"/>
  <c r="D235" i="19" s="1"/>
  <c r="B229" i="19"/>
  <c r="B110" i="19" s="1"/>
  <c r="AG227" i="19"/>
  <c r="AF227" i="19"/>
  <c r="AE227" i="19"/>
  <c r="AD227" i="19"/>
  <c r="AC227" i="19"/>
  <c r="AB227" i="19"/>
  <c r="AA227" i="19"/>
  <c r="Z227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AI120" i="19"/>
  <c r="AH120" i="19"/>
  <c r="AI119" i="19"/>
  <c r="AH119" i="19"/>
  <c r="AI118" i="19"/>
  <c r="AH118" i="19"/>
  <c r="AI117" i="19"/>
  <c r="AH117" i="19"/>
  <c r="AI116" i="19"/>
  <c r="AH116" i="19"/>
  <c r="AI115" i="19"/>
  <c r="AH115" i="19"/>
  <c r="AI114" i="19"/>
  <c r="AH114" i="19"/>
  <c r="AI113" i="19"/>
  <c r="AH113" i="19"/>
  <c r="AI112" i="19"/>
  <c r="AH112" i="19"/>
  <c r="AI111" i="19"/>
  <c r="AH111" i="19"/>
  <c r="AF110" i="19"/>
  <c r="AE110" i="19"/>
  <c r="AC110" i="19"/>
  <c r="AB110" i="19"/>
  <c r="Z110" i="19"/>
  <c r="Y110" i="19"/>
  <c r="U110" i="19"/>
  <c r="T110" i="19"/>
  <c r="S110" i="19"/>
  <c r="R110" i="19"/>
  <c r="Q110" i="19"/>
  <c r="C110" i="19"/>
  <c r="AI109" i="19"/>
  <c r="AH109" i="19"/>
  <c r="AI108" i="19"/>
  <c r="AH108" i="19"/>
  <c r="AI107" i="19"/>
  <c r="AH107" i="19"/>
  <c r="AI106" i="19"/>
  <c r="AH106" i="19"/>
  <c r="AI105" i="19"/>
  <c r="AH105" i="19"/>
  <c r="AI104" i="19"/>
  <c r="AH104" i="19"/>
  <c r="AI103" i="19"/>
  <c r="AH103" i="19"/>
  <c r="AI102" i="19"/>
  <c r="AH102" i="19"/>
  <c r="AI101" i="19"/>
  <c r="AH101" i="19"/>
  <c r="AI99" i="19"/>
  <c r="AH99" i="19"/>
  <c r="AI98" i="19"/>
  <c r="AH98" i="19"/>
  <c r="AI97" i="19"/>
  <c r="AH97" i="19"/>
  <c r="AI96" i="19"/>
  <c r="AH96" i="19"/>
  <c r="AI95" i="19"/>
  <c r="AH95" i="19"/>
  <c r="AI94" i="19"/>
  <c r="AH94" i="19"/>
  <c r="AI93" i="19"/>
  <c r="AH93" i="19"/>
  <c r="AI90" i="19"/>
  <c r="AH90" i="19"/>
  <c r="AI88" i="19"/>
  <c r="AH88" i="19"/>
  <c r="AG88" i="19"/>
  <c r="AI87" i="19"/>
  <c r="AH87" i="19"/>
  <c r="AI86" i="19"/>
  <c r="AH86" i="19"/>
  <c r="AI85" i="19"/>
  <c r="AH85" i="19"/>
  <c r="AN84" i="19"/>
  <c r="AG84" i="19"/>
  <c r="AF84" i="19"/>
  <c r="AF100" i="19" s="1"/>
  <c r="AE84" i="19"/>
  <c r="AE100" i="19" s="1"/>
  <c r="AD84" i="19"/>
  <c r="AD100" i="19" s="1"/>
  <c r="AC84" i="19"/>
  <c r="AC100" i="19" s="1"/>
  <c r="AB84" i="19"/>
  <c r="AB100" i="19" s="1"/>
  <c r="Z84" i="19"/>
  <c r="Z100" i="19" s="1"/>
  <c r="Y84" i="19"/>
  <c r="Y100" i="19" s="1"/>
  <c r="U84" i="19"/>
  <c r="U100" i="19" s="1"/>
  <c r="T84" i="19"/>
  <c r="T100" i="19" s="1"/>
  <c r="S84" i="19"/>
  <c r="S100" i="19" s="1"/>
  <c r="R84" i="19"/>
  <c r="R100" i="19" s="1"/>
  <c r="Q84" i="19"/>
  <c r="Q100" i="19" s="1"/>
  <c r="P84" i="19"/>
  <c r="P100" i="19" s="1"/>
  <c r="O84" i="19"/>
  <c r="O100" i="19" s="1"/>
  <c r="N84" i="19"/>
  <c r="M5" i="19" s="1"/>
  <c r="M84" i="19"/>
  <c r="M100" i="19" s="1"/>
  <c r="L84" i="19"/>
  <c r="L100" i="19" s="1"/>
  <c r="K84" i="19"/>
  <c r="K100" i="19" s="1"/>
  <c r="J84" i="19"/>
  <c r="J100" i="19" s="1"/>
  <c r="I84" i="19"/>
  <c r="I100" i="19" s="1"/>
  <c r="H84" i="19"/>
  <c r="G5" i="19" s="1"/>
  <c r="G84" i="19"/>
  <c r="G100" i="19" s="1"/>
  <c r="F84" i="19"/>
  <c r="F100" i="19" s="1"/>
  <c r="E84" i="19"/>
  <c r="E100" i="19" s="1"/>
  <c r="D84" i="19"/>
  <c r="D100" i="19" s="1"/>
  <c r="C84" i="19"/>
  <c r="C100" i="19" s="1"/>
  <c r="B84" i="19"/>
  <c r="B100" i="19" s="1"/>
  <c r="AI83" i="19"/>
  <c r="AH83" i="19"/>
  <c r="AN82" i="19"/>
  <c r="AI82" i="19"/>
  <c r="AH82" i="19"/>
  <c r="AN81" i="19"/>
  <c r="AN83" i="19" s="1"/>
  <c r="AI81" i="19"/>
  <c r="AH81" i="19"/>
  <c r="AI80" i="19"/>
  <c r="AH80" i="19"/>
  <c r="AI79" i="19"/>
  <c r="AH79" i="19"/>
  <c r="AI78" i="19"/>
  <c r="AH78" i="19"/>
  <c r="AI77" i="19"/>
  <c r="AH77" i="19"/>
  <c r="AI76" i="19"/>
  <c r="AH76" i="19"/>
  <c r="AI75" i="19"/>
  <c r="AH75" i="19"/>
  <c r="AI74" i="19"/>
  <c r="AH74" i="19"/>
  <c r="AI73" i="19"/>
  <c r="AH73" i="19"/>
  <c r="AG72" i="19"/>
  <c r="AF72" i="19"/>
  <c r="AE72" i="19"/>
  <c r="AD72" i="19"/>
  <c r="AC72" i="19"/>
  <c r="Z72" i="19"/>
  <c r="Y72" i="19"/>
  <c r="U72" i="19"/>
  <c r="T72" i="19"/>
  <c r="S72" i="19"/>
  <c r="R72" i="19"/>
  <c r="Q72" i="19"/>
  <c r="P72" i="19"/>
  <c r="O72" i="19"/>
  <c r="N72" i="19"/>
  <c r="M72" i="19"/>
  <c r="L72" i="19"/>
  <c r="B72" i="19"/>
  <c r="AI71" i="19"/>
  <c r="AH71" i="19"/>
  <c r="AI70" i="19"/>
  <c r="AH70" i="19"/>
  <c r="AI69" i="19"/>
  <c r="AH69" i="19"/>
  <c r="AG68" i="19"/>
  <c r="AG3" i="19" s="1"/>
  <c r="AF68" i="19"/>
  <c r="AE68" i="19"/>
  <c r="AD68" i="19"/>
  <c r="AC68" i="19"/>
  <c r="AB68" i="19"/>
  <c r="Z68" i="19"/>
  <c r="Y68" i="19"/>
  <c r="U68" i="19"/>
  <c r="T68" i="19"/>
  <c r="S68" i="19"/>
  <c r="R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68" i="19"/>
  <c r="C68" i="19"/>
  <c r="B68" i="19"/>
  <c r="AI67" i="19"/>
  <c r="AH67" i="19"/>
  <c r="AG67" i="19"/>
  <c r="AI66" i="19"/>
  <c r="AH66" i="19"/>
  <c r="AI65" i="19"/>
  <c r="AH65" i="19"/>
  <c r="AI64" i="19"/>
  <c r="AH64" i="19"/>
  <c r="AI63" i="19"/>
  <c r="AH63" i="19"/>
  <c r="AI62" i="19"/>
  <c r="AH62" i="19"/>
  <c r="AI61" i="19"/>
  <c r="AH61" i="19"/>
  <c r="AI60" i="19"/>
  <c r="AH60" i="19"/>
  <c r="AI59" i="19"/>
  <c r="AH59" i="19"/>
  <c r="AI58" i="19"/>
  <c r="AH58" i="19"/>
  <c r="AI57" i="19"/>
  <c r="AH57" i="19"/>
  <c r="AI56" i="19"/>
  <c r="AH56" i="19"/>
  <c r="AI55" i="19"/>
  <c r="AH55" i="19"/>
  <c r="AG54" i="19"/>
  <c r="AF54" i="19"/>
  <c r="AE54" i="19"/>
  <c r="AD54" i="19"/>
  <c r="AC54" i="19"/>
  <c r="AB54" i="19"/>
  <c r="Z54" i="19"/>
  <c r="Y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AI53" i="19"/>
  <c r="AH53" i="19"/>
  <c r="AI52" i="19"/>
  <c r="AH52" i="19"/>
  <c r="AI51" i="19"/>
  <c r="AH51" i="19"/>
  <c r="AG50" i="19"/>
  <c r="AF50" i="19"/>
  <c r="AE50" i="19"/>
  <c r="AD50" i="19"/>
  <c r="AC50" i="19"/>
  <c r="AB50" i="19"/>
  <c r="Z50" i="19"/>
  <c r="Y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AI49" i="19"/>
  <c r="AH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I38" i="19"/>
  <c r="AH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W5" i="19"/>
  <c r="U5" i="19"/>
  <c r="Q5" i="19"/>
  <c r="AG4" i="19"/>
  <c r="K4" i="19"/>
  <c r="E4" i="19"/>
  <c r="H4" i="19" s="1"/>
  <c r="B4" i="19"/>
  <c r="S246" i="19" s="1"/>
  <c r="AG2" i="19"/>
  <c r="AD110" i="18"/>
  <c r="AE110" i="18"/>
  <c r="AF110" i="18"/>
  <c r="AA113" i="18"/>
  <c r="Z113" i="18"/>
  <c r="Y113" i="18"/>
  <c r="X113" i="18"/>
  <c r="W113" i="18"/>
  <c r="U113" i="18"/>
  <c r="T113" i="18"/>
  <c r="S113" i="18"/>
  <c r="AF274" i="18"/>
  <c r="AE274" i="18"/>
  <c r="AD274" i="18"/>
  <c r="AC274" i="18"/>
  <c r="AB274" i="18"/>
  <c r="AA274" i="18"/>
  <c r="Z274" i="18"/>
  <c r="Y274" i="18"/>
  <c r="X274" i="18"/>
  <c r="W274" i="18"/>
  <c r="V274" i="18"/>
  <c r="U274" i="18"/>
  <c r="T274" i="18"/>
  <c r="S274" i="18"/>
  <c r="R274" i="18"/>
  <c r="Q274" i="18"/>
  <c r="P274" i="18"/>
  <c r="O274" i="18"/>
  <c r="N274" i="18"/>
  <c r="M274" i="18"/>
  <c r="L274" i="18"/>
  <c r="K274" i="18"/>
  <c r="J274" i="18"/>
  <c r="I274" i="18"/>
  <c r="H274" i="18"/>
  <c r="G274" i="18"/>
  <c r="F274" i="18"/>
  <c r="E274" i="18"/>
  <c r="D274" i="18"/>
  <c r="C274" i="18"/>
  <c r="B274" i="18"/>
  <c r="A274" i="18"/>
  <c r="AF273" i="18"/>
  <c r="AE273" i="18"/>
  <c r="AD273" i="18"/>
  <c r="AC273" i="18"/>
  <c r="AB273" i="18"/>
  <c r="AA273" i="18"/>
  <c r="Z273" i="18"/>
  <c r="Y273" i="18"/>
  <c r="X273" i="18"/>
  <c r="W273" i="18"/>
  <c r="V273" i="18"/>
  <c r="U273" i="18"/>
  <c r="T273" i="18"/>
  <c r="S273" i="18"/>
  <c r="R273" i="18"/>
  <c r="Q273" i="18"/>
  <c r="P273" i="18"/>
  <c r="O273" i="18"/>
  <c r="N273" i="18"/>
  <c r="M273" i="18"/>
  <c r="L273" i="18"/>
  <c r="K273" i="18"/>
  <c r="J273" i="18"/>
  <c r="I273" i="18"/>
  <c r="H273" i="18"/>
  <c r="G273" i="18"/>
  <c r="F273" i="18"/>
  <c r="E273" i="18"/>
  <c r="D273" i="18"/>
  <c r="C273" i="18"/>
  <c r="B273" i="18"/>
  <c r="A273" i="18"/>
  <c r="AF272" i="18"/>
  <c r="AE272" i="18"/>
  <c r="AD272" i="18"/>
  <c r="AC272" i="18"/>
  <c r="AB272" i="18"/>
  <c r="AA272" i="18"/>
  <c r="Z272" i="18"/>
  <c r="Y272" i="18"/>
  <c r="X272" i="18"/>
  <c r="W272" i="18"/>
  <c r="V272" i="18"/>
  <c r="U272" i="18"/>
  <c r="T272" i="18"/>
  <c r="S272" i="18"/>
  <c r="R272" i="18"/>
  <c r="Q272" i="18"/>
  <c r="P272" i="18"/>
  <c r="O272" i="18"/>
  <c r="N272" i="18"/>
  <c r="M272" i="18"/>
  <c r="L272" i="18"/>
  <c r="K272" i="18"/>
  <c r="J272" i="18"/>
  <c r="I272" i="18"/>
  <c r="H272" i="18"/>
  <c r="G272" i="18"/>
  <c r="F272" i="18"/>
  <c r="E272" i="18"/>
  <c r="D272" i="18"/>
  <c r="C272" i="18"/>
  <c r="B272" i="18"/>
  <c r="A272" i="18"/>
  <c r="AF271" i="18"/>
  <c r="AE271" i="18"/>
  <c r="AD271" i="18"/>
  <c r="AC271" i="18"/>
  <c r="AB271" i="18"/>
  <c r="AA271" i="18"/>
  <c r="Z271" i="18"/>
  <c r="Y271" i="18"/>
  <c r="X271" i="18"/>
  <c r="W271" i="18"/>
  <c r="V271" i="18"/>
  <c r="U271" i="18"/>
  <c r="T271" i="18"/>
  <c r="S271" i="18"/>
  <c r="R271" i="18"/>
  <c r="Q271" i="18"/>
  <c r="P271" i="18"/>
  <c r="O271" i="18"/>
  <c r="N271" i="18"/>
  <c r="M271" i="18"/>
  <c r="L271" i="18"/>
  <c r="K271" i="18"/>
  <c r="J271" i="18"/>
  <c r="I271" i="18"/>
  <c r="H271" i="18"/>
  <c r="G271" i="18"/>
  <c r="F271" i="18"/>
  <c r="E271" i="18"/>
  <c r="D271" i="18"/>
  <c r="C271" i="18"/>
  <c r="B271" i="18"/>
  <c r="A271" i="18"/>
  <c r="AE270" i="18"/>
  <c r="AD270" i="18"/>
  <c r="AC270" i="18"/>
  <c r="AB270" i="18"/>
  <c r="AA270" i="18"/>
  <c r="Z270" i="18"/>
  <c r="Y270" i="18"/>
  <c r="X270" i="18"/>
  <c r="W270" i="18"/>
  <c r="V270" i="18"/>
  <c r="U270" i="18"/>
  <c r="T270" i="18"/>
  <c r="S270" i="18"/>
  <c r="R270" i="18"/>
  <c r="Q270" i="18"/>
  <c r="P270" i="18"/>
  <c r="B270" i="18"/>
  <c r="S245" i="18"/>
  <c r="AG235" i="18"/>
  <c r="AF235" i="18"/>
  <c r="AE235" i="18"/>
  <c r="AD235" i="18"/>
  <c r="AC235" i="18"/>
  <c r="AB235" i="18"/>
  <c r="AA235" i="18"/>
  <c r="Z235" i="18"/>
  <c r="Y235" i="18"/>
  <c r="X235" i="18"/>
  <c r="W235" i="18"/>
  <c r="V235" i="18"/>
  <c r="U235" i="18"/>
  <c r="T235" i="18"/>
  <c r="S235" i="18"/>
  <c r="R235" i="18"/>
  <c r="Q235" i="18"/>
  <c r="C235" i="18"/>
  <c r="E234" i="18"/>
  <c r="D270" i="18" s="1"/>
  <c r="D234" i="18"/>
  <c r="C270" i="18" s="1"/>
  <c r="B234" i="18"/>
  <c r="AF270" i="18" s="1"/>
  <c r="D233" i="18"/>
  <c r="E233" i="18" s="1"/>
  <c r="F233" i="18" s="1"/>
  <c r="G233" i="18" s="1"/>
  <c r="H233" i="18" s="1"/>
  <c r="I233" i="18" s="1"/>
  <c r="J233" i="18" s="1"/>
  <c r="K233" i="18" s="1"/>
  <c r="L233" i="18" s="1"/>
  <c r="M233" i="18" s="1"/>
  <c r="N233" i="18" s="1"/>
  <c r="O233" i="18" s="1"/>
  <c r="P233" i="18" s="1"/>
  <c r="B233" i="18"/>
  <c r="D232" i="18"/>
  <c r="E232" i="18" s="1"/>
  <c r="F232" i="18" s="1"/>
  <c r="G232" i="18" s="1"/>
  <c r="H232" i="18" s="1"/>
  <c r="I232" i="18" s="1"/>
  <c r="B232" i="18"/>
  <c r="D231" i="18"/>
  <c r="E231" i="18" s="1"/>
  <c r="F231" i="18" s="1"/>
  <c r="G231" i="18" s="1"/>
  <c r="H231" i="18" s="1"/>
  <c r="B231" i="18"/>
  <c r="E230" i="18"/>
  <c r="F230" i="18" s="1"/>
  <c r="D230" i="18"/>
  <c r="B230" i="18"/>
  <c r="D229" i="18"/>
  <c r="D110" i="18" s="1"/>
  <c r="B229" i="18"/>
  <c r="B110" i="18" s="1"/>
  <c r="AG227" i="18"/>
  <c r="AF227" i="18"/>
  <c r="AE227" i="18"/>
  <c r="AD227" i="18"/>
  <c r="AC227" i="18"/>
  <c r="AB227" i="18"/>
  <c r="AA227" i="18"/>
  <c r="Z227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AI120" i="18"/>
  <c r="AH120" i="18"/>
  <c r="AI119" i="18"/>
  <c r="AH119" i="18"/>
  <c r="AI118" i="18"/>
  <c r="AH118" i="18"/>
  <c r="AI117" i="18"/>
  <c r="AH117" i="18"/>
  <c r="AI116" i="18"/>
  <c r="AH116" i="18"/>
  <c r="AI115" i="18"/>
  <c r="AH115" i="18"/>
  <c r="AI114" i="18"/>
  <c r="AH114" i="18"/>
  <c r="AI113" i="18"/>
  <c r="AH113" i="18"/>
  <c r="AI112" i="18"/>
  <c r="AH112" i="18"/>
  <c r="AI111" i="18"/>
  <c r="AH111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C110" i="18"/>
  <c r="AI109" i="18"/>
  <c r="AH109" i="18"/>
  <c r="AI108" i="18"/>
  <c r="AH108" i="18"/>
  <c r="AI107" i="18"/>
  <c r="AH107" i="18"/>
  <c r="AI106" i="18"/>
  <c r="AH106" i="18"/>
  <c r="AI105" i="18"/>
  <c r="AH105" i="18"/>
  <c r="AI104" i="18"/>
  <c r="AH104" i="18"/>
  <c r="AI103" i="18"/>
  <c r="AH103" i="18"/>
  <c r="AI102" i="18"/>
  <c r="AH102" i="18"/>
  <c r="AI101" i="18"/>
  <c r="AH101" i="18"/>
  <c r="AI99" i="18"/>
  <c r="AH99" i="18"/>
  <c r="AI98" i="18"/>
  <c r="AH98" i="18"/>
  <c r="AI97" i="18"/>
  <c r="AH97" i="18"/>
  <c r="AI96" i="18"/>
  <c r="AH96" i="18"/>
  <c r="AI95" i="18"/>
  <c r="AH95" i="18"/>
  <c r="AI94" i="18"/>
  <c r="AH94" i="18"/>
  <c r="AI93" i="18"/>
  <c r="AH93" i="18"/>
  <c r="AI90" i="18"/>
  <c r="AH90" i="18"/>
  <c r="AI88" i="18"/>
  <c r="AH88" i="18"/>
  <c r="AG88" i="18"/>
  <c r="AI87" i="18"/>
  <c r="AH87" i="18"/>
  <c r="AI86" i="18"/>
  <c r="AH86" i="18"/>
  <c r="AI85" i="18"/>
  <c r="AH85" i="18"/>
  <c r="AN84" i="18"/>
  <c r="AG84" i="18"/>
  <c r="AF84" i="18"/>
  <c r="AF100" i="18" s="1"/>
  <c r="AE84" i="18"/>
  <c r="AE100" i="18" s="1"/>
  <c r="AD84" i="18"/>
  <c r="AD100" i="18" s="1"/>
  <c r="AC84" i="18"/>
  <c r="AC100" i="18" s="1"/>
  <c r="AB84" i="18"/>
  <c r="AB100" i="18" s="1"/>
  <c r="AA84" i="18"/>
  <c r="AA100" i="18" s="1"/>
  <c r="Z84" i="18"/>
  <c r="Z100" i="18" s="1"/>
  <c r="Y84" i="18"/>
  <c r="Y100" i="18" s="1"/>
  <c r="X84" i="18"/>
  <c r="X100" i="18" s="1"/>
  <c r="W84" i="18"/>
  <c r="W100" i="18" s="1"/>
  <c r="V84" i="18"/>
  <c r="V100" i="18" s="1"/>
  <c r="U84" i="18"/>
  <c r="U100" i="18" s="1"/>
  <c r="T84" i="18"/>
  <c r="T100" i="18" s="1"/>
  <c r="S84" i="18"/>
  <c r="S100" i="18" s="1"/>
  <c r="R84" i="18"/>
  <c r="R100" i="18" s="1"/>
  <c r="Q84" i="18"/>
  <c r="Q100" i="18" s="1"/>
  <c r="P84" i="18"/>
  <c r="P100" i="18" s="1"/>
  <c r="O84" i="18"/>
  <c r="O100" i="18" s="1"/>
  <c r="N84" i="18"/>
  <c r="N100" i="18" s="1"/>
  <c r="M84" i="18"/>
  <c r="M100" i="18" s="1"/>
  <c r="L84" i="18"/>
  <c r="L100" i="18" s="1"/>
  <c r="K84" i="18"/>
  <c r="K100" i="18" s="1"/>
  <c r="J84" i="18"/>
  <c r="J100" i="18" s="1"/>
  <c r="I84" i="18"/>
  <c r="H5" i="18" s="1"/>
  <c r="H84" i="18"/>
  <c r="H100" i="18" s="1"/>
  <c r="G84" i="18"/>
  <c r="G100" i="18" s="1"/>
  <c r="F84" i="18"/>
  <c r="F100" i="18" s="1"/>
  <c r="E84" i="18"/>
  <c r="E100" i="18" s="1"/>
  <c r="D84" i="18"/>
  <c r="D100" i="18" s="1"/>
  <c r="C84" i="18"/>
  <c r="C100" i="18" s="1"/>
  <c r="B84" i="18"/>
  <c r="B100" i="18" s="1"/>
  <c r="AN83" i="18"/>
  <c r="AI83" i="18"/>
  <c r="AH83" i="18"/>
  <c r="AN82" i="18"/>
  <c r="AI82" i="18"/>
  <c r="AH82" i="18"/>
  <c r="AN81" i="18"/>
  <c r="AI81" i="18"/>
  <c r="AH81" i="18"/>
  <c r="AI80" i="18"/>
  <c r="AH80" i="18"/>
  <c r="AI79" i="18"/>
  <c r="AH79" i="18"/>
  <c r="AI78" i="18"/>
  <c r="AH78" i="18"/>
  <c r="AI77" i="18"/>
  <c r="AH77" i="18"/>
  <c r="AI76" i="18"/>
  <c r="AH76" i="18"/>
  <c r="AI75" i="18"/>
  <c r="AH75" i="18"/>
  <c r="AI74" i="18"/>
  <c r="AH74" i="18"/>
  <c r="AI73" i="18"/>
  <c r="AH73" i="18"/>
  <c r="AG72" i="18"/>
  <c r="AG4" i="18" s="1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O72" i="18"/>
  <c r="N72" i="18"/>
  <c r="M72" i="18"/>
  <c r="L72" i="18"/>
  <c r="B72" i="18"/>
  <c r="AI71" i="18"/>
  <c r="AH71" i="18"/>
  <c r="AI70" i="18"/>
  <c r="AH70" i="18"/>
  <c r="AI69" i="18"/>
  <c r="AH69" i="18"/>
  <c r="AF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R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B68" i="18"/>
  <c r="AI67" i="18"/>
  <c r="AH67" i="18"/>
  <c r="AG67" i="18"/>
  <c r="AG68" i="18" s="1"/>
  <c r="AG3" i="18" s="1"/>
  <c r="AG6" i="18" s="1"/>
  <c r="AI66" i="18"/>
  <c r="AH66" i="18"/>
  <c r="AI65" i="18"/>
  <c r="AH65" i="18"/>
  <c r="AI64" i="18"/>
  <c r="AH64" i="18"/>
  <c r="AI63" i="18"/>
  <c r="AH63" i="18"/>
  <c r="AI62" i="18"/>
  <c r="AH62" i="18"/>
  <c r="AI61" i="18"/>
  <c r="AH61" i="18"/>
  <c r="AI60" i="18"/>
  <c r="AH60" i="18"/>
  <c r="AI59" i="18"/>
  <c r="AH59" i="18"/>
  <c r="AI58" i="18"/>
  <c r="AH58" i="18"/>
  <c r="AI57" i="18"/>
  <c r="AH57" i="18"/>
  <c r="AI56" i="18"/>
  <c r="AH56" i="18"/>
  <c r="AI55" i="18"/>
  <c r="AH55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AI53" i="18"/>
  <c r="AH53" i="18"/>
  <c r="AI52" i="18"/>
  <c r="AH52" i="18"/>
  <c r="AI51" i="18"/>
  <c r="AH51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AI49" i="18"/>
  <c r="AH49" i="18"/>
  <c r="AI48" i="18"/>
  <c r="AH48" i="18"/>
  <c r="AI47" i="18"/>
  <c r="AH47" i="18"/>
  <c r="AI46" i="18"/>
  <c r="AH46" i="18"/>
  <c r="AI45" i="18"/>
  <c r="AH45" i="18"/>
  <c r="AI44" i="18"/>
  <c r="AH44" i="18"/>
  <c r="AI43" i="18"/>
  <c r="AH43" i="18"/>
  <c r="AI42" i="18"/>
  <c r="AH42" i="18"/>
  <c r="AI41" i="18"/>
  <c r="AH41" i="18"/>
  <c r="AI40" i="18"/>
  <c r="AH40" i="18"/>
  <c r="AI39" i="18"/>
  <c r="AH39" i="18"/>
  <c r="AI38" i="18"/>
  <c r="AH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Z5" i="18"/>
  <c r="K5" i="18"/>
  <c r="K4" i="18"/>
  <c r="E4" i="18"/>
  <c r="H4" i="18" s="1"/>
  <c r="B4" i="18"/>
  <c r="D246" i="18" s="1"/>
  <c r="AG2" i="18"/>
  <c r="V113" i="17"/>
  <c r="A7" i="22" l="1"/>
  <c r="K6" i="22"/>
  <c r="AI92" i="22"/>
  <c r="AH92" i="22"/>
  <c r="F270" i="22"/>
  <c r="H234" i="22"/>
  <c r="G229" i="22"/>
  <c r="F235" i="22"/>
  <c r="F110" i="22"/>
  <c r="A7" i="21"/>
  <c r="K6" i="21"/>
  <c r="E270" i="21"/>
  <c r="G234" i="21"/>
  <c r="AI92" i="21"/>
  <c r="AH92" i="21"/>
  <c r="F235" i="21"/>
  <c r="H229" i="21"/>
  <c r="K6" i="20"/>
  <c r="AI92" i="20"/>
  <c r="AH92" i="20"/>
  <c r="I229" i="20"/>
  <c r="F270" i="20"/>
  <c r="H234" i="20"/>
  <c r="A7" i="20"/>
  <c r="AE5" i="19"/>
  <c r="AC5" i="19"/>
  <c r="AB5" i="19"/>
  <c r="Y5" i="19"/>
  <c r="T5" i="19"/>
  <c r="U89" i="19"/>
  <c r="U91" i="19" s="1"/>
  <c r="U7" i="19" s="1"/>
  <c r="S5" i="19"/>
  <c r="S89" i="19"/>
  <c r="S91" i="19" s="1"/>
  <c r="AK249" i="19" s="1"/>
  <c r="O5" i="19"/>
  <c r="R5" i="19"/>
  <c r="Q89" i="19"/>
  <c r="Q91" i="19" s="1"/>
  <c r="Q7" i="19" s="1"/>
  <c r="Y89" i="19"/>
  <c r="Y91" i="19" s="1"/>
  <c r="Y7" i="19" s="1"/>
  <c r="AG89" i="19"/>
  <c r="T89" i="19"/>
  <c r="T91" i="19" s="1"/>
  <c r="AL249" i="19" s="1"/>
  <c r="AB89" i="19"/>
  <c r="AB91" i="19" s="1"/>
  <c r="AB92" i="19" s="1"/>
  <c r="E229" i="19"/>
  <c r="D110" i="19"/>
  <c r="AD89" i="19"/>
  <c r="AD91" i="19" s="1"/>
  <c r="AV249" i="19" s="1"/>
  <c r="AC89" i="19"/>
  <c r="AC91" i="19" s="1"/>
  <c r="AU249" i="19" s="1"/>
  <c r="AE89" i="19"/>
  <c r="AE91" i="19" s="1"/>
  <c r="AE7" i="19" s="1"/>
  <c r="Z5" i="19"/>
  <c r="AA5" i="19"/>
  <c r="P89" i="19"/>
  <c r="P91" i="19" s="1"/>
  <c r="P7" i="19" s="1"/>
  <c r="AF89" i="19"/>
  <c r="AF91" i="19" s="1"/>
  <c r="AF7" i="19" s="1"/>
  <c r="AG91" i="19"/>
  <c r="R89" i="19"/>
  <c r="R91" i="19" s="1"/>
  <c r="R7" i="19" s="1"/>
  <c r="Z89" i="19"/>
  <c r="Z91" i="19" s="1"/>
  <c r="Z7" i="19" s="1"/>
  <c r="O89" i="19"/>
  <c r="O91" i="19" s="1"/>
  <c r="O7" i="19" s="1"/>
  <c r="N100" i="19"/>
  <c r="N89" i="19"/>
  <c r="N91" i="19" s="1"/>
  <c r="L5" i="19"/>
  <c r="M89" i="19"/>
  <c r="M91" i="19" s="1"/>
  <c r="M7" i="19" s="1"/>
  <c r="K5" i="19"/>
  <c r="AI72" i="19"/>
  <c r="I5" i="19"/>
  <c r="H100" i="19"/>
  <c r="AH100" i="19" s="1"/>
  <c r="J89" i="19"/>
  <c r="J91" i="19" s="1"/>
  <c r="J92" i="19" s="1"/>
  <c r="J5" i="19"/>
  <c r="K89" i="19"/>
  <c r="K91" i="19" s="1"/>
  <c r="K7" i="19" s="1"/>
  <c r="F89" i="19"/>
  <c r="F91" i="19" s="1"/>
  <c r="F7" i="19" s="1"/>
  <c r="E5" i="19"/>
  <c r="I89" i="19"/>
  <c r="I91" i="19" s="1"/>
  <c r="AA249" i="19" s="1"/>
  <c r="D5" i="19"/>
  <c r="AH68" i="19"/>
  <c r="E89" i="19"/>
  <c r="E91" i="19" s="1"/>
  <c r="E7" i="19" s="1"/>
  <c r="L89" i="19"/>
  <c r="L91" i="19" s="1"/>
  <c r="AD249" i="19" s="1"/>
  <c r="G89" i="19"/>
  <c r="G91" i="19" s="1"/>
  <c r="H89" i="19"/>
  <c r="H91" i="19" s="1"/>
  <c r="Z249" i="19" s="1"/>
  <c r="D89" i="19"/>
  <c r="D91" i="19" s="1"/>
  <c r="D7" i="19" s="1"/>
  <c r="C5" i="19"/>
  <c r="C89" i="19"/>
  <c r="C91" i="19" s="1"/>
  <c r="C7" i="19" s="1"/>
  <c r="B5" i="19"/>
  <c r="AI54" i="19"/>
  <c r="AF5" i="19"/>
  <c r="AH72" i="19"/>
  <c r="B89" i="19"/>
  <c r="B91" i="19" s="1"/>
  <c r="AI68" i="19"/>
  <c r="X7" i="19"/>
  <c r="AP249" i="19"/>
  <c r="AG6" i="19"/>
  <c r="AF249" i="19"/>
  <c r="N7" i="19"/>
  <c r="N92" i="19"/>
  <c r="AN249" i="19"/>
  <c r="V7" i="19"/>
  <c r="S92" i="19"/>
  <c r="S7" i="19"/>
  <c r="W7" i="19"/>
  <c r="AO249" i="19"/>
  <c r="AM249" i="19"/>
  <c r="U92" i="19"/>
  <c r="J232" i="19"/>
  <c r="K232" i="19" s="1"/>
  <c r="L232" i="19" s="1"/>
  <c r="M232" i="19" s="1"/>
  <c r="N232" i="19" s="1"/>
  <c r="O232" i="19" s="1"/>
  <c r="P232" i="19" s="1"/>
  <c r="AI100" i="19"/>
  <c r="AS249" i="19"/>
  <c r="F5" i="19"/>
  <c r="N5" i="19"/>
  <c r="V5" i="19"/>
  <c r="AD5" i="19"/>
  <c r="E235" i="19"/>
  <c r="D246" i="19"/>
  <c r="H5" i="19"/>
  <c r="P5" i="19"/>
  <c r="X5" i="19"/>
  <c r="AH84" i="19"/>
  <c r="F234" i="19"/>
  <c r="AH50" i="19"/>
  <c r="AH54" i="19"/>
  <c r="AI84" i="19"/>
  <c r="AI50" i="19"/>
  <c r="B235" i="19"/>
  <c r="AD5" i="18"/>
  <c r="AE89" i="18"/>
  <c r="AE91" i="18" s="1"/>
  <c r="AC5" i="18"/>
  <c r="AD89" i="18"/>
  <c r="AD91" i="18" s="1"/>
  <c r="AV249" i="18" s="1"/>
  <c r="AB5" i="18"/>
  <c r="AC89" i="18"/>
  <c r="AC91" i="18" s="1"/>
  <c r="AA5" i="18"/>
  <c r="AA89" i="18"/>
  <c r="AA91" i="18" s="1"/>
  <c r="Y5" i="18"/>
  <c r="W89" i="18"/>
  <c r="W91" i="18" s="1"/>
  <c r="V5" i="18"/>
  <c r="U5" i="18"/>
  <c r="V89" i="18"/>
  <c r="V91" i="18" s="1"/>
  <c r="T5" i="18"/>
  <c r="U89" i="18"/>
  <c r="U91" i="18" s="1"/>
  <c r="U92" i="18" s="1"/>
  <c r="X89" i="18"/>
  <c r="X91" i="18" s="1"/>
  <c r="X92" i="18" s="1"/>
  <c r="AF89" i="18"/>
  <c r="AF91" i="18" s="1"/>
  <c r="E229" i="18"/>
  <c r="D235" i="18"/>
  <c r="Y89" i="18"/>
  <c r="Y91" i="18" s="1"/>
  <c r="AG89" i="18"/>
  <c r="Z89" i="18"/>
  <c r="Z91" i="18" s="1"/>
  <c r="AR249" i="18" s="1"/>
  <c r="AG91" i="18"/>
  <c r="AE5" i="18"/>
  <c r="W5" i="18"/>
  <c r="AB89" i="18"/>
  <c r="AB91" i="18" s="1"/>
  <c r="S5" i="18"/>
  <c r="T89" i="18"/>
  <c r="T91" i="18" s="1"/>
  <c r="R5" i="18"/>
  <c r="S89" i="18"/>
  <c r="S91" i="18" s="1"/>
  <c r="S7" i="18" s="1"/>
  <c r="Q5" i="18"/>
  <c r="R89" i="18"/>
  <c r="R91" i="18" s="1"/>
  <c r="Q89" i="18"/>
  <c r="Q91" i="18" s="1"/>
  <c r="O5" i="18"/>
  <c r="AI72" i="18"/>
  <c r="AH72" i="18"/>
  <c r="P89" i="18"/>
  <c r="P91" i="18" s="1"/>
  <c r="M5" i="18"/>
  <c r="N5" i="18"/>
  <c r="O89" i="18"/>
  <c r="O91" i="18" s="1"/>
  <c r="N89" i="18"/>
  <c r="N91" i="18" s="1"/>
  <c r="L5" i="18"/>
  <c r="M89" i="18"/>
  <c r="M91" i="18" s="1"/>
  <c r="M92" i="18" s="1"/>
  <c r="L89" i="18"/>
  <c r="L91" i="18" s="1"/>
  <c r="J5" i="18"/>
  <c r="K89" i="18"/>
  <c r="K91" i="18" s="1"/>
  <c r="I5" i="18"/>
  <c r="J89" i="18"/>
  <c r="J91" i="18" s="1"/>
  <c r="AB249" i="18" s="1"/>
  <c r="I89" i="18"/>
  <c r="I91" i="18" s="1"/>
  <c r="AA249" i="18" s="1"/>
  <c r="G5" i="18"/>
  <c r="H89" i="18"/>
  <c r="H91" i="18" s="1"/>
  <c r="F5" i="18"/>
  <c r="G89" i="18"/>
  <c r="G91" i="18" s="1"/>
  <c r="G92" i="18" s="1"/>
  <c r="F89" i="18"/>
  <c r="F91" i="18" s="1"/>
  <c r="X249" i="18" s="1"/>
  <c r="E5" i="18"/>
  <c r="D5" i="18"/>
  <c r="AI68" i="18"/>
  <c r="E89" i="18"/>
  <c r="E91" i="18" s="1"/>
  <c r="E92" i="18" s="1"/>
  <c r="C5" i="18"/>
  <c r="D89" i="18"/>
  <c r="D91" i="18" s="1"/>
  <c r="D7" i="18" s="1"/>
  <c r="AH54" i="18"/>
  <c r="B5" i="18"/>
  <c r="C89" i="18"/>
  <c r="C91" i="18" s="1"/>
  <c r="U249" i="18" s="1"/>
  <c r="AH68" i="18"/>
  <c r="AI54" i="18"/>
  <c r="AF5" i="18"/>
  <c r="B89" i="18"/>
  <c r="B91" i="18" s="1"/>
  <c r="S246" i="18"/>
  <c r="R7" i="18"/>
  <c r="R92" i="18"/>
  <c r="AJ249" i="18"/>
  <c r="AB92" i="18"/>
  <c r="AT249" i="18"/>
  <c r="AB7" i="18"/>
  <c r="S92" i="18"/>
  <c r="AK249" i="18"/>
  <c r="L92" i="18"/>
  <c r="AD249" i="18"/>
  <c r="L7" i="18"/>
  <c r="T92" i="18"/>
  <c r="AL249" i="18"/>
  <c r="T7" i="18"/>
  <c r="E235" i="18"/>
  <c r="AN249" i="18"/>
  <c r="V7" i="18"/>
  <c r="V92" i="18"/>
  <c r="AC92" i="18"/>
  <c r="AU249" i="18"/>
  <c r="AC7" i="18"/>
  <c r="J232" i="18"/>
  <c r="K232" i="18" s="1"/>
  <c r="L232" i="18" s="1"/>
  <c r="M232" i="18" s="1"/>
  <c r="N232" i="18" s="1"/>
  <c r="O232" i="18" s="1"/>
  <c r="P232" i="18" s="1"/>
  <c r="AA7" i="18"/>
  <c r="AA92" i="18"/>
  <c r="AS249" i="18"/>
  <c r="AO249" i="18"/>
  <c r="W7" i="18"/>
  <c r="W92" i="18"/>
  <c r="AW249" i="18"/>
  <c r="AE92" i="18"/>
  <c r="AE7" i="18"/>
  <c r="K7" i="18"/>
  <c r="K92" i="18"/>
  <c r="AC249" i="18"/>
  <c r="AF249" i="18"/>
  <c r="N7" i="18"/>
  <c r="N92" i="18"/>
  <c r="P7" i="18"/>
  <c r="P92" i="18"/>
  <c r="AH249" i="18"/>
  <c r="AF7" i="18"/>
  <c r="AF92" i="18"/>
  <c r="AX249" i="18"/>
  <c r="AG249" i="18"/>
  <c r="O7" i="18"/>
  <c r="O92" i="18"/>
  <c r="Q7" i="18"/>
  <c r="Q92" i="18"/>
  <c r="AI249" i="18"/>
  <c r="Y7" i="18"/>
  <c r="Y92" i="18"/>
  <c r="AQ249" i="18"/>
  <c r="G230" i="18"/>
  <c r="H230" i="18" s="1"/>
  <c r="I230" i="18" s="1"/>
  <c r="J230" i="18" s="1"/>
  <c r="K230" i="18" s="1"/>
  <c r="L230" i="18" s="1"/>
  <c r="M230" i="18" s="1"/>
  <c r="N230" i="18" s="1"/>
  <c r="O230" i="18" s="1"/>
  <c r="P230" i="18" s="1"/>
  <c r="P5" i="18"/>
  <c r="X5" i="18"/>
  <c r="AH84" i="18"/>
  <c r="I100" i="18"/>
  <c r="AH100" i="18" s="1"/>
  <c r="F234" i="18"/>
  <c r="AH50" i="18"/>
  <c r="AI84" i="18"/>
  <c r="AI50" i="18"/>
  <c r="B235" i="18"/>
  <c r="D113" i="17"/>
  <c r="D50" i="17"/>
  <c r="D54" i="17"/>
  <c r="D68" i="17"/>
  <c r="D84" i="17"/>
  <c r="C5" i="17" s="1"/>
  <c r="C113" i="17"/>
  <c r="C50" i="17"/>
  <c r="B113" i="17"/>
  <c r="B110" i="17"/>
  <c r="B84" i="17"/>
  <c r="B100" i="17" s="1"/>
  <c r="B72" i="17"/>
  <c r="B68" i="17"/>
  <c r="B54" i="17"/>
  <c r="B50" i="17"/>
  <c r="AF274" i="17"/>
  <c r="AE274" i="17"/>
  <c r="AD274" i="17"/>
  <c r="AC274" i="17"/>
  <c r="AB274" i="17"/>
  <c r="AA274" i="17"/>
  <c r="Z274" i="17"/>
  <c r="Y274" i="17"/>
  <c r="X274" i="17"/>
  <c r="W274" i="17"/>
  <c r="V274" i="17"/>
  <c r="U274" i="17"/>
  <c r="T274" i="17"/>
  <c r="S274" i="17"/>
  <c r="R274" i="17"/>
  <c r="Q274" i="17"/>
  <c r="P274" i="17"/>
  <c r="O274" i="17"/>
  <c r="N274" i="17"/>
  <c r="M274" i="17"/>
  <c r="L274" i="17"/>
  <c r="K274" i="17"/>
  <c r="J274" i="17"/>
  <c r="I274" i="17"/>
  <c r="H274" i="17"/>
  <c r="G274" i="17"/>
  <c r="F274" i="17"/>
  <c r="E274" i="17"/>
  <c r="D274" i="17"/>
  <c r="C274" i="17"/>
  <c r="B274" i="17"/>
  <c r="A274" i="17"/>
  <c r="AF273" i="17"/>
  <c r="AE273" i="17"/>
  <c r="AD273" i="17"/>
  <c r="AC273" i="17"/>
  <c r="AB273" i="17"/>
  <c r="AA273" i="17"/>
  <c r="Z273" i="17"/>
  <c r="Y273" i="17"/>
  <c r="X273" i="17"/>
  <c r="W273" i="17"/>
  <c r="V273" i="17"/>
  <c r="U273" i="17"/>
  <c r="T273" i="17"/>
  <c r="S273" i="17"/>
  <c r="R273" i="17"/>
  <c r="Q273" i="17"/>
  <c r="P273" i="17"/>
  <c r="O273" i="17"/>
  <c r="N273" i="17"/>
  <c r="M273" i="17"/>
  <c r="L273" i="17"/>
  <c r="K273" i="17"/>
  <c r="J273" i="17"/>
  <c r="I273" i="17"/>
  <c r="H273" i="17"/>
  <c r="G273" i="17"/>
  <c r="F273" i="17"/>
  <c r="E273" i="17"/>
  <c r="D273" i="17"/>
  <c r="C273" i="17"/>
  <c r="B273" i="17"/>
  <c r="A273" i="17"/>
  <c r="AF272" i="17"/>
  <c r="AE272" i="17"/>
  <c r="AD272" i="17"/>
  <c r="AC272" i="17"/>
  <c r="AB272" i="17"/>
  <c r="AA272" i="17"/>
  <c r="Z272" i="17"/>
  <c r="Y272" i="17"/>
  <c r="X272" i="17"/>
  <c r="W272" i="17"/>
  <c r="V272" i="17"/>
  <c r="U272" i="17"/>
  <c r="T272" i="17"/>
  <c r="S272" i="17"/>
  <c r="R272" i="17"/>
  <c r="Q272" i="17"/>
  <c r="P272" i="17"/>
  <c r="O272" i="17"/>
  <c r="N272" i="17"/>
  <c r="M272" i="17"/>
  <c r="L272" i="17"/>
  <c r="K272" i="17"/>
  <c r="J272" i="17"/>
  <c r="I272" i="17"/>
  <c r="H272" i="17"/>
  <c r="G272" i="17"/>
  <c r="F272" i="17"/>
  <c r="E272" i="17"/>
  <c r="D272" i="17"/>
  <c r="C272" i="17"/>
  <c r="B272" i="17"/>
  <c r="A272" i="17"/>
  <c r="AF271" i="17"/>
  <c r="AE271" i="17"/>
  <c r="AD271" i="17"/>
  <c r="AC271" i="17"/>
  <c r="AB271" i="17"/>
  <c r="AA271" i="17"/>
  <c r="Z271" i="17"/>
  <c r="Y271" i="17"/>
  <c r="X271" i="17"/>
  <c r="W271" i="17"/>
  <c r="V271" i="17"/>
  <c r="U271" i="17"/>
  <c r="T271" i="17"/>
  <c r="S271" i="17"/>
  <c r="R271" i="17"/>
  <c r="Q271" i="17"/>
  <c r="P271" i="17"/>
  <c r="O271" i="17"/>
  <c r="N271" i="17"/>
  <c r="M271" i="17"/>
  <c r="L271" i="17"/>
  <c r="K271" i="17"/>
  <c r="J271" i="17"/>
  <c r="I271" i="17"/>
  <c r="H271" i="17"/>
  <c r="G271" i="17"/>
  <c r="F271" i="17"/>
  <c r="E271" i="17"/>
  <c r="D271" i="17"/>
  <c r="C271" i="17"/>
  <c r="B271" i="17"/>
  <c r="A271" i="17"/>
  <c r="AE270" i="17"/>
  <c r="AD270" i="17"/>
  <c r="AC270" i="17"/>
  <c r="AB270" i="17"/>
  <c r="AA270" i="17"/>
  <c r="Z270" i="17"/>
  <c r="Y270" i="17"/>
  <c r="X270" i="17"/>
  <c r="W270" i="17"/>
  <c r="V270" i="17"/>
  <c r="U270" i="17"/>
  <c r="T270" i="17"/>
  <c r="S270" i="17"/>
  <c r="R270" i="17"/>
  <c r="Q270" i="17"/>
  <c r="P270" i="17"/>
  <c r="B270" i="17"/>
  <c r="S245" i="17"/>
  <c r="AG235" i="17"/>
  <c r="AF235" i="17"/>
  <c r="AE235" i="17"/>
  <c r="AD235" i="17"/>
  <c r="AC235" i="17"/>
  <c r="AB235" i="17"/>
  <c r="AA235" i="17"/>
  <c r="Z235" i="17"/>
  <c r="Y235" i="17"/>
  <c r="X235" i="17"/>
  <c r="W235" i="17"/>
  <c r="V235" i="17"/>
  <c r="U235" i="17"/>
  <c r="T235" i="17"/>
  <c r="S235" i="17"/>
  <c r="R235" i="17"/>
  <c r="Q235" i="17"/>
  <c r="C235" i="17"/>
  <c r="D234" i="17"/>
  <c r="C270" i="17" s="1"/>
  <c r="B234" i="17"/>
  <c r="AF270" i="17" s="1"/>
  <c r="F233" i="17"/>
  <c r="G233" i="17" s="1"/>
  <c r="H233" i="17" s="1"/>
  <c r="I233" i="17" s="1"/>
  <c r="J233" i="17" s="1"/>
  <c r="K233" i="17" s="1"/>
  <c r="L233" i="17" s="1"/>
  <c r="M233" i="17" s="1"/>
  <c r="N233" i="17" s="1"/>
  <c r="O233" i="17" s="1"/>
  <c r="P233" i="17" s="1"/>
  <c r="E233" i="17"/>
  <c r="D233" i="17"/>
  <c r="B233" i="17"/>
  <c r="D232" i="17"/>
  <c r="E232" i="17" s="1"/>
  <c r="F232" i="17" s="1"/>
  <c r="G232" i="17" s="1"/>
  <c r="H232" i="17" s="1"/>
  <c r="I232" i="17" s="1"/>
  <c r="B232" i="17"/>
  <c r="F231" i="17"/>
  <c r="G231" i="17" s="1"/>
  <c r="H231" i="17" s="1"/>
  <c r="E231" i="17"/>
  <c r="D231" i="17"/>
  <c r="B231" i="17"/>
  <c r="D230" i="17"/>
  <c r="D235" i="17" s="1"/>
  <c r="B230" i="17"/>
  <c r="F229" i="17"/>
  <c r="G229" i="17" s="1"/>
  <c r="E229" i="17"/>
  <c r="D229" i="17"/>
  <c r="B229" i="17"/>
  <c r="AG227" i="17"/>
  <c r="AF227" i="17"/>
  <c r="AE227" i="17"/>
  <c r="AD227" i="17"/>
  <c r="AC227" i="17"/>
  <c r="AB227" i="17"/>
  <c r="AA227" i="17"/>
  <c r="Z227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AI120" i="17"/>
  <c r="AH120" i="17"/>
  <c r="AI119" i="17"/>
  <c r="AH119" i="17"/>
  <c r="AI118" i="17"/>
  <c r="AH118" i="17"/>
  <c r="AI117" i="17"/>
  <c r="AH117" i="17"/>
  <c r="AI116" i="17"/>
  <c r="AH116" i="17"/>
  <c r="AI115" i="17"/>
  <c r="AH115" i="17"/>
  <c r="AI114" i="17"/>
  <c r="AH114" i="17"/>
  <c r="AI113" i="17"/>
  <c r="AH113" i="17"/>
  <c r="AI112" i="17"/>
  <c r="AH112" i="17"/>
  <c r="AI111" i="17"/>
  <c r="AH111" i="17"/>
  <c r="AF110" i="17"/>
  <c r="AE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D110" i="17"/>
  <c r="C110" i="17"/>
  <c r="AI109" i="17"/>
  <c r="AH109" i="17"/>
  <c r="AI108" i="17"/>
  <c r="AH108" i="17"/>
  <c r="AI107" i="17"/>
  <c r="AH107" i="17"/>
  <c r="AI106" i="17"/>
  <c r="AH106" i="17"/>
  <c r="AI105" i="17"/>
  <c r="AH105" i="17"/>
  <c r="AI104" i="17"/>
  <c r="AH104" i="17"/>
  <c r="AI103" i="17"/>
  <c r="AH103" i="17"/>
  <c r="AI102" i="17"/>
  <c r="AH102" i="17"/>
  <c r="AI101" i="17"/>
  <c r="AH101" i="17"/>
  <c r="AI99" i="17"/>
  <c r="AH99" i="17"/>
  <c r="AI98" i="17"/>
  <c r="AH98" i="17"/>
  <c r="AI97" i="17"/>
  <c r="AH97" i="17"/>
  <c r="AI96" i="17"/>
  <c r="AH96" i="17"/>
  <c r="AI95" i="17"/>
  <c r="AH95" i="17"/>
  <c r="AI94" i="17"/>
  <c r="AH94" i="17"/>
  <c r="AI93" i="17"/>
  <c r="AH93" i="17"/>
  <c r="AI90" i="17"/>
  <c r="AH90" i="17"/>
  <c r="AI88" i="17"/>
  <c r="AH88" i="17"/>
  <c r="AG88" i="17"/>
  <c r="AI87" i="17"/>
  <c r="AH87" i="17"/>
  <c r="AI86" i="17"/>
  <c r="AH86" i="17"/>
  <c r="AI85" i="17"/>
  <c r="AH85" i="17"/>
  <c r="AN84" i="17"/>
  <c r="AG84" i="17"/>
  <c r="AF84" i="17"/>
  <c r="AE5" i="17" s="1"/>
  <c r="AE84" i="17"/>
  <c r="AE100" i="17" s="1"/>
  <c r="AD84" i="17"/>
  <c r="AD100" i="17" s="1"/>
  <c r="AC84" i="17"/>
  <c r="AC100" i="17" s="1"/>
  <c r="AB84" i="17"/>
  <c r="AB100" i="17" s="1"/>
  <c r="AA84" i="17"/>
  <c r="AA100" i="17" s="1"/>
  <c r="Z84" i="17"/>
  <c r="Z100" i="17" s="1"/>
  <c r="Y84" i="17"/>
  <c r="X84" i="17"/>
  <c r="X100" i="17" s="1"/>
  <c r="W84" i="17"/>
  <c r="W100" i="17" s="1"/>
  <c r="V84" i="17"/>
  <c r="V100" i="17" s="1"/>
  <c r="U84" i="17"/>
  <c r="U100" i="17" s="1"/>
  <c r="T84" i="17"/>
  <c r="T100" i="17" s="1"/>
  <c r="S84" i="17"/>
  <c r="S100" i="17" s="1"/>
  <c r="R84" i="17"/>
  <c r="R100" i="17" s="1"/>
  <c r="Q84" i="17"/>
  <c r="P84" i="17"/>
  <c r="O5" i="17" s="1"/>
  <c r="O84" i="17"/>
  <c r="O100" i="17" s="1"/>
  <c r="N84" i="17"/>
  <c r="N100" i="17" s="1"/>
  <c r="M84" i="17"/>
  <c r="M100" i="17" s="1"/>
  <c r="L84" i="17"/>
  <c r="L100" i="17" s="1"/>
  <c r="K84" i="17"/>
  <c r="K100" i="17" s="1"/>
  <c r="J84" i="17"/>
  <c r="J100" i="17" s="1"/>
  <c r="I84" i="17"/>
  <c r="H84" i="17"/>
  <c r="H100" i="17" s="1"/>
  <c r="G84" i="17"/>
  <c r="G100" i="17" s="1"/>
  <c r="F84" i="17"/>
  <c r="F100" i="17" s="1"/>
  <c r="E84" i="17"/>
  <c r="E100" i="17" s="1"/>
  <c r="C84" i="17"/>
  <c r="C100" i="17" s="1"/>
  <c r="AN83" i="17"/>
  <c r="AI83" i="17"/>
  <c r="AH83" i="17"/>
  <c r="AN82" i="17"/>
  <c r="AI82" i="17"/>
  <c r="AH82" i="17"/>
  <c r="AN81" i="17"/>
  <c r="AI81" i="17"/>
  <c r="AH81" i="17"/>
  <c r="AI80" i="17"/>
  <c r="AH80" i="17"/>
  <c r="AI79" i="17"/>
  <c r="AH79" i="17"/>
  <c r="AI78" i="17"/>
  <c r="AH78" i="17"/>
  <c r="AI77" i="17"/>
  <c r="AH77" i="17"/>
  <c r="AI76" i="17"/>
  <c r="AH76" i="17"/>
  <c r="AI75" i="17"/>
  <c r="AH75" i="17"/>
  <c r="AI74" i="17"/>
  <c r="AH74" i="17"/>
  <c r="AI73" i="17"/>
  <c r="AH73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AI71" i="17"/>
  <c r="AH71" i="17"/>
  <c r="AI70" i="17"/>
  <c r="AH70" i="17"/>
  <c r="AI69" i="17"/>
  <c r="AH69" i="17"/>
  <c r="AF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C68" i="17"/>
  <c r="AI67" i="17"/>
  <c r="AH67" i="17"/>
  <c r="AG67" i="17"/>
  <c r="AG68" i="17" s="1"/>
  <c r="AI66" i="17"/>
  <c r="AH66" i="17"/>
  <c r="AI65" i="17"/>
  <c r="AH65" i="17"/>
  <c r="AI64" i="17"/>
  <c r="AH64" i="17"/>
  <c r="AI63" i="17"/>
  <c r="AH63" i="17"/>
  <c r="AI62" i="17"/>
  <c r="AH62" i="17"/>
  <c r="AI61" i="17"/>
  <c r="AH61" i="17"/>
  <c r="AI60" i="17"/>
  <c r="AH60" i="17"/>
  <c r="AI59" i="17"/>
  <c r="AH59" i="17"/>
  <c r="AI58" i="17"/>
  <c r="AH58" i="17"/>
  <c r="AI57" i="17"/>
  <c r="AH57" i="17"/>
  <c r="AI56" i="17"/>
  <c r="AH56" i="17"/>
  <c r="AI55" i="17"/>
  <c r="AH55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C54" i="17"/>
  <c r="AI53" i="17"/>
  <c r="AH53" i="17"/>
  <c r="AI52" i="17"/>
  <c r="AH52" i="17"/>
  <c r="AI51" i="17"/>
  <c r="AH51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AI49" i="17"/>
  <c r="AH49" i="17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S5" i="17"/>
  <c r="AG4" i="17"/>
  <c r="K4" i="17"/>
  <c r="E4" i="17"/>
  <c r="H4" i="17" s="1"/>
  <c r="B4" i="17"/>
  <c r="S246" i="17" s="1"/>
  <c r="AG2" i="17"/>
  <c r="AE113" i="16"/>
  <c r="AF113" i="16"/>
  <c r="AE50" i="16"/>
  <c r="AB113" i="16"/>
  <c r="Z50" i="16"/>
  <c r="W72" i="16"/>
  <c r="L72" i="16"/>
  <c r="L113" i="16"/>
  <c r="K113" i="16"/>
  <c r="J113" i="16"/>
  <c r="I113" i="16"/>
  <c r="H113" i="16"/>
  <c r="G113" i="16"/>
  <c r="AF274" i="16"/>
  <c r="AE274" i="16"/>
  <c r="AD274" i="16"/>
  <c r="AC274" i="16"/>
  <c r="AB274" i="16"/>
  <c r="AA274" i="16"/>
  <c r="Z274" i="16"/>
  <c r="Y274" i="16"/>
  <c r="X274" i="16"/>
  <c r="W274" i="16"/>
  <c r="V274" i="16"/>
  <c r="U274" i="16"/>
  <c r="T274" i="16"/>
  <c r="S274" i="16"/>
  <c r="R274" i="16"/>
  <c r="Q274" i="16"/>
  <c r="P274" i="16"/>
  <c r="O274" i="16"/>
  <c r="N274" i="16"/>
  <c r="M274" i="16"/>
  <c r="L274" i="16"/>
  <c r="K274" i="16"/>
  <c r="J274" i="16"/>
  <c r="I274" i="16"/>
  <c r="H274" i="16"/>
  <c r="G274" i="16"/>
  <c r="F274" i="16"/>
  <c r="E274" i="16"/>
  <c r="D274" i="16"/>
  <c r="C274" i="16"/>
  <c r="B274" i="16"/>
  <c r="A274" i="16"/>
  <c r="AF273" i="16"/>
  <c r="AE273" i="16"/>
  <c r="AD273" i="16"/>
  <c r="AC273" i="16"/>
  <c r="AB273" i="16"/>
  <c r="AA273" i="16"/>
  <c r="Z273" i="16"/>
  <c r="Y273" i="16"/>
  <c r="X273" i="16"/>
  <c r="W273" i="16"/>
  <c r="V273" i="16"/>
  <c r="U273" i="16"/>
  <c r="T273" i="16"/>
  <c r="S273" i="16"/>
  <c r="R273" i="16"/>
  <c r="Q273" i="16"/>
  <c r="P273" i="16"/>
  <c r="O273" i="16"/>
  <c r="N273" i="16"/>
  <c r="M273" i="16"/>
  <c r="L273" i="16"/>
  <c r="K273" i="16"/>
  <c r="J273" i="16"/>
  <c r="I273" i="16"/>
  <c r="H273" i="16"/>
  <c r="G273" i="16"/>
  <c r="F273" i="16"/>
  <c r="E273" i="16"/>
  <c r="D273" i="16"/>
  <c r="C273" i="16"/>
  <c r="B273" i="16"/>
  <c r="A273" i="16"/>
  <c r="AF272" i="16"/>
  <c r="AE272" i="16"/>
  <c r="AD272" i="16"/>
  <c r="AC272" i="16"/>
  <c r="AB272" i="16"/>
  <c r="AA272" i="16"/>
  <c r="Z272" i="16"/>
  <c r="Y272" i="16"/>
  <c r="X272" i="16"/>
  <c r="W272" i="16"/>
  <c r="V272" i="16"/>
  <c r="U272" i="16"/>
  <c r="T272" i="16"/>
  <c r="S272" i="16"/>
  <c r="R272" i="16"/>
  <c r="Q272" i="16"/>
  <c r="P272" i="16"/>
  <c r="O272" i="16"/>
  <c r="N272" i="16"/>
  <c r="M272" i="16"/>
  <c r="L272" i="16"/>
  <c r="K272" i="16"/>
  <c r="J272" i="16"/>
  <c r="I272" i="16"/>
  <c r="H272" i="16"/>
  <c r="G272" i="16"/>
  <c r="F272" i="16"/>
  <c r="E272" i="16"/>
  <c r="D272" i="16"/>
  <c r="C272" i="16"/>
  <c r="B272" i="16"/>
  <c r="A272" i="16"/>
  <c r="AF271" i="16"/>
  <c r="AE271" i="16"/>
  <c r="AD271" i="16"/>
  <c r="AC271" i="16"/>
  <c r="AB271" i="16"/>
  <c r="AA271" i="16"/>
  <c r="Z271" i="16"/>
  <c r="Y271" i="16"/>
  <c r="X271" i="16"/>
  <c r="W271" i="16"/>
  <c r="V271" i="16"/>
  <c r="U271" i="16"/>
  <c r="T271" i="16"/>
  <c r="S271" i="16"/>
  <c r="R271" i="16"/>
  <c r="Q271" i="16"/>
  <c r="P271" i="16"/>
  <c r="O271" i="16"/>
  <c r="N271" i="16"/>
  <c r="M271" i="16"/>
  <c r="L271" i="16"/>
  <c r="K271" i="16"/>
  <c r="J271" i="16"/>
  <c r="I271" i="16"/>
  <c r="H271" i="16"/>
  <c r="G271" i="16"/>
  <c r="F271" i="16"/>
  <c r="E271" i="16"/>
  <c r="D271" i="16"/>
  <c r="C271" i="16"/>
  <c r="B271" i="16"/>
  <c r="A271" i="16"/>
  <c r="AE270" i="16"/>
  <c r="AD270" i="16"/>
  <c r="AC270" i="16"/>
  <c r="AB270" i="16"/>
  <c r="AA270" i="16"/>
  <c r="Z270" i="16"/>
  <c r="Y270" i="16"/>
  <c r="X270" i="16"/>
  <c r="W270" i="16"/>
  <c r="V270" i="16"/>
  <c r="U270" i="16"/>
  <c r="T270" i="16"/>
  <c r="S270" i="16"/>
  <c r="R270" i="16"/>
  <c r="Q270" i="16"/>
  <c r="P270" i="16"/>
  <c r="C270" i="16"/>
  <c r="B270" i="16"/>
  <c r="S245" i="16"/>
  <c r="AG235" i="16"/>
  <c r="AF235" i="16"/>
  <c r="AE235" i="16"/>
  <c r="AD235" i="16"/>
  <c r="AC235" i="16"/>
  <c r="AB235" i="16"/>
  <c r="AA235" i="16"/>
  <c r="Z235" i="16"/>
  <c r="Y235" i="16"/>
  <c r="X235" i="16"/>
  <c r="W235" i="16"/>
  <c r="V235" i="16"/>
  <c r="U235" i="16"/>
  <c r="T235" i="16"/>
  <c r="S235" i="16"/>
  <c r="R235" i="16"/>
  <c r="Q235" i="16"/>
  <c r="C235" i="16"/>
  <c r="E234" i="16"/>
  <c r="F234" i="16" s="1"/>
  <c r="D234" i="16"/>
  <c r="B234" i="16"/>
  <c r="AF270" i="16" s="1"/>
  <c r="D233" i="16"/>
  <c r="E233" i="16" s="1"/>
  <c r="F233" i="16" s="1"/>
  <c r="G233" i="16" s="1"/>
  <c r="H233" i="16" s="1"/>
  <c r="I233" i="16" s="1"/>
  <c r="J233" i="16" s="1"/>
  <c r="K233" i="16" s="1"/>
  <c r="L233" i="16" s="1"/>
  <c r="M233" i="16" s="1"/>
  <c r="N233" i="16" s="1"/>
  <c r="O233" i="16" s="1"/>
  <c r="P233" i="16" s="1"/>
  <c r="B233" i="16"/>
  <c r="D232" i="16"/>
  <c r="E232" i="16" s="1"/>
  <c r="F232" i="16" s="1"/>
  <c r="G232" i="16" s="1"/>
  <c r="H232" i="16" s="1"/>
  <c r="I232" i="16" s="1"/>
  <c r="B232" i="16"/>
  <c r="G231" i="16"/>
  <c r="H231" i="16" s="1"/>
  <c r="F231" i="16"/>
  <c r="E231" i="16"/>
  <c r="D231" i="16"/>
  <c r="B231" i="16"/>
  <c r="E230" i="16"/>
  <c r="F230" i="16" s="1"/>
  <c r="G230" i="16" s="1"/>
  <c r="H230" i="16" s="1"/>
  <c r="I230" i="16" s="1"/>
  <c r="J230" i="16" s="1"/>
  <c r="K230" i="16" s="1"/>
  <c r="L230" i="16" s="1"/>
  <c r="M230" i="16" s="1"/>
  <c r="N230" i="16" s="1"/>
  <c r="O230" i="16" s="1"/>
  <c r="P230" i="16" s="1"/>
  <c r="D230" i="16"/>
  <c r="B230" i="16"/>
  <c r="D229" i="16"/>
  <c r="D235" i="16" s="1"/>
  <c r="B229" i="16"/>
  <c r="AG227" i="16"/>
  <c r="AF227" i="16"/>
  <c r="AE227" i="16"/>
  <c r="AD227" i="16"/>
  <c r="AC227" i="16"/>
  <c r="AB227" i="16"/>
  <c r="AA227" i="16"/>
  <c r="Z227" i="16"/>
  <c r="Y227" i="16"/>
  <c r="X227" i="16"/>
  <c r="W227" i="16"/>
  <c r="V227" i="16"/>
  <c r="U227" i="16"/>
  <c r="T227" i="16"/>
  <c r="S227" i="16"/>
  <c r="R227" i="16"/>
  <c r="Q227" i="16"/>
  <c r="P227" i="16"/>
  <c r="O227" i="16"/>
  <c r="N227" i="16"/>
  <c r="M227" i="16"/>
  <c r="L227" i="16"/>
  <c r="K227" i="16"/>
  <c r="J227" i="16"/>
  <c r="I227" i="16"/>
  <c r="H227" i="16"/>
  <c r="G227" i="16"/>
  <c r="F227" i="16"/>
  <c r="E227" i="16"/>
  <c r="D227" i="16"/>
  <c r="C227" i="16"/>
  <c r="B227" i="16"/>
  <c r="AI120" i="16"/>
  <c r="AH120" i="16"/>
  <c r="AI119" i="16"/>
  <c r="AH119" i="16"/>
  <c r="AI118" i="16"/>
  <c r="AH118" i="16"/>
  <c r="AI117" i="16"/>
  <c r="AH117" i="16"/>
  <c r="AI116" i="16"/>
  <c r="AH116" i="16"/>
  <c r="AI115" i="16"/>
  <c r="AH115" i="16"/>
  <c r="AI114" i="16"/>
  <c r="AH114" i="16"/>
  <c r="AI112" i="16"/>
  <c r="AH112" i="16"/>
  <c r="AI111" i="16"/>
  <c r="AH111" i="16"/>
  <c r="AF110" i="16"/>
  <c r="AE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C110" i="16"/>
  <c r="AI109" i="16"/>
  <c r="AH109" i="16"/>
  <c r="AI108" i="16"/>
  <c r="AH108" i="16"/>
  <c r="AI107" i="16"/>
  <c r="AH107" i="16"/>
  <c r="AI106" i="16"/>
  <c r="AH106" i="16"/>
  <c r="AI105" i="16"/>
  <c r="AH105" i="16"/>
  <c r="AI104" i="16"/>
  <c r="AH104" i="16"/>
  <c r="AI103" i="16"/>
  <c r="AH103" i="16"/>
  <c r="AI102" i="16"/>
  <c r="AH102" i="16"/>
  <c r="AI101" i="16"/>
  <c r="AH101" i="16"/>
  <c r="AI99" i="16"/>
  <c r="AH99" i="16"/>
  <c r="AI98" i="16"/>
  <c r="AH98" i="16"/>
  <c r="AI97" i="16"/>
  <c r="AH97" i="16"/>
  <c r="AI96" i="16"/>
  <c r="AH96" i="16"/>
  <c r="AI95" i="16"/>
  <c r="AH95" i="16"/>
  <c r="AI94" i="16"/>
  <c r="AH94" i="16"/>
  <c r="AI93" i="16"/>
  <c r="AH93" i="16"/>
  <c r="AI90" i="16"/>
  <c r="AH90" i="16"/>
  <c r="AI88" i="16"/>
  <c r="AH88" i="16"/>
  <c r="AG88" i="16"/>
  <c r="AI87" i="16"/>
  <c r="AH87" i="16"/>
  <c r="AI86" i="16"/>
  <c r="AH86" i="16"/>
  <c r="AI85" i="16"/>
  <c r="AH85" i="16"/>
  <c r="AN84" i="16"/>
  <c r="AG84" i="16"/>
  <c r="AF84" i="16"/>
  <c r="AE5" i="16" s="1"/>
  <c r="AE84" i="16"/>
  <c r="AE100" i="16" s="1"/>
  <c r="AD84" i="16"/>
  <c r="AD100" i="16" s="1"/>
  <c r="AC84" i="16"/>
  <c r="AC100" i="16" s="1"/>
  <c r="AB84" i="16"/>
  <c r="AB100" i="16" s="1"/>
  <c r="AA84" i="16"/>
  <c r="AA100" i="16" s="1"/>
  <c r="Z84" i="16"/>
  <c r="Y5" i="16" s="1"/>
  <c r="Y84" i="16"/>
  <c r="X5" i="16" s="1"/>
  <c r="X84" i="16"/>
  <c r="X100" i="16" s="1"/>
  <c r="W84" i="16"/>
  <c r="W100" i="16" s="1"/>
  <c r="V84" i="16"/>
  <c r="V100" i="16" s="1"/>
  <c r="U84" i="16"/>
  <c r="U100" i="16" s="1"/>
  <c r="T84" i="16"/>
  <c r="T100" i="16" s="1"/>
  <c r="S84" i="16"/>
  <c r="S100" i="16" s="1"/>
  <c r="R84" i="16"/>
  <c r="Q5" i="16" s="1"/>
  <c r="Q84" i="16"/>
  <c r="Q100" i="16" s="1"/>
  <c r="P84" i="16"/>
  <c r="P100" i="16" s="1"/>
  <c r="O84" i="16"/>
  <c r="O100" i="16" s="1"/>
  <c r="N84" i="16"/>
  <c r="N100" i="16" s="1"/>
  <c r="M84" i="16"/>
  <c r="M100" i="16" s="1"/>
  <c r="L84" i="16"/>
  <c r="L100" i="16" s="1"/>
  <c r="K84" i="16"/>
  <c r="K100" i="16" s="1"/>
  <c r="J84" i="16"/>
  <c r="I5" i="16" s="1"/>
  <c r="I84" i="16"/>
  <c r="I100" i="16" s="1"/>
  <c r="H84" i="16"/>
  <c r="H100" i="16" s="1"/>
  <c r="G84" i="16"/>
  <c r="G100" i="16" s="1"/>
  <c r="F84" i="16"/>
  <c r="F100" i="16" s="1"/>
  <c r="E84" i="16"/>
  <c r="E100" i="16" s="1"/>
  <c r="D84" i="16"/>
  <c r="D100" i="16" s="1"/>
  <c r="C84" i="16"/>
  <c r="C100" i="16" s="1"/>
  <c r="AN83" i="16"/>
  <c r="AI83" i="16"/>
  <c r="AH83" i="16"/>
  <c r="AN82" i="16"/>
  <c r="AI82" i="16"/>
  <c r="AH82" i="16"/>
  <c r="AN81" i="16"/>
  <c r="AI81" i="16"/>
  <c r="AH81" i="16"/>
  <c r="AI80" i="16"/>
  <c r="AH80" i="16"/>
  <c r="AI79" i="16"/>
  <c r="AH79" i="16"/>
  <c r="AI78" i="16"/>
  <c r="AH78" i="16"/>
  <c r="AI77" i="16"/>
  <c r="AH77" i="16"/>
  <c r="AI76" i="16"/>
  <c r="AH76" i="16"/>
  <c r="AI75" i="16"/>
  <c r="AH75" i="16"/>
  <c r="AI74" i="16"/>
  <c r="AH74" i="16"/>
  <c r="AI73" i="16"/>
  <c r="AH73" i="16"/>
  <c r="AG72" i="16"/>
  <c r="AF72" i="16"/>
  <c r="AE72" i="16"/>
  <c r="AD72" i="16"/>
  <c r="AC72" i="16"/>
  <c r="AB72" i="16"/>
  <c r="AA72" i="16"/>
  <c r="Z72" i="16"/>
  <c r="Y72" i="16"/>
  <c r="X72" i="16"/>
  <c r="V72" i="16"/>
  <c r="U72" i="16"/>
  <c r="T72" i="16"/>
  <c r="S72" i="16"/>
  <c r="R72" i="16"/>
  <c r="Q72" i="16"/>
  <c r="P72" i="16"/>
  <c r="O72" i="16"/>
  <c r="N72" i="16"/>
  <c r="M72" i="16"/>
  <c r="AI71" i="16"/>
  <c r="AH71" i="16"/>
  <c r="AI70" i="16"/>
  <c r="AH70" i="16"/>
  <c r="AI69" i="16"/>
  <c r="AH69" i="16"/>
  <c r="AF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R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68" i="16"/>
  <c r="C68" i="16"/>
  <c r="AI67" i="16"/>
  <c r="AH67" i="16"/>
  <c r="AG67" i="16"/>
  <c r="AG68" i="16" s="1"/>
  <c r="AG3" i="16" s="1"/>
  <c r="AI66" i="16"/>
  <c r="AH66" i="16"/>
  <c r="AI65" i="16"/>
  <c r="AH65" i="16"/>
  <c r="AI64" i="16"/>
  <c r="AH64" i="16"/>
  <c r="AI63" i="16"/>
  <c r="AH63" i="16"/>
  <c r="AI62" i="16"/>
  <c r="AH62" i="16"/>
  <c r="AI61" i="16"/>
  <c r="AH61" i="16"/>
  <c r="AI60" i="16"/>
  <c r="AH60" i="16"/>
  <c r="AI59" i="16"/>
  <c r="AH59" i="16"/>
  <c r="AI58" i="16"/>
  <c r="AH58" i="16"/>
  <c r="AI57" i="16"/>
  <c r="AH57" i="16"/>
  <c r="AI56" i="16"/>
  <c r="AH56" i="16"/>
  <c r="AI55" i="16"/>
  <c r="AH55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AI53" i="16"/>
  <c r="AH53" i="16"/>
  <c r="AI52" i="16"/>
  <c r="AH52" i="16"/>
  <c r="AI51" i="16"/>
  <c r="AH51" i="16"/>
  <c r="AG50" i="16"/>
  <c r="AF50" i="16"/>
  <c r="AD50" i="16"/>
  <c r="AC50" i="16"/>
  <c r="AB50" i="16"/>
  <c r="AA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AI49" i="16"/>
  <c r="AH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F5" i="16"/>
  <c r="U5" i="16"/>
  <c r="N5" i="16"/>
  <c r="M5" i="16"/>
  <c r="AG4" i="16"/>
  <c r="K4" i="16"/>
  <c r="E4" i="16"/>
  <c r="H4" i="16" s="1"/>
  <c r="B4" i="16"/>
  <c r="D246" i="16" s="1"/>
  <c r="AE54" i="15"/>
  <c r="H229" i="22" l="1"/>
  <c r="G110" i="22"/>
  <c r="G235" i="22"/>
  <c r="G270" i="22"/>
  <c r="I234" i="22"/>
  <c r="I229" i="21"/>
  <c r="H110" i="21"/>
  <c r="H235" i="21"/>
  <c r="F270" i="21"/>
  <c r="H234" i="21"/>
  <c r="G235" i="21"/>
  <c r="G270" i="20"/>
  <c r="I234" i="20"/>
  <c r="H235" i="20"/>
  <c r="H110" i="20"/>
  <c r="I110" i="20"/>
  <c r="J229" i="20"/>
  <c r="AX249" i="19"/>
  <c r="AF92" i="19"/>
  <c r="A7" i="19"/>
  <c r="AC92" i="19"/>
  <c r="AC7" i="19"/>
  <c r="AD92" i="19"/>
  <c r="AD7" i="19"/>
  <c r="AQ249" i="19"/>
  <c r="Y92" i="19"/>
  <c r="T92" i="19"/>
  <c r="T7" i="19"/>
  <c r="AJ249" i="19"/>
  <c r="R92" i="19"/>
  <c r="AI249" i="19"/>
  <c r="Q92" i="19"/>
  <c r="AH249" i="19"/>
  <c r="P92" i="19"/>
  <c r="AA7" i="19"/>
  <c r="F229" i="19"/>
  <c r="G229" i="19" s="1"/>
  <c r="E110" i="19"/>
  <c r="AG249" i="19"/>
  <c r="AB7" i="19"/>
  <c r="AR249" i="19"/>
  <c r="AE249" i="19"/>
  <c r="O92" i="19"/>
  <c r="AT249" i="19"/>
  <c r="Z92" i="19"/>
  <c r="AW249" i="19"/>
  <c r="AE92" i="19"/>
  <c r="D92" i="19"/>
  <c r="M92" i="19"/>
  <c r="L92" i="19"/>
  <c r="L7" i="19"/>
  <c r="AC249" i="19"/>
  <c r="K92" i="19"/>
  <c r="J7" i="19"/>
  <c r="AB249" i="19"/>
  <c r="I92" i="19"/>
  <c r="C244" i="19"/>
  <c r="G92" i="19"/>
  <c r="G7" i="19"/>
  <c r="Y249" i="19"/>
  <c r="B244" i="19"/>
  <c r="H92" i="19"/>
  <c r="H7" i="19"/>
  <c r="I7" i="19"/>
  <c r="X249" i="19"/>
  <c r="F92" i="19"/>
  <c r="W249" i="19"/>
  <c r="V249" i="19"/>
  <c r="E92" i="19"/>
  <c r="U249" i="19"/>
  <c r="C92" i="19"/>
  <c r="AH89" i="19"/>
  <c r="AI89" i="19"/>
  <c r="E270" i="19"/>
  <c r="G234" i="19"/>
  <c r="G110" i="19" s="1"/>
  <c r="H229" i="19"/>
  <c r="F235" i="19"/>
  <c r="B7" i="19"/>
  <c r="B92" i="19"/>
  <c r="AI91" i="19"/>
  <c r="T249" i="19"/>
  <c r="AH91" i="19"/>
  <c r="F110" i="19"/>
  <c r="AD92" i="18"/>
  <c r="AD7" i="18"/>
  <c r="U7" i="18"/>
  <c r="AM249" i="18"/>
  <c r="Z7" i="18"/>
  <c r="Z92" i="18"/>
  <c r="X7" i="18"/>
  <c r="AP249" i="18"/>
  <c r="Y249" i="18"/>
  <c r="E110" i="18"/>
  <c r="F229" i="18"/>
  <c r="G229" i="18" s="1"/>
  <c r="H229" i="18" s="1"/>
  <c r="M7" i="18"/>
  <c r="AE249" i="18"/>
  <c r="J92" i="18"/>
  <c r="J7" i="18"/>
  <c r="I92" i="18"/>
  <c r="I7" i="18"/>
  <c r="C244" i="18"/>
  <c r="Z249" i="18"/>
  <c r="H92" i="18"/>
  <c r="H7" i="18"/>
  <c r="B244" i="18"/>
  <c r="G7" i="18"/>
  <c r="F92" i="18"/>
  <c r="F7" i="18"/>
  <c r="C92" i="18"/>
  <c r="E7" i="18"/>
  <c r="W249" i="18"/>
  <c r="AH89" i="18"/>
  <c r="V249" i="18"/>
  <c r="D92" i="18"/>
  <c r="AI89" i="18"/>
  <c r="C7" i="18"/>
  <c r="E270" i="18"/>
  <c r="G234" i="18"/>
  <c r="G235" i="18" s="1"/>
  <c r="F110" i="18"/>
  <c r="AI100" i="18"/>
  <c r="F235" i="18"/>
  <c r="B7" i="18"/>
  <c r="B92" i="18"/>
  <c r="AI91" i="18"/>
  <c r="T249" i="18"/>
  <c r="AH91" i="18"/>
  <c r="I229" i="18"/>
  <c r="AF89" i="17"/>
  <c r="AF91" i="17" s="1"/>
  <c r="AD5" i="17"/>
  <c r="AE89" i="17"/>
  <c r="AE91" i="17" s="1"/>
  <c r="AC5" i="17"/>
  <c r="AD89" i="17"/>
  <c r="AD91" i="17" s="1"/>
  <c r="AC89" i="17"/>
  <c r="AC91" i="17" s="1"/>
  <c r="M89" i="17"/>
  <c r="M91" i="17" s="1"/>
  <c r="AA5" i="17"/>
  <c r="AB89" i="17"/>
  <c r="AB91" i="17" s="1"/>
  <c r="Z5" i="17"/>
  <c r="AA89" i="17"/>
  <c r="AA91" i="17" s="1"/>
  <c r="Y5" i="17"/>
  <c r="Z89" i="17"/>
  <c r="Z91" i="17" s="1"/>
  <c r="X89" i="17"/>
  <c r="X91" i="17" s="1"/>
  <c r="Y89" i="17"/>
  <c r="Y91" i="17" s="1"/>
  <c r="V5" i="17"/>
  <c r="W89" i="17"/>
  <c r="W91" i="17" s="1"/>
  <c r="U5" i="17"/>
  <c r="V89" i="17"/>
  <c r="V91" i="17" s="1"/>
  <c r="U89" i="17"/>
  <c r="U91" i="17" s="1"/>
  <c r="U92" i="17" s="1"/>
  <c r="T89" i="17"/>
  <c r="T91" i="17" s="1"/>
  <c r="T92" i="17" s="1"/>
  <c r="S89" i="17"/>
  <c r="S91" i="17" s="1"/>
  <c r="S7" i="17" s="1"/>
  <c r="R5" i="17"/>
  <c r="Q5" i="17"/>
  <c r="R89" i="17"/>
  <c r="R91" i="17" s="1"/>
  <c r="AH54" i="17"/>
  <c r="Q89" i="17"/>
  <c r="Q91" i="17" s="1"/>
  <c r="P89" i="17"/>
  <c r="P91" i="17" s="1"/>
  <c r="N5" i="17"/>
  <c r="O89" i="17"/>
  <c r="O91" i="17" s="1"/>
  <c r="M5" i="17"/>
  <c r="N89" i="17"/>
  <c r="N91" i="17" s="1"/>
  <c r="K5" i="17"/>
  <c r="L89" i="17"/>
  <c r="L91" i="17" s="1"/>
  <c r="AH72" i="17"/>
  <c r="AH68" i="17"/>
  <c r="K89" i="17"/>
  <c r="K91" i="17" s="1"/>
  <c r="AC249" i="17" s="1"/>
  <c r="J5" i="17"/>
  <c r="I5" i="17"/>
  <c r="J89" i="17"/>
  <c r="J91" i="17" s="1"/>
  <c r="J7" i="17" s="1"/>
  <c r="I89" i="17"/>
  <c r="I91" i="17" s="1"/>
  <c r="I92" i="17" s="1"/>
  <c r="H89" i="17"/>
  <c r="H91" i="17" s="1"/>
  <c r="Z249" i="17" s="1"/>
  <c r="F5" i="17"/>
  <c r="G89" i="17"/>
  <c r="G91" i="17" s="1"/>
  <c r="G7" i="17" s="1"/>
  <c r="AI54" i="17"/>
  <c r="E5" i="17"/>
  <c r="F89" i="17"/>
  <c r="F91" i="17" s="1"/>
  <c r="F7" i="17" s="1"/>
  <c r="E89" i="17"/>
  <c r="E91" i="17" s="1"/>
  <c r="W249" i="17" s="1"/>
  <c r="D89" i="17"/>
  <c r="D91" i="17" s="1"/>
  <c r="D7" i="17" s="1"/>
  <c r="D100" i="17"/>
  <c r="B5" i="17"/>
  <c r="C89" i="17"/>
  <c r="C91" i="17" s="1"/>
  <c r="C92" i="17" s="1"/>
  <c r="AF5" i="17"/>
  <c r="B89" i="17"/>
  <c r="B91" i="17" s="1"/>
  <c r="B92" i="17" s="1"/>
  <c r="D246" i="17"/>
  <c r="X7" i="17"/>
  <c r="AP249" i="17"/>
  <c r="X92" i="17"/>
  <c r="AG3" i="17"/>
  <c r="AG6" i="17" s="1"/>
  <c r="AG89" i="17"/>
  <c r="AC92" i="17"/>
  <c r="AC7" i="17"/>
  <c r="AU249" i="17"/>
  <c r="R7" i="17"/>
  <c r="R92" i="17"/>
  <c r="AJ249" i="17"/>
  <c r="Z7" i="17"/>
  <c r="Z92" i="17"/>
  <c r="AR249" i="17"/>
  <c r="P7" i="17"/>
  <c r="AH249" i="17"/>
  <c r="P92" i="17"/>
  <c r="AB7" i="17"/>
  <c r="AB92" i="17"/>
  <c r="AT249" i="17"/>
  <c r="AA7" i="17"/>
  <c r="AA92" i="17"/>
  <c r="AS249" i="17"/>
  <c r="AX249" i="17"/>
  <c r="AF7" i="17"/>
  <c r="AF92" i="17"/>
  <c r="L92" i="17"/>
  <c r="AD249" i="17"/>
  <c r="L7" i="17"/>
  <c r="H229" i="17"/>
  <c r="J232" i="17"/>
  <c r="K232" i="17" s="1"/>
  <c r="L232" i="17" s="1"/>
  <c r="M232" i="17" s="1"/>
  <c r="N232" i="17" s="1"/>
  <c r="O232" i="17" s="1"/>
  <c r="P232" i="17" s="1"/>
  <c r="M92" i="17"/>
  <c r="AE249" i="17"/>
  <c r="M7" i="17"/>
  <c r="N92" i="17"/>
  <c r="AF249" i="17"/>
  <c r="N7" i="17"/>
  <c r="V92" i="17"/>
  <c r="AN249" i="17"/>
  <c r="V7" i="17"/>
  <c r="AV249" i="17"/>
  <c r="AD92" i="17"/>
  <c r="AD7" i="17"/>
  <c r="AG249" i="17"/>
  <c r="O7" i="17"/>
  <c r="O92" i="17"/>
  <c r="AO249" i="17"/>
  <c r="W7" i="17"/>
  <c r="W92" i="17"/>
  <c r="AW249" i="17"/>
  <c r="AE7" i="17"/>
  <c r="AE92" i="17"/>
  <c r="Q7" i="17"/>
  <c r="Q92" i="17"/>
  <c r="AI249" i="17"/>
  <c r="Y7" i="17"/>
  <c r="Y92" i="17"/>
  <c r="AQ249" i="17"/>
  <c r="AG91" i="17"/>
  <c r="G5" i="17"/>
  <c r="W5" i="17"/>
  <c r="P100" i="17"/>
  <c r="AF100" i="17"/>
  <c r="E230" i="17"/>
  <c r="E234" i="17"/>
  <c r="H5" i="17"/>
  <c r="P5" i="17"/>
  <c r="X5" i="17"/>
  <c r="AH84" i="17"/>
  <c r="I100" i="17"/>
  <c r="Q100" i="17"/>
  <c r="Y100" i="17"/>
  <c r="AI72" i="17"/>
  <c r="AI68" i="17"/>
  <c r="AH50" i="17"/>
  <c r="AI84" i="17"/>
  <c r="AI50" i="17"/>
  <c r="B235" i="17"/>
  <c r="D5" i="17"/>
  <c r="L5" i="17"/>
  <c r="T5" i="17"/>
  <c r="AB5" i="17"/>
  <c r="AF100" i="16"/>
  <c r="AF89" i="16"/>
  <c r="AF91" i="16" s="1"/>
  <c r="AD5" i="16"/>
  <c r="AE89" i="16"/>
  <c r="AE91" i="16" s="1"/>
  <c r="AD89" i="16"/>
  <c r="AD91" i="16" s="1"/>
  <c r="AC5" i="16"/>
  <c r="AB5" i="16"/>
  <c r="AC89" i="16"/>
  <c r="AC91" i="16" s="1"/>
  <c r="Z5" i="16"/>
  <c r="AA89" i="16"/>
  <c r="AA91" i="16" s="1"/>
  <c r="Z89" i="16"/>
  <c r="Z91" i="16" s="1"/>
  <c r="AR249" i="16" s="1"/>
  <c r="Y89" i="16"/>
  <c r="Y91" i="16" s="1"/>
  <c r="Y92" i="16" s="1"/>
  <c r="W5" i="16"/>
  <c r="X89" i="16"/>
  <c r="X91" i="16" s="1"/>
  <c r="AB89" i="16"/>
  <c r="AB91" i="16" s="1"/>
  <c r="V5" i="16"/>
  <c r="W89" i="16"/>
  <c r="W91" i="16" s="1"/>
  <c r="V89" i="16"/>
  <c r="V91" i="16" s="1"/>
  <c r="T5" i="16"/>
  <c r="U89" i="16"/>
  <c r="U91" i="16" s="1"/>
  <c r="AM249" i="16" s="1"/>
  <c r="T89" i="16"/>
  <c r="T91" i="16" s="1"/>
  <c r="T92" i="16" s="1"/>
  <c r="R5" i="16"/>
  <c r="S89" i="16"/>
  <c r="S91" i="16" s="1"/>
  <c r="R89" i="16"/>
  <c r="R91" i="16" s="1"/>
  <c r="Q89" i="16"/>
  <c r="Q91" i="16" s="1"/>
  <c r="P89" i="16"/>
  <c r="P91" i="16" s="1"/>
  <c r="O5" i="16"/>
  <c r="O89" i="16"/>
  <c r="O91" i="16" s="1"/>
  <c r="N89" i="16"/>
  <c r="N91" i="16" s="1"/>
  <c r="L5" i="16"/>
  <c r="M89" i="16"/>
  <c r="M91" i="16" s="1"/>
  <c r="AH72" i="16"/>
  <c r="L89" i="16"/>
  <c r="L91" i="16" s="1"/>
  <c r="AD249" i="16" s="1"/>
  <c r="J5" i="16"/>
  <c r="K89" i="16"/>
  <c r="K91" i="16" s="1"/>
  <c r="K7" i="16" s="1"/>
  <c r="AI113" i="16"/>
  <c r="J89" i="16"/>
  <c r="J91" i="16" s="1"/>
  <c r="J92" i="16" s="1"/>
  <c r="AH113" i="16"/>
  <c r="I89" i="16"/>
  <c r="I91" i="16" s="1"/>
  <c r="AA249" i="16" s="1"/>
  <c r="AH68" i="16"/>
  <c r="G5" i="16"/>
  <c r="H89" i="16"/>
  <c r="H91" i="16" s="1"/>
  <c r="H92" i="16" s="1"/>
  <c r="F5" i="16"/>
  <c r="E5" i="16"/>
  <c r="F89" i="16"/>
  <c r="F91" i="16" s="1"/>
  <c r="F7" i="16" s="1"/>
  <c r="D5" i="16"/>
  <c r="E89" i="16"/>
  <c r="E91" i="16" s="1"/>
  <c r="E92" i="16" s="1"/>
  <c r="G89" i="16"/>
  <c r="G91" i="16" s="1"/>
  <c r="Y249" i="16" s="1"/>
  <c r="AI54" i="16"/>
  <c r="AI68" i="16"/>
  <c r="D89" i="16"/>
  <c r="D91" i="16" s="1"/>
  <c r="D92" i="16" s="1"/>
  <c r="C89" i="16"/>
  <c r="C91" i="16" s="1"/>
  <c r="C92" i="16" s="1"/>
  <c r="B5" i="16"/>
  <c r="AH84" i="16"/>
  <c r="AI50" i="16"/>
  <c r="S246" i="16"/>
  <c r="AG91" i="16"/>
  <c r="V7" i="16"/>
  <c r="AN249" i="16"/>
  <c r="V92" i="16"/>
  <c r="AO249" i="16"/>
  <c r="W7" i="16"/>
  <c r="W92" i="16"/>
  <c r="AF7" i="16"/>
  <c r="AF92" i="16"/>
  <c r="AX249" i="16"/>
  <c r="AC92" i="16"/>
  <c r="AC7" i="16"/>
  <c r="AU249" i="16"/>
  <c r="E270" i="16"/>
  <c r="G234" i="16"/>
  <c r="Q7" i="16"/>
  <c r="AI249" i="16"/>
  <c r="Q92" i="16"/>
  <c r="Y7" i="16"/>
  <c r="AG89" i="16"/>
  <c r="AB92" i="16"/>
  <c r="AT249" i="16"/>
  <c r="AB7" i="16"/>
  <c r="AV249" i="16"/>
  <c r="AD7" i="16"/>
  <c r="AD92" i="16"/>
  <c r="R7" i="16"/>
  <c r="AJ249" i="16"/>
  <c r="R92" i="16"/>
  <c r="P7" i="16"/>
  <c r="P92" i="16"/>
  <c r="AH249" i="16"/>
  <c r="AW249" i="16"/>
  <c r="AE7" i="16"/>
  <c r="AE92" i="16"/>
  <c r="X92" i="16"/>
  <c r="X7" i="16"/>
  <c r="AP249" i="16"/>
  <c r="Z92" i="16"/>
  <c r="S7" i="16"/>
  <c r="S92" i="16"/>
  <c r="AK249" i="16"/>
  <c r="AA7" i="16"/>
  <c r="AA92" i="16"/>
  <c r="AS249" i="16"/>
  <c r="F92" i="16"/>
  <c r="J232" i="16"/>
  <c r="K232" i="16" s="1"/>
  <c r="L232" i="16" s="1"/>
  <c r="M232" i="16" s="1"/>
  <c r="N232" i="16" s="1"/>
  <c r="O232" i="16" s="1"/>
  <c r="P232" i="16" s="1"/>
  <c r="M92" i="16"/>
  <c r="M7" i="16"/>
  <c r="AE249" i="16"/>
  <c r="AG249" i="16"/>
  <c r="O92" i="16"/>
  <c r="O7" i="16"/>
  <c r="AB249" i="16"/>
  <c r="J7" i="16"/>
  <c r="C7" i="16"/>
  <c r="AF249" i="16"/>
  <c r="N7" i="16"/>
  <c r="N92" i="16"/>
  <c r="U7" i="16"/>
  <c r="AI72" i="16"/>
  <c r="D110" i="16"/>
  <c r="AH54" i="16"/>
  <c r="AI84" i="16"/>
  <c r="J100" i="16"/>
  <c r="R100" i="16"/>
  <c r="Z100" i="16"/>
  <c r="E229" i="16"/>
  <c r="D270" i="16"/>
  <c r="H5" i="16"/>
  <c r="P5" i="16"/>
  <c r="Y100" i="16"/>
  <c r="AG2" i="16"/>
  <c r="AG6" i="16" s="1"/>
  <c r="C5" i="16"/>
  <c r="K5" i="16"/>
  <c r="S5" i="16"/>
  <c r="AA5" i="16"/>
  <c r="B235" i="16"/>
  <c r="AH50" i="16"/>
  <c r="H270" i="22" l="1"/>
  <c r="J234" i="22"/>
  <c r="I229" i="22"/>
  <c r="H110" i="22"/>
  <c r="H235" i="22"/>
  <c r="G270" i="21"/>
  <c r="I234" i="21"/>
  <c r="J229" i="21"/>
  <c r="K229" i="20"/>
  <c r="H270" i="20"/>
  <c r="J234" i="20"/>
  <c r="K6" i="19"/>
  <c r="AI92" i="19"/>
  <c r="AH92" i="19"/>
  <c r="G235" i="19"/>
  <c r="I229" i="19"/>
  <c r="F270" i="19"/>
  <c r="H234" i="19"/>
  <c r="H110" i="19" s="1"/>
  <c r="K6" i="18"/>
  <c r="A7" i="18"/>
  <c r="J229" i="18"/>
  <c r="F270" i="18"/>
  <c r="H234" i="18"/>
  <c r="G110" i="18"/>
  <c r="AI92" i="18"/>
  <c r="AH92" i="18"/>
  <c r="U7" i="17"/>
  <c r="AM249" i="17"/>
  <c r="T7" i="17"/>
  <c r="AL249" i="17"/>
  <c r="AK249" i="17"/>
  <c r="S92" i="17"/>
  <c r="I7" i="17"/>
  <c r="K7" i="17"/>
  <c r="H92" i="17"/>
  <c r="K92" i="17"/>
  <c r="AB249" i="17"/>
  <c r="J92" i="17"/>
  <c r="AA249" i="17"/>
  <c r="H7" i="17"/>
  <c r="C244" i="17"/>
  <c r="B244" i="17"/>
  <c r="Y249" i="17"/>
  <c r="G92" i="17"/>
  <c r="F92" i="17"/>
  <c r="X249" i="17"/>
  <c r="E92" i="17"/>
  <c r="E7" i="17"/>
  <c r="AI100" i="17"/>
  <c r="AH100" i="17"/>
  <c r="D92" i="17"/>
  <c r="V249" i="17"/>
  <c r="C7" i="17"/>
  <c r="U249" i="17"/>
  <c r="AH89" i="17"/>
  <c r="AI89" i="17"/>
  <c r="E235" i="17"/>
  <c r="F230" i="17"/>
  <c r="B7" i="17"/>
  <c r="AI91" i="17"/>
  <c r="T249" i="17"/>
  <c r="AH91" i="17"/>
  <c r="I229" i="17"/>
  <c r="D270" i="17"/>
  <c r="E110" i="17"/>
  <c r="F234" i="17"/>
  <c r="U92" i="16"/>
  <c r="Z7" i="16"/>
  <c r="AQ249" i="16"/>
  <c r="U249" i="16"/>
  <c r="T7" i="16"/>
  <c r="AL249" i="16"/>
  <c r="G7" i="16"/>
  <c r="Z249" i="16"/>
  <c r="I92" i="16"/>
  <c r="L92" i="16"/>
  <c r="L7" i="16"/>
  <c r="K92" i="16"/>
  <c r="AC249" i="16"/>
  <c r="I7" i="16"/>
  <c r="H7" i="16"/>
  <c r="E7" i="16"/>
  <c r="C244" i="16"/>
  <c r="G92" i="16"/>
  <c r="B244" i="16"/>
  <c r="X249" i="16"/>
  <c r="W249" i="16"/>
  <c r="D7" i="16"/>
  <c r="V249" i="16"/>
  <c r="F270" i="16"/>
  <c r="H234" i="16"/>
  <c r="AI89" i="16"/>
  <c r="AH89" i="16"/>
  <c r="E110" i="16"/>
  <c r="F229" i="16"/>
  <c r="E235" i="16"/>
  <c r="AH100" i="16"/>
  <c r="AI100" i="16"/>
  <c r="I110" i="22" l="1"/>
  <c r="J229" i="22"/>
  <c r="K234" i="22"/>
  <c r="I270" i="22"/>
  <c r="K229" i="21"/>
  <c r="H270" i="21"/>
  <c r="J234" i="21"/>
  <c r="K234" i="20"/>
  <c r="I270" i="20"/>
  <c r="L229" i="20"/>
  <c r="K110" i="20"/>
  <c r="J110" i="20"/>
  <c r="H235" i="19"/>
  <c r="I110" i="19"/>
  <c r="J229" i="19"/>
  <c r="G270" i="19"/>
  <c r="I234" i="19"/>
  <c r="G270" i="18"/>
  <c r="I234" i="18"/>
  <c r="H110" i="18"/>
  <c r="H235" i="18"/>
  <c r="K229" i="18"/>
  <c r="K6" i="17"/>
  <c r="A7" i="17"/>
  <c r="J229" i="17"/>
  <c r="E270" i="17"/>
  <c r="G234" i="17"/>
  <c r="F110" i="17"/>
  <c r="AI92" i="17"/>
  <c r="AH92" i="17"/>
  <c r="G230" i="17"/>
  <c r="F235" i="17"/>
  <c r="K6" i="16"/>
  <c r="F235" i="16"/>
  <c r="F110" i="16"/>
  <c r="G229" i="16"/>
  <c r="AH91" i="16"/>
  <c r="B7" i="16"/>
  <c r="A7" i="16" s="1"/>
  <c r="T249" i="16"/>
  <c r="AI91" i="16"/>
  <c r="G270" i="16"/>
  <c r="I234" i="16"/>
  <c r="J270" i="22" l="1"/>
  <c r="L234" i="22"/>
  <c r="J110" i="22"/>
  <c r="K229" i="22"/>
  <c r="K234" i="21"/>
  <c r="I270" i="21"/>
  <c r="K110" i="21"/>
  <c r="L229" i="21"/>
  <c r="M229" i="20"/>
  <c r="L110" i="20"/>
  <c r="J270" i="20"/>
  <c r="L234" i="20"/>
  <c r="J234" i="19"/>
  <c r="H270" i="19"/>
  <c r="J110" i="19"/>
  <c r="K229" i="19"/>
  <c r="H270" i="18"/>
  <c r="J234" i="18"/>
  <c r="I110" i="18"/>
  <c r="L229" i="18"/>
  <c r="K229" i="17"/>
  <c r="F270" i="17"/>
  <c r="H234" i="17"/>
  <c r="G110" i="17"/>
  <c r="H230" i="17"/>
  <c r="G235" i="17"/>
  <c r="AI92" i="16"/>
  <c r="AH92" i="16"/>
  <c r="G235" i="16"/>
  <c r="H229" i="16"/>
  <c r="G110" i="16"/>
  <c r="H270" i="16"/>
  <c r="J234" i="16"/>
  <c r="K110" i="22" l="1"/>
  <c r="L229" i="22"/>
  <c r="M234" i="22"/>
  <c r="K270" i="22"/>
  <c r="M229" i="21"/>
  <c r="J270" i="21"/>
  <c r="L234" i="21"/>
  <c r="N229" i="20"/>
  <c r="M110" i="20"/>
  <c r="K270" i="20"/>
  <c r="M234" i="20"/>
  <c r="L229" i="19"/>
  <c r="I270" i="19"/>
  <c r="K234" i="19"/>
  <c r="M229" i="18"/>
  <c r="K234" i="18"/>
  <c r="I270" i="18"/>
  <c r="J110" i="18"/>
  <c r="I230" i="17"/>
  <c r="H235" i="17"/>
  <c r="G270" i="17"/>
  <c r="I234" i="17"/>
  <c r="H110" i="17"/>
  <c r="L229" i="17"/>
  <c r="K234" i="16"/>
  <c r="I270" i="16"/>
  <c r="I229" i="16"/>
  <c r="H110" i="16"/>
  <c r="H235" i="16"/>
  <c r="L270" i="22" l="1"/>
  <c r="N234" i="22"/>
  <c r="M229" i="22"/>
  <c r="L110" i="22"/>
  <c r="K270" i="21"/>
  <c r="M234" i="21"/>
  <c r="N229" i="21"/>
  <c r="M110" i="21"/>
  <c r="L270" i="20"/>
  <c r="N234" i="20"/>
  <c r="O229" i="20"/>
  <c r="N110" i="20"/>
  <c r="J270" i="19"/>
  <c r="L234" i="19"/>
  <c r="M229" i="19"/>
  <c r="K110" i="19"/>
  <c r="J270" i="18"/>
  <c r="L234" i="18"/>
  <c r="K110" i="18"/>
  <c r="N229" i="18"/>
  <c r="H270" i="17"/>
  <c r="J234" i="17"/>
  <c r="I110" i="17"/>
  <c r="M229" i="17"/>
  <c r="J230" i="17"/>
  <c r="I110" i="16"/>
  <c r="J229" i="16"/>
  <c r="J270" i="16"/>
  <c r="L234" i="16"/>
  <c r="N229" i="22" l="1"/>
  <c r="M110" i="22"/>
  <c r="M270" i="22"/>
  <c r="O234" i="22"/>
  <c r="O229" i="21"/>
  <c r="L270" i="21"/>
  <c r="N234" i="21"/>
  <c r="P229" i="20"/>
  <c r="M270" i="20"/>
  <c r="O234" i="20"/>
  <c r="K270" i="19"/>
  <c r="M234" i="19"/>
  <c r="L110" i="19"/>
  <c r="N229" i="19"/>
  <c r="M110" i="19"/>
  <c r="O229" i="18"/>
  <c r="K270" i="18"/>
  <c r="M234" i="18"/>
  <c r="L110" i="18"/>
  <c r="K230" i="17"/>
  <c r="N229" i="17"/>
  <c r="K234" i="17"/>
  <c r="I270" i="17"/>
  <c r="J110" i="17"/>
  <c r="K270" i="16"/>
  <c r="M234" i="16"/>
  <c r="J110" i="16"/>
  <c r="K229" i="16"/>
  <c r="O229" i="22" l="1"/>
  <c r="N110" i="22"/>
  <c r="N270" i="22"/>
  <c r="P234" i="22"/>
  <c r="O270" i="22" s="1"/>
  <c r="M270" i="21"/>
  <c r="O234" i="21"/>
  <c r="N110" i="21"/>
  <c r="P229" i="21"/>
  <c r="O110" i="21"/>
  <c r="N270" i="20"/>
  <c r="P234" i="20"/>
  <c r="O270" i="20" s="1"/>
  <c r="O110" i="20"/>
  <c r="O229" i="19"/>
  <c r="N110" i="19"/>
  <c r="L270" i="19"/>
  <c r="N234" i="19"/>
  <c r="L270" i="18"/>
  <c r="N234" i="18"/>
  <c r="M110" i="18"/>
  <c r="P229" i="18"/>
  <c r="L234" i="17"/>
  <c r="J270" i="17"/>
  <c r="K110" i="17"/>
  <c r="O229" i="17"/>
  <c r="L230" i="17"/>
  <c r="K110" i="16"/>
  <c r="L229" i="16"/>
  <c r="N234" i="16"/>
  <c r="L270" i="16"/>
  <c r="P229" i="22" l="1"/>
  <c r="O110" i="22"/>
  <c r="AI110" i="21"/>
  <c r="AH110" i="21"/>
  <c r="N270" i="21"/>
  <c r="P234" i="21"/>
  <c r="O270" i="21" s="1"/>
  <c r="AI110" i="20"/>
  <c r="AH110" i="20"/>
  <c r="M270" i="19"/>
  <c r="O234" i="19"/>
  <c r="P229" i="19"/>
  <c r="O110" i="19"/>
  <c r="M270" i="18"/>
  <c r="O234" i="18"/>
  <c r="N110" i="18"/>
  <c r="M230" i="17"/>
  <c r="P229" i="17"/>
  <c r="K270" i="17"/>
  <c r="M234" i="17"/>
  <c r="L110" i="17"/>
  <c r="M270" i="16"/>
  <c r="O234" i="16"/>
  <c r="M229" i="16"/>
  <c r="L110" i="16"/>
  <c r="AI110" i="22" l="1"/>
  <c r="AH110" i="22"/>
  <c r="N270" i="19"/>
  <c r="P234" i="19"/>
  <c r="O270" i="19" s="1"/>
  <c r="AH110" i="19"/>
  <c r="AI110" i="19"/>
  <c r="N270" i="18"/>
  <c r="P234" i="18"/>
  <c r="O270" i="18" s="1"/>
  <c r="O110" i="18"/>
  <c r="L270" i="17"/>
  <c r="N234" i="17"/>
  <c r="M110" i="17"/>
  <c r="N230" i="17"/>
  <c r="M110" i="16"/>
  <c r="N229" i="16"/>
  <c r="N270" i="16"/>
  <c r="P234" i="16"/>
  <c r="O270" i="16" s="1"/>
  <c r="AI110" i="18" l="1"/>
  <c r="AH110" i="18"/>
  <c r="O230" i="17"/>
  <c r="M270" i="17"/>
  <c r="O234" i="17"/>
  <c r="N110" i="17"/>
  <c r="O229" i="16"/>
  <c r="N110" i="16"/>
  <c r="N270" i="17" l="1"/>
  <c r="P234" i="17"/>
  <c r="O270" i="17" s="1"/>
  <c r="O110" i="17"/>
  <c r="P230" i="17"/>
  <c r="P229" i="16"/>
  <c r="O110" i="16"/>
  <c r="AI110" i="17" l="1"/>
  <c r="AH110" i="17"/>
  <c r="AI110" i="16"/>
  <c r="AH110" i="16"/>
  <c r="U49" i="15" l="1"/>
  <c r="T49" i="15"/>
  <c r="S113" i="15"/>
  <c r="R50" i="15" l="1"/>
  <c r="AF274" i="15" l="1"/>
  <c r="AE274" i="15"/>
  <c r="AD274" i="15"/>
  <c r="AC274" i="15"/>
  <c r="AB274" i="15"/>
  <c r="AA274" i="15"/>
  <c r="Z274" i="15"/>
  <c r="Y274" i="15"/>
  <c r="X274" i="15"/>
  <c r="W274" i="15"/>
  <c r="V274" i="15"/>
  <c r="U274" i="15"/>
  <c r="T274" i="15"/>
  <c r="S274" i="15"/>
  <c r="R274" i="15"/>
  <c r="Q274" i="15"/>
  <c r="P274" i="15"/>
  <c r="O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AF273" i="15"/>
  <c r="AE273" i="15"/>
  <c r="AD273" i="15"/>
  <c r="AC273" i="15"/>
  <c r="AB273" i="15"/>
  <c r="AA273" i="15"/>
  <c r="Z273" i="15"/>
  <c r="Y273" i="15"/>
  <c r="X273" i="15"/>
  <c r="W273" i="15"/>
  <c r="V273" i="15"/>
  <c r="U273" i="15"/>
  <c r="T273" i="15"/>
  <c r="S273" i="15"/>
  <c r="R273" i="15"/>
  <c r="Q273" i="15"/>
  <c r="P273" i="15"/>
  <c r="O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AF272" i="15"/>
  <c r="AE272" i="15"/>
  <c r="AD272" i="15"/>
  <c r="AC272" i="15"/>
  <c r="AB272" i="15"/>
  <c r="AA272" i="15"/>
  <c r="Z272" i="15"/>
  <c r="Y272" i="15"/>
  <c r="X272" i="15"/>
  <c r="W272" i="15"/>
  <c r="V272" i="15"/>
  <c r="U272" i="15"/>
  <c r="T272" i="15"/>
  <c r="S272" i="15"/>
  <c r="R272" i="15"/>
  <c r="Q272" i="15"/>
  <c r="P272" i="15"/>
  <c r="O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AF271" i="15"/>
  <c r="AE271" i="15"/>
  <c r="AD271" i="15"/>
  <c r="AC271" i="15"/>
  <c r="AB271" i="15"/>
  <c r="AA271" i="15"/>
  <c r="Z271" i="15"/>
  <c r="Y271" i="15"/>
  <c r="X271" i="15"/>
  <c r="W271" i="15"/>
  <c r="V271" i="15"/>
  <c r="U271" i="15"/>
  <c r="T271" i="15"/>
  <c r="S271" i="15"/>
  <c r="R271" i="15"/>
  <c r="Q271" i="15"/>
  <c r="P271" i="15"/>
  <c r="O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AE270" i="15"/>
  <c r="AD270" i="15"/>
  <c r="AC270" i="15"/>
  <c r="AB270" i="15"/>
  <c r="AA270" i="15"/>
  <c r="Z270" i="15"/>
  <c r="Y270" i="15"/>
  <c r="X270" i="15"/>
  <c r="W270" i="15"/>
  <c r="V270" i="15"/>
  <c r="U270" i="15"/>
  <c r="T270" i="15"/>
  <c r="S270" i="15"/>
  <c r="R270" i="15"/>
  <c r="Q270" i="15"/>
  <c r="P270" i="15"/>
  <c r="B270" i="15"/>
  <c r="S245" i="15"/>
  <c r="AG235" i="15"/>
  <c r="AF235" i="15"/>
  <c r="AE235" i="15"/>
  <c r="AD235" i="15"/>
  <c r="AC235" i="15"/>
  <c r="AB235" i="15"/>
  <c r="AA235" i="15"/>
  <c r="Z235" i="15"/>
  <c r="Y235" i="15"/>
  <c r="X235" i="15"/>
  <c r="W235" i="15"/>
  <c r="V235" i="15"/>
  <c r="U235" i="15"/>
  <c r="T235" i="15"/>
  <c r="S235" i="15"/>
  <c r="R235" i="15"/>
  <c r="Q235" i="15"/>
  <c r="C235" i="15"/>
  <c r="E234" i="15"/>
  <c r="D270" i="15" s="1"/>
  <c r="D234" i="15"/>
  <c r="C270" i="15" s="1"/>
  <c r="B234" i="15"/>
  <c r="AF270" i="15" s="1"/>
  <c r="F233" i="15"/>
  <c r="G233" i="15" s="1"/>
  <c r="H233" i="15" s="1"/>
  <c r="I233" i="15" s="1"/>
  <c r="J233" i="15" s="1"/>
  <c r="K233" i="15" s="1"/>
  <c r="L233" i="15" s="1"/>
  <c r="M233" i="15" s="1"/>
  <c r="N233" i="15" s="1"/>
  <c r="O233" i="15" s="1"/>
  <c r="P233" i="15" s="1"/>
  <c r="E233" i="15"/>
  <c r="D233" i="15"/>
  <c r="B233" i="15"/>
  <c r="D232" i="15"/>
  <c r="E232" i="15" s="1"/>
  <c r="F232" i="15" s="1"/>
  <c r="G232" i="15" s="1"/>
  <c r="H232" i="15" s="1"/>
  <c r="I232" i="15" s="1"/>
  <c r="B232" i="15"/>
  <c r="G231" i="15"/>
  <c r="H231" i="15" s="1"/>
  <c r="F231" i="15"/>
  <c r="E231" i="15"/>
  <c r="D231" i="15"/>
  <c r="B231" i="15"/>
  <c r="E230" i="15"/>
  <c r="F230" i="15" s="1"/>
  <c r="D230" i="15"/>
  <c r="D235" i="15" s="1"/>
  <c r="B230" i="15"/>
  <c r="F229" i="15"/>
  <c r="G229" i="15" s="1"/>
  <c r="E229" i="15"/>
  <c r="D229" i="15"/>
  <c r="B229" i="15"/>
  <c r="B110" i="15" s="1"/>
  <c r="AG227" i="15"/>
  <c r="AF227" i="15"/>
  <c r="AE227" i="15"/>
  <c r="AD227" i="15"/>
  <c r="AC227" i="15"/>
  <c r="AB227" i="15"/>
  <c r="AA227" i="15"/>
  <c r="Z227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I120" i="15"/>
  <c r="AH120" i="15"/>
  <c r="AI119" i="15"/>
  <c r="AH119" i="15"/>
  <c r="AI118" i="15"/>
  <c r="AH118" i="15"/>
  <c r="AI117" i="15"/>
  <c r="AH117" i="15"/>
  <c r="AI116" i="15"/>
  <c r="AH116" i="15"/>
  <c r="AI115" i="15"/>
  <c r="AH115" i="15"/>
  <c r="AI114" i="15"/>
  <c r="AH114" i="15"/>
  <c r="AI113" i="15"/>
  <c r="AH113" i="15"/>
  <c r="AI112" i="15"/>
  <c r="AH112" i="15"/>
  <c r="AI111" i="15"/>
  <c r="AH111" i="15"/>
  <c r="AF110" i="15"/>
  <c r="AE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E110" i="15"/>
  <c r="D110" i="15"/>
  <c r="C110" i="15"/>
  <c r="AI109" i="15"/>
  <c r="AH109" i="15"/>
  <c r="AI108" i="15"/>
  <c r="AH108" i="15"/>
  <c r="AI107" i="15"/>
  <c r="AH107" i="15"/>
  <c r="AI106" i="15"/>
  <c r="AH106" i="15"/>
  <c r="AI105" i="15"/>
  <c r="AH105" i="15"/>
  <c r="AI104" i="15"/>
  <c r="AH104" i="15"/>
  <c r="AI103" i="15"/>
  <c r="AH103" i="15"/>
  <c r="AI102" i="15"/>
  <c r="AH102" i="15"/>
  <c r="AI101" i="15"/>
  <c r="AH101" i="15"/>
  <c r="AI99" i="15"/>
  <c r="AH99" i="15"/>
  <c r="AI98" i="15"/>
  <c r="AH98" i="15"/>
  <c r="AI97" i="15"/>
  <c r="AH97" i="15"/>
  <c r="AI96" i="15"/>
  <c r="AH96" i="15"/>
  <c r="AI95" i="15"/>
  <c r="AH95" i="15"/>
  <c r="AI94" i="15"/>
  <c r="AH94" i="15"/>
  <c r="AI93" i="15"/>
  <c r="AH93" i="15"/>
  <c r="AI90" i="15"/>
  <c r="AH90" i="15"/>
  <c r="AI88" i="15"/>
  <c r="AH88" i="15"/>
  <c r="AG88" i="15"/>
  <c r="AI87" i="15"/>
  <c r="AH87" i="15"/>
  <c r="AI86" i="15"/>
  <c r="AH86" i="15"/>
  <c r="AI85" i="15"/>
  <c r="AH85" i="15"/>
  <c r="AN84" i="15"/>
  <c r="AG84" i="15"/>
  <c r="AG91" i="15" s="1"/>
  <c r="AF84" i="15"/>
  <c r="AF100" i="15" s="1"/>
  <c r="AE84" i="15"/>
  <c r="AE100" i="15" s="1"/>
  <c r="AD84" i="15"/>
  <c r="AD100" i="15" s="1"/>
  <c r="AC84" i="15"/>
  <c r="AC100" i="15" s="1"/>
  <c r="AB84" i="15"/>
  <c r="AB100" i="15" s="1"/>
  <c r="AA84" i="15"/>
  <c r="AA100" i="15" s="1"/>
  <c r="Z84" i="15"/>
  <c r="Z100" i="15" s="1"/>
  <c r="Y84" i="15"/>
  <c r="Y100" i="15" s="1"/>
  <c r="X84" i="15"/>
  <c r="X100" i="15" s="1"/>
  <c r="W84" i="15"/>
  <c r="W100" i="15" s="1"/>
  <c r="V84" i="15"/>
  <c r="U5" i="15" s="1"/>
  <c r="U84" i="15"/>
  <c r="U100" i="15" s="1"/>
  <c r="T84" i="15"/>
  <c r="T100" i="15" s="1"/>
  <c r="S84" i="15"/>
  <c r="S100" i="15" s="1"/>
  <c r="R84" i="15"/>
  <c r="R100" i="15" s="1"/>
  <c r="Q84" i="15"/>
  <c r="Q100" i="15" s="1"/>
  <c r="P84" i="15"/>
  <c r="O5" i="15" s="1"/>
  <c r="O84" i="15"/>
  <c r="O100" i="15" s="1"/>
  <c r="N84" i="15"/>
  <c r="M5" i="15" s="1"/>
  <c r="M84" i="15"/>
  <c r="M100" i="15" s="1"/>
  <c r="L84" i="15"/>
  <c r="L100" i="15" s="1"/>
  <c r="K84" i="15"/>
  <c r="K100" i="15" s="1"/>
  <c r="J84" i="15"/>
  <c r="J100" i="15" s="1"/>
  <c r="I84" i="15"/>
  <c r="I100" i="15" s="1"/>
  <c r="H84" i="15"/>
  <c r="H100" i="15" s="1"/>
  <c r="G84" i="15"/>
  <c r="G100" i="15" s="1"/>
  <c r="F84" i="15"/>
  <c r="E5" i="15" s="1"/>
  <c r="E84" i="15"/>
  <c r="E100" i="15" s="1"/>
  <c r="D84" i="15"/>
  <c r="D100" i="15" s="1"/>
  <c r="C84" i="15"/>
  <c r="C100" i="15" s="1"/>
  <c r="B84" i="15"/>
  <c r="B100" i="15" s="1"/>
  <c r="AN83" i="15"/>
  <c r="AI83" i="15"/>
  <c r="AH83" i="15"/>
  <c r="AN82" i="15"/>
  <c r="AI82" i="15"/>
  <c r="AH82" i="15"/>
  <c r="AN81" i="15"/>
  <c r="AI81" i="15"/>
  <c r="AH81" i="15"/>
  <c r="AI80" i="15"/>
  <c r="AH80" i="15"/>
  <c r="AI79" i="15"/>
  <c r="AH79" i="15"/>
  <c r="AI78" i="15"/>
  <c r="AH78" i="15"/>
  <c r="AI77" i="15"/>
  <c r="AH77" i="15"/>
  <c r="AI76" i="15"/>
  <c r="AH76" i="15"/>
  <c r="AI75" i="15"/>
  <c r="AH75" i="15"/>
  <c r="AI74" i="15"/>
  <c r="AH74" i="15"/>
  <c r="AI73" i="15"/>
  <c r="AH73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B72" i="15"/>
  <c r="AI71" i="15"/>
  <c r="AH71" i="15"/>
  <c r="AI70" i="15"/>
  <c r="AH70" i="15"/>
  <c r="AI69" i="15"/>
  <c r="AH69" i="15"/>
  <c r="AG68" i="15"/>
  <c r="AG3" i="15" s="1"/>
  <c r="AG6" i="15" s="1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I67" i="15"/>
  <c r="AH67" i="15"/>
  <c r="AG67" i="15"/>
  <c r="AI66" i="15"/>
  <c r="AH66" i="15"/>
  <c r="AI65" i="15"/>
  <c r="AH65" i="15"/>
  <c r="AI64" i="15"/>
  <c r="AH64" i="15"/>
  <c r="AI63" i="15"/>
  <c r="AH63" i="15"/>
  <c r="AI62" i="15"/>
  <c r="AH62" i="15"/>
  <c r="AI61" i="15"/>
  <c r="AH61" i="15"/>
  <c r="AI60" i="15"/>
  <c r="AH60" i="15"/>
  <c r="AI59" i="15"/>
  <c r="AH59" i="15"/>
  <c r="AI58" i="15"/>
  <c r="AH58" i="15"/>
  <c r="AI57" i="15"/>
  <c r="AH57" i="15"/>
  <c r="AI56" i="15"/>
  <c r="AH56" i="15"/>
  <c r="AI55" i="15"/>
  <c r="AH55" i="15"/>
  <c r="AG54" i="15"/>
  <c r="AF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I53" i="15"/>
  <c r="AH53" i="15"/>
  <c r="AI52" i="15"/>
  <c r="AH52" i="15"/>
  <c r="AI51" i="15"/>
  <c r="AH51" i="15"/>
  <c r="AG50" i="15"/>
  <c r="AG89" i="15" s="1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B5" i="15"/>
  <c r="Z5" i="15"/>
  <c r="Y5" i="15"/>
  <c r="V5" i="15"/>
  <c r="R5" i="15"/>
  <c r="AG4" i="15"/>
  <c r="K4" i="15"/>
  <c r="E4" i="15"/>
  <c r="H4" i="15" s="1"/>
  <c r="B4" i="15"/>
  <c r="S246" i="15" s="1"/>
  <c r="AG2" i="15"/>
  <c r="AF50" i="14"/>
  <c r="AF54" i="14"/>
  <c r="AD110" i="14"/>
  <c r="AA84" i="14"/>
  <c r="AB84" i="14"/>
  <c r="AF89" i="15" l="1"/>
  <c r="AF91" i="15" s="1"/>
  <c r="AD5" i="15"/>
  <c r="AE89" i="15"/>
  <c r="AE91" i="15" s="1"/>
  <c r="AC5" i="15"/>
  <c r="AD89" i="15"/>
  <c r="AD91" i="15" s="1"/>
  <c r="AB89" i="15"/>
  <c r="AB91" i="15" s="1"/>
  <c r="AB7" i="15" s="1"/>
  <c r="AC89" i="15"/>
  <c r="AC91" i="15" s="1"/>
  <c r="AA89" i="15"/>
  <c r="AA91" i="15" s="1"/>
  <c r="Y89" i="15"/>
  <c r="Y91" i="15" s="1"/>
  <c r="X89" i="15"/>
  <c r="X91" i="15" s="1"/>
  <c r="Z89" i="15"/>
  <c r="Z91" i="15" s="1"/>
  <c r="AR249" i="15" s="1"/>
  <c r="W89" i="15"/>
  <c r="W91" i="15" s="1"/>
  <c r="V100" i="15"/>
  <c r="V89" i="15"/>
  <c r="V91" i="15" s="1"/>
  <c r="T5" i="15"/>
  <c r="U89" i="15"/>
  <c r="U91" i="15" s="1"/>
  <c r="T89" i="15"/>
  <c r="T91" i="15" s="1"/>
  <c r="S89" i="15"/>
  <c r="S91" i="15" s="1"/>
  <c r="Q5" i="15"/>
  <c r="R89" i="15"/>
  <c r="R91" i="15" s="1"/>
  <c r="AJ249" i="15" s="1"/>
  <c r="Q89" i="15"/>
  <c r="Q91" i="15" s="1"/>
  <c r="Q7" i="15" s="1"/>
  <c r="P89" i="15"/>
  <c r="P91" i="15" s="1"/>
  <c r="P7" i="15" s="1"/>
  <c r="N5" i="15"/>
  <c r="O89" i="15"/>
  <c r="O91" i="15" s="1"/>
  <c r="AG249" i="15" s="1"/>
  <c r="N100" i="15"/>
  <c r="AH72" i="15"/>
  <c r="N89" i="15"/>
  <c r="N91" i="15" s="1"/>
  <c r="AF249" i="15" s="1"/>
  <c r="L5" i="15"/>
  <c r="M89" i="15"/>
  <c r="M91" i="15" s="1"/>
  <c r="M92" i="15" s="1"/>
  <c r="L89" i="15"/>
  <c r="L91" i="15" s="1"/>
  <c r="AD249" i="15" s="1"/>
  <c r="AI72" i="15"/>
  <c r="J5" i="15"/>
  <c r="K89" i="15"/>
  <c r="K91" i="15" s="1"/>
  <c r="K7" i="15" s="1"/>
  <c r="I5" i="15"/>
  <c r="J89" i="15"/>
  <c r="J91" i="15" s="1"/>
  <c r="AB249" i="15" s="1"/>
  <c r="AI54" i="15"/>
  <c r="I89" i="15"/>
  <c r="I91" i="15" s="1"/>
  <c r="I7" i="15" s="1"/>
  <c r="H89" i="15"/>
  <c r="H91" i="15" s="1"/>
  <c r="H7" i="15" s="1"/>
  <c r="F5" i="15"/>
  <c r="G89" i="15"/>
  <c r="G91" i="15" s="1"/>
  <c r="G92" i="15" s="1"/>
  <c r="F100" i="15"/>
  <c r="B89" i="15"/>
  <c r="F89" i="15"/>
  <c r="F91" i="15" s="1"/>
  <c r="X249" i="15" s="1"/>
  <c r="AH54" i="15"/>
  <c r="D5" i="15"/>
  <c r="E89" i="15"/>
  <c r="E91" i="15" s="1"/>
  <c r="E92" i="15" s="1"/>
  <c r="D89" i="15"/>
  <c r="D91" i="15" s="1"/>
  <c r="D7" i="15" s="1"/>
  <c r="B5" i="15"/>
  <c r="AH68" i="15"/>
  <c r="C89" i="15"/>
  <c r="C91" i="15" s="1"/>
  <c r="C92" i="15" s="1"/>
  <c r="AF5" i="15"/>
  <c r="AI50" i="15"/>
  <c r="AV249" i="15"/>
  <c r="AD7" i="15"/>
  <c r="AD92" i="15"/>
  <c r="H229" i="15"/>
  <c r="AO249" i="15"/>
  <c r="W7" i="15"/>
  <c r="W92" i="15"/>
  <c r="AW249" i="15"/>
  <c r="AE7" i="15"/>
  <c r="AE92" i="15"/>
  <c r="T92" i="15"/>
  <c r="AL249" i="15"/>
  <c r="T7" i="15"/>
  <c r="AN249" i="15"/>
  <c r="V7" i="15"/>
  <c r="V92" i="15"/>
  <c r="X7" i="15"/>
  <c r="X92" i="15"/>
  <c r="AP249" i="15"/>
  <c r="J232" i="15"/>
  <c r="K232" i="15" s="1"/>
  <c r="L232" i="15" s="1"/>
  <c r="M232" i="15" s="1"/>
  <c r="N232" i="15" s="1"/>
  <c r="O232" i="15" s="1"/>
  <c r="P232" i="15" s="1"/>
  <c r="Y7" i="15"/>
  <c r="Y92" i="15"/>
  <c r="AQ249" i="15"/>
  <c r="S92" i="15"/>
  <c r="AK249" i="15"/>
  <c r="S7" i="15"/>
  <c r="AA7" i="15"/>
  <c r="AA92" i="15"/>
  <c r="AS249" i="15"/>
  <c r="AB92" i="15"/>
  <c r="G230" i="15"/>
  <c r="H230" i="15" s="1"/>
  <c r="I230" i="15" s="1"/>
  <c r="J230" i="15" s="1"/>
  <c r="K230" i="15" s="1"/>
  <c r="L230" i="15" s="1"/>
  <c r="M230" i="15" s="1"/>
  <c r="N230" i="15" s="1"/>
  <c r="O230" i="15" s="1"/>
  <c r="P230" i="15" s="1"/>
  <c r="F235" i="15"/>
  <c r="L92" i="15"/>
  <c r="B91" i="15"/>
  <c r="R92" i="15"/>
  <c r="Z7" i="15"/>
  <c r="AC92" i="15"/>
  <c r="AU249" i="15"/>
  <c r="AC7" i="15"/>
  <c r="AF7" i="15"/>
  <c r="AF92" i="15"/>
  <c r="AX249" i="15"/>
  <c r="U92" i="15"/>
  <c r="AM249" i="15"/>
  <c r="U7" i="15"/>
  <c r="E235" i="15"/>
  <c r="D246" i="15"/>
  <c r="G5" i="15"/>
  <c r="AI68" i="15"/>
  <c r="H5" i="15"/>
  <c r="P5" i="15"/>
  <c r="X5" i="15"/>
  <c r="AH84" i="15"/>
  <c r="F234" i="15"/>
  <c r="F110" i="15" s="1"/>
  <c r="W5" i="15"/>
  <c r="AH50" i="15"/>
  <c r="AI84" i="15"/>
  <c r="AE5" i="15"/>
  <c r="P100" i="15"/>
  <c r="AH100" i="15" s="1"/>
  <c r="C5" i="15"/>
  <c r="K5" i="15"/>
  <c r="S5" i="15"/>
  <c r="AA5" i="15"/>
  <c r="B235" i="15"/>
  <c r="AT249" i="15" l="1"/>
  <c r="R7" i="15"/>
  <c r="Z92" i="15"/>
  <c r="AI249" i="15"/>
  <c r="Q92" i="15"/>
  <c r="AH249" i="15"/>
  <c r="L7" i="15"/>
  <c r="P92" i="15"/>
  <c r="O92" i="15"/>
  <c r="O7" i="15"/>
  <c r="N92" i="15"/>
  <c r="N7" i="15"/>
  <c r="AE249" i="15"/>
  <c r="M7" i="15"/>
  <c r="AC249" i="15"/>
  <c r="K92" i="15"/>
  <c r="J92" i="15"/>
  <c r="AA249" i="15"/>
  <c r="H92" i="15"/>
  <c r="Z249" i="15"/>
  <c r="Y249" i="15"/>
  <c r="J7" i="15"/>
  <c r="C244" i="15"/>
  <c r="I92" i="15"/>
  <c r="B244" i="15"/>
  <c r="G7" i="15"/>
  <c r="F92" i="15"/>
  <c r="F7" i="15"/>
  <c r="D92" i="15"/>
  <c r="V249" i="15"/>
  <c r="E7" i="15"/>
  <c r="W249" i="15"/>
  <c r="AI89" i="15"/>
  <c r="U249" i="15"/>
  <c r="C7" i="15"/>
  <c r="AH89" i="15"/>
  <c r="B7" i="15"/>
  <c r="B92" i="15"/>
  <c r="AI91" i="15"/>
  <c r="T249" i="15"/>
  <c r="AH91" i="15"/>
  <c r="AI100" i="15"/>
  <c r="E270" i="15"/>
  <c r="G234" i="15"/>
  <c r="G235" i="15"/>
  <c r="I229" i="15"/>
  <c r="K6" i="15" l="1"/>
  <c r="A7" i="15"/>
  <c r="J229" i="15"/>
  <c r="AI92" i="15"/>
  <c r="AH92" i="15"/>
  <c r="F270" i="15"/>
  <c r="H234" i="15"/>
  <c r="G110" i="15"/>
  <c r="G270" i="15" l="1"/>
  <c r="I234" i="15"/>
  <c r="H110" i="15"/>
  <c r="H235" i="15"/>
  <c r="K229" i="15"/>
  <c r="H270" i="15" l="1"/>
  <c r="J234" i="15"/>
  <c r="I110" i="15"/>
  <c r="L229" i="15"/>
  <c r="M229" i="15" l="1"/>
  <c r="K234" i="15"/>
  <c r="I270" i="15"/>
  <c r="J110" i="15"/>
  <c r="J270" i="15" l="1"/>
  <c r="L234" i="15"/>
  <c r="K110" i="15"/>
  <c r="N229" i="15"/>
  <c r="O229" i="15" l="1"/>
  <c r="K270" i="15"/>
  <c r="M234" i="15"/>
  <c r="L110" i="15"/>
  <c r="L270" i="15" l="1"/>
  <c r="N234" i="15"/>
  <c r="M110" i="15"/>
  <c r="P229" i="15"/>
  <c r="M270" i="15" l="1"/>
  <c r="O234" i="15"/>
  <c r="N110" i="15"/>
  <c r="N270" i="15" l="1"/>
  <c r="P234" i="15"/>
  <c r="O270" i="15" s="1"/>
  <c r="O110" i="15"/>
  <c r="AI110" i="15" l="1"/>
  <c r="AH110" i="15"/>
  <c r="Z113" i="14" l="1"/>
  <c r="Z49" i="14"/>
  <c r="Y113" i="14"/>
  <c r="Y49" i="14"/>
  <c r="X113" i="14"/>
  <c r="X49" i="14"/>
  <c r="W113" i="14"/>
  <c r="W49" i="14"/>
  <c r="V113" i="14"/>
  <c r="V49" i="14"/>
  <c r="U113" i="14"/>
  <c r="U49" i="14"/>
  <c r="T113" i="14"/>
  <c r="T49" i="14"/>
  <c r="S113" i="14"/>
  <c r="S110" i="14"/>
  <c r="R113" i="14"/>
  <c r="S49" i="14"/>
  <c r="R49" i="14"/>
  <c r="R50" i="14"/>
  <c r="R54" i="14"/>
  <c r="R68" i="14"/>
  <c r="R72" i="14"/>
  <c r="Q49" i="14"/>
  <c r="K113" i="14"/>
  <c r="L113" i="14"/>
  <c r="J113" i="14"/>
  <c r="I113" i="14"/>
  <c r="H113" i="14"/>
  <c r="G113" i="14"/>
  <c r="F113" i="14"/>
  <c r="E113" i="14"/>
  <c r="C72" i="14"/>
  <c r="D72" i="14"/>
  <c r="E72" i="14"/>
  <c r="F72" i="14"/>
  <c r="G72" i="14"/>
  <c r="H72" i="14"/>
  <c r="I72" i="14"/>
  <c r="B110" i="14"/>
  <c r="B84" i="14"/>
  <c r="B100" i="14" s="1"/>
  <c r="B72" i="14"/>
  <c r="B68" i="14"/>
  <c r="B54" i="14"/>
  <c r="B50" i="14"/>
  <c r="AF274" i="14"/>
  <c r="AE274" i="14"/>
  <c r="AD274" i="14"/>
  <c r="AC274" i="14"/>
  <c r="AB274" i="14"/>
  <c r="AA274" i="14"/>
  <c r="Z274" i="14"/>
  <c r="Y274" i="14"/>
  <c r="X274" i="14"/>
  <c r="W274" i="14"/>
  <c r="V274" i="14"/>
  <c r="U274" i="14"/>
  <c r="T274" i="14"/>
  <c r="S274" i="14"/>
  <c r="R274" i="14"/>
  <c r="Q274" i="14"/>
  <c r="P274" i="14"/>
  <c r="O274" i="14"/>
  <c r="N274" i="14"/>
  <c r="M274" i="14"/>
  <c r="L274" i="14"/>
  <c r="K274" i="14"/>
  <c r="J274" i="14"/>
  <c r="I274" i="14"/>
  <c r="H274" i="14"/>
  <c r="G274" i="14"/>
  <c r="F274" i="14"/>
  <c r="E274" i="14"/>
  <c r="D274" i="14"/>
  <c r="C274" i="14"/>
  <c r="B274" i="14"/>
  <c r="A274" i="14"/>
  <c r="AF273" i="14"/>
  <c r="AE273" i="14"/>
  <c r="AD273" i="14"/>
  <c r="AC273" i="14"/>
  <c r="AB273" i="14"/>
  <c r="AA273" i="14"/>
  <c r="Z273" i="14"/>
  <c r="Y273" i="14"/>
  <c r="X273" i="14"/>
  <c r="W273" i="14"/>
  <c r="V273" i="14"/>
  <c r="U273" i="14"/>
  <c r="T273" i="14"/>
  <c r="S273" i="14"/>
  <c r="R273" i="14"/>
  <c r="Q273" i="14"/>
  <c r="P273" i="14"/>
  <c r="O273" i="14"/>
  <c r="N273" i="14"/>
  <c r="M273" i="14"/>
  <c r="L273" i="14"/>
  <c r="K273" i="14"/>
  <c r="J273" i="14"/>
  <c r="I273" i="14"/>
  <c r="H273" i="14"/>
  <c r="G273" i="14"/>
  <c r="F273" i="14"/>
  <c r="E273" i="14"/>
  <c r="D273" i="14"/>
  <c r="C273" i="14"/>
  <c r="B273" i="14"/>
  <c r="A273" i="14"/>
  <c r="AF272" i="14"/>
  <c r="AE272" i="14"/>
  <c r="AD272" i="14"/>
  <c r="AC272" i="14"/>
  <c r="AB272" i="14"/>
  <c r="AA272" i="14"/>
  <c r="Z272" i="14"/>
  <c r="Y272" i="14"/>
  <c r="X272" i="14"/>
  <c r="W272" i="14"/>
  <c r="V272" i="14"/>
  <c r="U272" i="14"/>
  <c r="T272" i="14"/>
  <c r="S272" i="14"/>
  <c r="R272" i="14"/>
  <c r="Q272" i="14"/>
  <c r="P272" i="14"/>
  <c r="O272" i="14"/>
  <c r="N272" i="14"/>
  <c r="M272" i="14"/>
  <c r="L272" i="14"/>
  <c r="K272" i="14"/>
  <c r="J272" i="14"/>
  <c r="I272" i="14"/>
  <c r="H272" i="14"/>
  <c r="G272" i="14"/>
  <c r="F272" i="14"/>
  <c r="E272" i="14"/>
  <c r="D272" i="14"/>
  <c r="C272" i="14"/>
  <c r="B272" i="14"/>
  <c r="A272" i="14"/>
  <c r="AF271" i="14"/>
  <c r="AE271" i="14"/>
  <c r="AD271" i="14"/>
  <c r="AC271" i="14"/>
  <c r="AB271" i="14"/>
  <c r="AA271" i="14"/>
  <c r="Z271" i="14"/>
  <c r="Y271" i="14"/>
  <c r="X271" i="14"/>
  <c r="W271" i="14"/>
  <c r="V271" i="14"/>
  <c r="U271" i="14"/>
  <c r="T271" i="14"/>
  <c r="S271" i="14"/>
  <c r="R271" i="14"/>
  <c r="Q271" i="14"/>
  <c r="P271" i="14"/>
  <c r="O271" i="14"/>
  <c r="N271" i="14"/>
  <c r="M271" i="14"/>
  <c r="L271" i="14"/>
  <c r="K271" i="14"/>
  <c r="J271" i="14"/>
  <c r="I271" i="14"/>
  <c r="H271" i="14"/>
  <c r="G271" i="14"/>
  <c r="F271" i="14"/>
  <c r="E271" i="14"/>
  <c r="D271" i="14"/>
  <c r="C271" i="14"/>
  <c r="B271" i="14"/>
  <c r="A271" i="14"/>
  <c r="AE270" i="14"/>
  <c r="AD270" i="14"/>
  <c r="AC270" i="14"/>
  <c r="AB270" i="14"/>
  <c r="AA270" i="14"/>
  <c r="Z270" i="14"/>
  <c r="Y270" i="14"/>
  <c r="X270" i="14"/>
  <c r="W270" i="14"/>
  <c r="V270" i="14"/>
  <c r="U270" i="14"/>
  <c r="T270" i="14"/>
  <c r="S270" i="14"/>
  <c r="R270" i="14"/>
  <c r="Q270" i="14"/>
  <c r="P270" i="14"/>
  <c r="B270" i="14"/>
  <c r="S245" i="14"/>
  <c r="AG235" i="14"/>
  <c r="AF235" i="14"/>
  <c r="AE235" i="14"/>
  <c r="AD235" i="14"/>
  <c r="AC235" i="14"/>
  <c r="AB235" i="14"/>
  <c r="AA235" i="14"/>
  <c r="Z235" i="14"/>
  <c r="Y235" i="14"/>
  <c r="X235" i="14"/>
  <c r="W235" i="14"/>
  <c r="V235" i="14"/>
  <c r="U235" i="14"/>
  <c r="T235" i="14"/>
  <c r="S235" i="14"/>
  <c r="R235" i="14"/>
  <c r="Q235" i="14"/>
  <c r="C235" i="14"/>
  <c r="D234" i="14"/>
  <c r="E234" i="14" s="1"/>
  <c r="B234" i="14"/>
  <c r="AF270" i="14" s="1"/>
  <c r="G233" i="14"/>
  <c r="H233" i="14" s="1"/>
  <c r="I233" i="14" s="1"/>
  <c r="J233" i="14" s="1"/>
  <c r="K233" i="14" s="1"/>
  <c r="L233" i="14" s="1"/>
  <c r="M233" i="14" s="1"/>
  <c r="N233" i="14" s="1"/>
  <c r="O233" i="14" s="1"/>
  <c r="P233" i="14" s="1"/>
  <c r="F233" i="14"/>
  <c r="E233" i="14"/>
  <c r="D233" i="14"/>
  <c r="B233" i="14"/>
  <c r="E232" i="14"/>
  <c r="F232" i="14" s="1"/>
  <c r="G232" i="14" s="1"/>
  <c r="H232" i="14" s="1"/>
  <c r="I232" i="14" s="1"/>
  <c r="D232" i="14"/>
  <c r="B232" i="14"/>
  <c r="F231" i="14"/>
  <c r="G231" i="14" s="1"/>
  <c r="H231" i="14" s="1"/>
  <c r="E231" i="14"/>
  <c r="D231" i="14"/>
  <c r="B231" i="14"/>
  <c r="D230" i="14"/>
  <c r="D235" i="14" s="1"/>
  <c r="B230" i="14"/>
  <c r="E229" i="14"/>
  <c r="F229" i="14" s="1"/>
  <c r="D229" i="14"/>
  <c r="B229" i="14"/>
  <c r="AG227" i="14"/>
  <c r="AF227" i="14"/>
  <c r="AE227" i="14"/>
  <c r="AD227" i="14"/>
  <c r="AC227" i="14"/>
  <c r="AB227" i="14"/>
  <c r="AA227" i="14"/>
  <c r="Z227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AI120" i="14"/>
  <c r="AH120" i="14"/>
  <c r="AI119" i="14"/>
  <c r="AH119" i="14"/>
  <c r="AI118" i="14"/>
  <c r="AH118" i="14"/>
  <c r="AI117" i="14"/>
  <c r="AH117" i="14"/>
  <c r="AI116" i="14"/>
  <c r="AH116" i="14"/>
  <c r="AI115" i="14"/>
  <c r="AH115" i="14"/>
  <c r="AI114" i="14"/>
  <c r="AH114" i="14"/>
  <c r="AH113" i="14"/>
  <c r="AI112" i="14"/>
  <c r="AH112" i="14"/>
  <c r="AI111" i="14"/>
  <c r="AH111" i="14"/>
  <c r="AF110" i="14"/>
  <c r="AE110" i="14"/>
  <c r="AC110" i="14"/>
  <c r="AB110" i="14"/>
  <c r="Z110" i="14"/>
  <c r="Y110" i="14"/>
  <c r="X110" i="14"/>
  <c r="W110" i="14"/>
  <c r="V110" i="14"/>
  <c r="U110" i="14"/>
  <c r="T110" i="14"/>
  <c r="R110" i="14"/>
  <c r="Q110" i="14"/>
  <c r="D110" i="14"/>
  <c r="C110" i="14"/>
  <c r="AI109" i="14"/>
  <c r="AH109" i="14"/>
  <c r="AI108" i="14"/>
  <c r="AH108" i="14"/>
  <c r="AI107" i="14"/>
  <c r="AH107" i="14"/>
  <c r="AI106" i="14"/>
  <c r="AH106" i="14"/>
  <c r="AI105" i="14"/>
  <c r="AH105" i="14"/>
  <c r="AI104" i="14"/>
  <c r="AH104" i="14"/>
  <c r="AI103" i="14"/>
  <c r="AH103" i="14"/>
  <c r="AI102" i="14"/>
  <c r="AH102" i="14"/>
  <c r="AI101" i="14"/>
  <c r="AH101" i="14"/>
  <c r="AI99" i="14"/>
  <c r="AH99" i="14"/>
  <c r="AI98" i="14"/>
  <c r="AH98" i="14"/>
  <c r="AI97" i="14"/>
  <c r="AH97" i="14"/>
  <c r="AI96" i="14"/>
  <c r="AH96" i="14"/>
  <c r="AI95" i="14"/>
  <c r="AH95" i="14"/>
  <c r="AI94" i="14"/>
  <c r="AH94" i="14"/>
  <c r="AI93" i="14"/>
  <c r="AH93" i="14"/>
  <c r="AI90" i="14"/>
  <c r="AH90" i="14"/>
  <c r="AI88" i="14"/>
  <c r="AH88" i="14"/>
  <c r="AG88" i="14"/>
  <c r="AI87" i="14"/>
  <c r="AH87" i="14"/>
  <c r="AI86" i="14"/>
  <c r="AH86" i="14"/>
  <c r="AI85" i="14"/>
  <c r="AH85" i="14"/>
  <c r="AN84" i="14"/>
  <c r="AG84" i="14"/>
  <c r="AF84" i="14"/>
  <c r="AF100" i="14" s="1"/>
  <c r="AE84" i="14"/>
  <c r="AE100" i="14" s="1"/>
  <c r="AD84" i="14"/>
  <c r="AD100" i="14" s="1"/>
  <c r="AC84" i="14"/>
  <c r="AC100" i="14" s="1"/>
  <c r="AB100" i="14"/>
  <c r="Z84" i="14"/>
  <c r="Z100" i="14" s="1"/>
  <c r="Y84" i="14"/>
  <c r="Y100" i="14" s="1"/>
  <c r="X84" i="14"/>
  <c r="X100" i="14" s="1"/>
  <c r="W84" i="14"/>
  <c r="V5" i="14" s="1"/>
  <c r="V84" i="14"/>
  <c r="V100" i="14" s="1"/>
  <c r="U84" i="14"/>
  <c r="U100" i="14" s="1"/>
  <c r="T84" i="14"/>
  <c r="T100" i="14" s="1"/>
  <c r="S84" i="14"/>
  <c r="S100" i="14" s="1"/>
  <c r="R84" i="14"/>
  <c r="R100" i="14" s="1"/>
  <c r="Q84" i="14"/>
  <c r="Q100" i="14" s="1"/>
  <c r="P84" i="14"/>
  <c r="P100" i="14" s="1"/>
  <c r="O84" i="14"/>
  <c r="O100" i="14" s="1"/>
  <c r="N84" i="14"/>
  <c r="N100" i="14" s="1"/>
  <c r="M84" i="14"/>
  <c r="M100" i="14" s="1"/>
  <c r="L84" i="14"/>
  <c r="L100" i="14" s="1"/>
  <c r="K84" i="14"/>
  <c r="K100" i="14" s="1"/>
  <c r="J84" i="14"/>
  <c r="J100" i="14" s="1"/>
  <c r="I84" i="14"/>
  <c r="I100" i="14" s="1"/>
  <c r="H84" i="14"/>
  <c r="G5" i="14" s="1"/>
  <c r="G84" i="14"/>
  <c r="G100" i="14" s="1"/>
  <c r="F84" i="14"/>
  <c r="F100" i="14" s="1"/>
  <c r="E84" i="14"/>
  <c r="E100" i="14" s="1"/>
  <c r="D84" i="14"/>
  <c r="D100" i="14" s="1"/>
  <c r="C84" i="14"/>
  <c r="C100" i="14" s="1"/>
  <c r="AN83" i="14"/>
  <c r="AI83" i="14"/>
  <c r="AH83" i="14"/>
  <c r="AN82" i="14"/>
  <c r="AI82" i="14"/>
  <c r="AH82" i="14"/>
  <c r="AN81" i="14"/>
  <c r="AI81" i="14"/>
  <c r="AH81" i="14"/>
  <c r="AI80" i="14"/>
  <c r="AH80" i="14"/>
  <c r="AI79" i="14"/>
  <c r="AH79" i="14"/>
  <c r="AI78" i="14"/>
  <c r="AH78" i="14"/>
  <c r="AI77" i="14"/>
  <c r="AH77" i="14"/>
  <c r="AI76" i="14"/>
  <c r="AH76" i="14"/>
  <c r="AI75" i="14"/>
  <c r="AH75" i="14"/>
  <c r="AI74" i="14"/>
  <c r="AH74" i="14"/>
  <c r="AI73" i="14"/>
  <c r="AH73" i="14"/>
  <c r="AG72" i="14"/>
  <c r="AF72" i="14"/>
  <c r="AE72" i="14"/>
  <c r="AD72" i="14"/>
  <c r="AC72" i="14"/>
  <c r="AB72" i="14"/>
  <c r="Z72" i="14"/>
  <c r="Y72" i="14"/>
  <c r="X72" i="14"/>
  <c r="W72" i="14"/>
  <c r="V72" i="14"/>
  <c r="U72" i="14"/>
  <c r="T72" i="14"/>
  <c r="S72" i="14"/>
  <c r="Q72" i="14"/>
  <c r="P72" i="14"/>
  <c r="O72" i="14"/>
  <c r="N72" i="14"/>
  <c r="M72" i="14"/>
  <c r="L72" i="14"/>
  <c r="AI71" i="14"/>
  <c r="AH71" i="14"/>
  <c r="AI70" i="14"/>
  <c r="AH70" i="14"/>
  <c r="AI69" i="14"/>
  <c r="AH69" i="14"/>
  <c r="AF68" i="14"/>
  <c r="AE68" i="14"/>
  <c r="AD68" i="14"/>
  <c r="AC68" i="14"/>
  <c r="AB68" i="14"/>
  <c r="Z68" i="14"/>
  <c r="Y68" i="14"/>
  <c r="X68" i="14"/>
  <c r="W68" i="14"/>
  <c r="V68" i="14"/>
  <c r="U68" i="14"/>
  <c r="T68" i="14"/>
  <c r="S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AI67" i="14"/>
  <c r="AH67" i="14"/>
  <c r="AG67" i="14"/>
  <c r="AG68" i="14" s="1"/>
  <c r="AI66" i="14"/>
  <c r="AH66" i="14"/>
  <c r="AI65" i="14"/>
  <c r="AH65" i="14"/>
  <c r="AI64" i="14"/>
  <c r="AH64" i="14"/>
  <c r="AI63" i="14"/>
  <c r="AH63" i="14"/>
  <c r="AI62" i="14"/>
  <c r="AH62" i="14"/>
  <c r="AI61" i="14"/>
  <c r="AH61" i="14"/>
  <c r="AI60" i="14"/>
  <c r="AH60" i="14"/>
  <c r="AI59" i="14"/>
  <c r="AH59" i="14"/>
  <c r="AI58" i="14"/>
  <c r="AH58" i="14"/>
  <c r="AI57" i="14"/>
  <c r="AH57" i="14"/>
  <c r="AI56" i="14"/>
  <c r="AH56" i="14"/>
  <c r="AI55" i="14"/>
  <c r="AH55" i="14"/>
  <c r="AG54" i="14"/>
  <c r="AE54" i="14"/>
  <c r="AD54" i="14"/>
  <c r="AC54" i="14"/>
  <c r="AC89" i="14" s="1"/>
  <c r="AC91" i="14" s="1"/>
  <c r="AB54" i="14"/>
  <c r="Z54" i="14"/>
  <c r="Y54" i="14"/>
  <c r="X54" i="14"/>
  <c r="W54" i="14"/>
  <c r="V54" i="14"/>
  <c r="U54" i="14"/>
  <c r="T54" i="14"/>
  <c r="S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AI53" i="14"/>
  <c r="AH53" i="14"/>
  <c r="AI52" i="14"/>
  <c r="AH52" i="14"/>
  <c r="AI51" i="14"/>
  <c r="AH51" i="14"/>
  <c r="AG50" i="14"/>
  <c r="AE50" i="14"/>
  <c r="AD50" i="14"/>
  <c r="AC50" i="14"/>
  <c r="AB50" i="14"/>
  <c r="AB89" i="14" s="1"/>
  <c r="AB91" i="14" s="1"/>
  <c r="Z50" i="14"/>
  <c r="Y50" i="14"/>
  <c r="X50" i="14"/>
  <c r="W50" i="14"/>
  <c r="V50" i="14"/>
  <c r="U50" i="14"/>
  <c r="T50" i="14"/>
  <c r="S50" i="14"/>
  <c r="R89" i="14"/>
  <c r="R91" i="14" s="1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C89" i="14" s="1"/>
  <c r="C91" i="14" s="1"/>
  <c r="AI48" i="14"/>
  <c r="AH48" i="14"/>
  <c r="AI47" i="14"/>
  <c r="AH47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AA5" i="14"/>
  <c r="Z5" i="14"/>
  <c r="S5" i="14"/>
  <c r="AG4" i="14"/>
  <c r="K4" i="14"/>
  <c r="E4" i="14"/>
  <c r="H4" i="14" s="1"/>
  <c r="B4" i="14"/>
  <c r="S246" i="14" s="1"/>
  <c r="AG2" i="14"/>
  <c r="AC113" i="13"/>
  <c r="AB113" i="13"/>
  <c r="AA113" i="13"/>
  <c r="AA110" i="13"/>
  <c r="AA99" i="13"/>
  <c r="AA88" i="13"/>
  <c r="AI88" i="13" s="1"/>
  <c r="AA84" i="13"/>
  <c r="AA100" i="13" s="1"/>
  <c r="AA72" i="13"/>
  <c r="AA68" i="13"/>
  <c r="AA54" i="13"/>
  <c r="AA50" i="13"/>
  <c r="AA89" i="13" s="1"/>
  <c r="AA91" i="13" s="1"/>
  <c r="AA92" i="13" s="1"/>
  <c r="AA109" i="13" s="1"/>
  <c r="Z113" i="13"/>
  <c r="Y113" i="13"/>
  <c r="X113" i="13"/>
  <c r="X50" i="13"/>
  <c r="X54" i="13"/>
  <c r="X68" i="13"/>
  <c r="X72" i="13"/>
  <c r="X84" i="13"/>
  <c r="X100" i="13" s="1"/>
  <c r="W113" i="13"/>
  <c r="T50" i="13"/>
  <c r="T54" i="13"/>
  <c r="T68" i="13"/>
  <c r="T72" i="13"/>
  <c r="T84" i="13"/>
  <c r="T100" i="13" s="1"/>
  <c r="T110" i="13"/>
  <c r="K72" i="13"/>
  <c r="L113" i="13"/>
  <c r="K113" i="13"/>
  <c r="J113" i="13"/>
  <c r="I113" i="13"/>
  <c r="H113" i="13"/>
  <c r="G113" i="13"/>
  <c r="F113" i="13"/>
  <c r="E113" i="13"/>
  <c r="AF274" i="13"/>
  <c r="AE274" i="13"/>
  <c r="AD274" i="13"/>
  <c r="AC274" i="13"/>
  <c r="AB274" i="13"/>
  <c r="AA274" i="13"/>
  <c r="Z274" i="13"/>
  <c r="Y274" i="13"/>
  <c r="X274" i="13"/>
  <c r="W274" i="13"/>
  <c r="V274" i="13"/>
  <c r="U274" i="13"/>
  <c r="T274" i="13"/>
  <c r="S274" i="13"/>
  <c r="R274" i="13"/>
  <c r="Q274" i="13"/>
  <c r="P274" i="13"/>
  <c r="O274" i="13"/>
  <c r="N274" i="13"/>
  <c r="M274" i="13"/>
  <c r="L274" i="13"/>
  <c r="K274" i="13"/>
  <c r="J274" i="13"/>
  <c r="I274" i="13"/>
  <c r="H274" i="13"/>
  <c r="G274" i="13"/>
  <c r="F274" i="13"/>
  <c r="E274" i="13"/>
  <c r="D274" i="13"/>
  <c r="C274" i="13"/>
  <c r="B274" i="13"/>
  <c r="A274" i="13"/>
  <c r="AF273" i="13"/>
  <c r="AE273" i="13"/>
  <c r="AD273" i="13"/>
  <c r="AC273" i="13"/>
  <c r="AB273" i="13"/>
  <c r="AA273" i="13"/>
  <c r="Z273" i="13"/>
  <c r="Y273" i="13"/>
  <c r="X273" i="13"/>
  <c r="W273" i="13"/>
  <c r="V273" i="13"/>
  <c r="U273" i="13"/>
  <c r="T273" i="13"/>
  <c r="S273" i="13"/>
  <c r="R273" i="13"/>
  <c r="Q273" i="13"/>
  <c r="P273" i="13"/>
  <c r="O273" i="13"/>
  <c r="N273" i="13"/>
  <c r="M273" i="13"/>
  <c r="L273" i="13"/>
  <c r="K273" i="13"/>
  <c r="J273" i="13"/>
  <c r="I273" i="13"/>
  <c r="H273" i="13"/>
  <c r="G273" i="13"/>
  <c r="F273" i="13"/>
  <c r="E273" i="13"/>
  <c r="D273" i="13"/>
  <c r="C273" i="13"/>
  <c r="B273" i="13"/>
  <c r="A273" i="13"/>
  <c r="AF272" i="13"/>
  <c r="AE272" i="13"/>
  <c r="AD272" i="13"/>
  <c r="AC272" i="13"/>
  <c r="AB272" i="13"/>
  <c r="AA272" i="13"/>
  <c r="Z272" i="13"/>
  <c r="Y272" i="13"/>
  <c r="X272" i="13"/>
  <c r="W272" i="13"/>
  <c r="V272" i="13"/>
  <c r="U272" i="13"/>
  <c r="T272" i="13"/>
  <c r="S272" i="13"/>
  <c r="R272" i="13"/>
  <c r="Q272" i="13"/>
  <c r="P272" i="13"/>
  <c r="O272" i="13"/>
  <c r="N272" i="13"/>
  <c r="M272" i="13"/>
  <c r="L272" i="13"/>
  <c r="K272" i="13"/>
  <c r="J272" i="13"/>
  <c r="I272" i="13"/>
  <c r="H272" i="13"/>
  <c r="G272" i="13"/>
  <c r="F272" i="13"/>
  <c r="E272" i="13"/>
  <c r="D272" i="13"/>
  <c r="C272" i="13"/>
  <c r="B272" i="13"/>
  <c r="A272" i="13"/>
  <c r="AF271" i="13"/>
  <c r="AE271" i="13"/>
  <c r="AD271" i="13"/>
  <c r="AC271" i="13"/>
  <c r="AB271" i="13"/>
  <c r="AA271" i="13"/>
  <c r="Z271" i="13"/>
  <c r="Y271" i="13"/>
  <c r="X271" i="13"/>
  <c r="W271" i="13"/>
  <c r="V271" i="13"/>
  <c r="U271" i="13"/>
  <c r="T271" i="13"/>
  <c r="S271" i="13"/>
  <c r="R271" i="13"/>
  <c r="Q271" i="13"/>
  <c r="P271" i="13"/>
  <c r="O271" i="13"/>
  <c r="N271" i="13"/>
  <c r="M271" i="13"/>
  <c r="L271" i="13"/>
  <c r="K271" i="13"/>
  <c r="J271" i="13"/>
  <c r="I271" i="13"/>
  <c r="H271" i="13"/>
  <c r="G271" i="13"/>
  <c r="F271" i="13"/>
  <c r="E271" i="13"/>
  <c r="D271" i="13"/>
  <c r="C271" i="13"/>
  <c r="B271" i="13"/>
  <c r="A271" i="13"/>
  <c r="AE270" i="13"/>
  <c r="AD270" i="13"/>
  <c r="AC270" i="13"/>
  <c r="AB270" i="13"/>
  <c r="AA270" i="13"/>
  <c r="Z270" i="13"/>
  <c r="Y270" i="13"/>
  <c r="X270" i="13"/>
  <c r="W270" i="13"/>
  <c r="V270" i="13"/>
  <c r="U270" i="13"/>
  <c r="T270" i="13"/>
  <c r="S270" i="13"/>
  <c r="R270" i="13"/>
  <c r="Q270" i="13"/>
  <c r="P270" i="13"/>
  <c r="B270" i="13"/>
  <c r="S245" i="13"/>
  <c r="AG235" i="13"/>
  <c r="AG67" i="13" s="1"/>
  <c r="AG68" i="13" s="1"/>
  <c r="AG3" i="13" s="1"/>
  <c r="AF235" i="13"/>
  <c r="AE235" i="13"/>
  <c r="AD235" i="13"/>
  <c r="AC235" i="13"/>
  <c r="AB235" i="13"/>
  <c r="AA235" i="13"/>
  <c r="Z235" i="13"/>
  <c r="Y235" i="13"/>
  <c r="X235" i="13"/>
  <c r="W235" i="13"/>
  <c r="V235" i="13"/>
  <c r="U235" i="13"/>
  <c r="T235" i="13"/>
  <c r="S235" i="13"/>
  <c r="R235" i="13"/>
  <c r="Q235" i="13"/>
  <c r="C235" i="13"/>
  <c r="D234" i="13"/>
  <c r="C270" i="13" s="1"/>
  <c r="B234" i="13"/>
  <c r="AF270" i="13" s="1"/>
  <c r="E233" i="13"/>
  <c r="F233" i="13" s="1"/>
  <c r="G233" i="13" s="1"/>
  <c r="H233" i="13" s="1"/>
  <c r="I233" i="13" s="1"/>
  <c r="J233" i="13" s="1"/>
  <c r="K233" i="13" s="1"/>
  <c r="L233" i="13" s="1"/>
  <c r="M233" i="13" s="1"/>
  <c r="N233" i="13" s="1"/>
  <c r="O233" i="13" s="1"/>
  <c r="P233" i="13" s="1"/>
  <c r="D233" i="13"/>
  <c r="B233" i="13"/>
  <c r="D232" i="13"/>
  <c r="E232" i="13" s="1"/>
  <c r="F232" i="13" s="1"/>
  <c r="G232" i="13" s="1"/>
  <c r="H232" i="13" s="1"/>
  <c r="I232" i="13" s="1"/>
  <c r="B232" i="13"/>
  <c r="E231" i="13"/>
  <c r="F231" i="13" s="1"/>
  <c r="G231" i="13" s="1"/>
  <c r="H231" i="13" s="1"/>
  <c r="D231" i="13"/>
  <c r="B231" i="13"/>
  <c r="D230" i="13"/>
  <c r="E230" i="13" s="1"/>
  <c r="F230" i="13" s="1"/>
  <c r="G230" i="13" s="1"/>
  <c r="H230" i="13" s="1"/>
  <c r="I230" i="13" s="1"/>
  <c r="J230" i="13" s="1"/>
  <c r="K230" i="13" s="1"/>
  <c r="L230" i="13" s="1"/>
  <c r="M230" i="13" s="1"/>
  <c r="N230" i="13" s="1"/>
  <c r="O230" i="13" s="1"/>
  <c r="P230" i="13" s="1"/>
  <c r="B230" i="13"/>
  <c r="B235" i="13" s="1"/>
  <c r="E229" i="13"/>
  <c r="F229" i="13" s="1"/>
  <c r="D229" i="13"/>
  <c r="B229" i="13"/>
  <c r="AG227" i="13"/>
  <c r="AF227" i="13"/>
  <c r="AE227" i="13"/>
  <c r="AD227" i="13"/>
  <c r="AC227" i="13"/>
  <c r="AB227" i="13"/>
  <c r="AA227" i="13"/>
  <c r="Z227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AI120" i="13"/>
  <c r="AH120" i="13"/>
  <c r="AI119" i="13"/>
  <c r="AH119" i="13"/>
  <c r="AI118" i="13"/>
  <c r="AH118" i="13"/>
  <c r="AI117" i="13"/>
  <c r="AH117" i="13"/>
  <c r="AI116" i="13"/>
  <c r="AH116" i="13"/>
  <c r="AI115" i="13"/>
  <c r="AH115" i="13"/>
  <c r="AI114" i="13"/>
  <c r="AH114" i="13"/>
  <c r="AI112" i="13"/>
  <c r="AH112" i="13"/>
  <c r="AI111" i="13"/>
  <c r="AH111" i="13"/>
  <c r="AF110" i="13"/>
  <c r="AE110" i="13"/>
  <c r="AC110" i="13"/>
  <c r="AB110" i="13"/>
  <c r="Z110" i="13"/>
  <c r="Y110" i="13"/>
  <c r="X110" i="13"/>
  <c r="W110" i="13"/>
  <c r="V110" i="13"/>
  <c r="U110" i="13"/>
  <c r="S110" i="13"/>
  <c r="R110" i="13"/>
  <c r="Q110" i="13"/>
  <c r="D110" i="13"/>
  <c r="C110" i="13"/>
  <c r="B110" i="13"/>
  <c r="AI108" i="13"/>
  <c r="AH108" i="13"/>
  <c r="AI107" i="13"/>
  <c r="AH107" i="13"/>
  <c r="AI106" i="13"/>
  <c r="AH106" i="13"/>
  <c r="AI105" i="13"/>
  <c r="AH105" i="13"/>
  <c r="AI104" i="13"/>
  <c r="AH104" i="13"/>
  <c r="AI103" i="13"/>
  <c r="AH103" i="13"/>
  <c r="AI102" i="13"/>
  <c r="AH102" i="13"/>
  <c r="AI101" i="13"/>
  <c r="AH101" i="13"/>
  <c r="AI99" i="13"/>
  <c r="AH99" i="13"/>
  <c r="AI98" i="13"/>
  <c r="AH98" i="13"/>
  <c r="AI97" i="13"/>
  <c r="AH97" i="13"/>
  <c r="AI96" i="13"/>
  <c r="AH96" i="13"/>
  <c r="AI95" i="13"/>
  <c r="AH95" i="13"/>
  <c r="AI94" i="13"/>
  <c r="AH94" i="13"/>
  <c r="AI93" i="13"/>
  <c r="AH93" i="13"/>
  <c r="AI90" i="13"/>
  <c r="AH90" i="13"/>
  <c r="AH88" i="13"/>
  <c r="AG88" i="13"/>
  <c r="AI87" i="13"/>
  <c r="AH87" i="13"/>
  <c r="AI86" i="13"/>
  <c r="AH86" i="13"/>
  <c r="AI85" i="13"/>
  <c r="AH85" i="13"/>
  <c r="AN84" i="13"/>
  <c r="AG84" i="13"/>
  <c r="AF84" i="13"/>
  <c r="AF100" i="13" s="1"/>
  <c r="AE84" i="13"/>
  <c r="AE100" i="13" s="1"/>
  <c r="AD84" i="13"/>
  <c r="AD100" i="13" s="1"/>
  <c r="AC84" i="13"/>
  <c r="AC100" i="13" s="1"/>
  <c r="AB84" i="13"/>
  <c r="AB100" i="13" s="1"/>
  <c r="Z84" i="13"/>
  <c r="Z100" i="13" s="1"/>
  <c r="Y84" i="13"/>
  <c r="X5" i="13" s="1"/>
  <c r="W84" i="13"/>
  <c r="W100" i="13" s="1"/>
  <c r="V84" i="13"/>
  <c r="V100" i="13" s="1"/>
  <c r="U84" i="13"/>
  <c r="U100" i="13" s="1"/>
  <c r="S84" i="13"/>
  <c r="S100" i="13" s="1"/>
  <c r="R84" i="13"/>
  <c r="R100" i="13" s="1"/>
  <c r="Q84" i="13"/>
  <c r="Q100" i="13" s="1"/>
  <c r="P84" i="13"/>
  <c r="P100" i="13" s="1"/>
  <c r="O84" i="13"/>
  <c r="O100" i="13" s="1"/>
  <c r="N84" i="13"/>
  <c r="N100" i="13" s="1"/>
  <c r="M84" i="13"/>
  <c r="M100" i="13" s="1"/>
  <c r="L84" i="13"/>
  <c r="L100" i="13" s="1"/>
  <c r="K84" i="13"/>
  <c r="K100" i="13" s="1"/>
  <c r="J84" i="13"/>
  <c r="I5" i="13" s="1"/>
  <c r="I84" i="13"/>
  <c r="H5" i="13" s="1"/>
  <c r="H84" i="13"/>
  <c r="H100" i="13" s="1"/>
  <c r="G84" i="13"/>
  <c r="F5" i="13" s="1"/>
  <c r="F84" i="13"/>
  <c r="F100" i="13" s="1"/>
  <c r="E84" i="13"/>
  <c r="E100" i="13" s="1"/>
  <c r="D84" i="13"/>
  <c r="D100" i="13" s="1"/>
  <c r="C84" i="13"/>
  <c r="B84" i="13"/>
  <c r="AI83" i="13"/>
  <c r="AH83" i="13"/>
  <c r="AN82" i="13"/>
  <c r="AI82" i="13"/>
  <c r="AH82" i="13"/>
  <c r="AN81" i="13"/>
  <c r="AI81" i="13"/>
  <c r="AH81" i="13"/>
  <c r="AI80" i="13"/>
  <c r="AH80" i="13"/>
  <c r="AI79" i="13"/>
  <c r="AH79" i="13"/>
  <c r="AI78" i="13"/>
  <c r="AH78" i="13"/>
  <c r="AI77" i="13"/>
  <c r="AH77" i="13"/>
  <c r="AI76" i="13"/>
  <c r="AH76" i="13"/>
  <c r="AI75" i="13"/>
  <c r="AH75" i="13"/>
  <c r="AI74" i="13"/>
  <c r="AH74" i="13"/>
  <c r="AI73" i="13"/>
  <c r="AH73" i="13"/>
  <c r="AG72" i="13"/>
  <c r="AG4" i="13" s="1"/>
  <c r="AF72" i="13"/>
  <c r="AE72" i="13"/>
  <c r="AD72" i="13"/>
  <c r="AC72" i="13"/>
  <c r="AB72" i="13"/>
  <c r="Z72" i="13"/>
  <c r="Y72" i="13"/>
  <c r="W72" i="13"/>
  <c r="V72" i="13"/>
  <c r="U72" i="13"/>
  <c r="S72" i="13"/>
  <c r="R72" i="13"/>
  <c r="Q72" i="13"/>
  <c r="P72" i="13"/>
  <c r="O72" i="13"/>
  <c r="N72" i="13"/>
  <c r="M72" i="13"/>
  <c r="L72" i="13"/>
  <c r="B72" i="13"/>
  <c r="AI71" i="13"/>
  <c r="AH71" i="13"/>
  <c r="AI70" i="13"/>
  <c r="AH70" i="13"/>
  <c r="AI69" i="13"/>
  <c r="AH69" i="13"/>
  <c r="AF68" i="13"/>
  <c r="AE68" i="13"/>
  <c r="AD68" i="13"/>
  <c r="AC68" i="13"/>
  <c r="AB68" i="13"/>
  <c r="Z68" i="13"/>
  <c r="Y68" i="13"/>
  <c r="W68" i="13"/>
  <c r="V68" i="13"/>
  <c r="U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AI67" i="13"/>
  <c r="AH67" i="13"/>
  <c r="AI66" i="13"/>
  <c r="AH66" i="13"/>
  <c r="AI65" i="13"/>
  <c r="AH65" i="13"/>
  <c r="AI64" i="13"/>
  <c r="AH64" i="13"/>
  <c r="AI63" i="13"/>
  <c r="AH63" i="13"/>
  <c r="AI62" i="13"/>
  <c r="AH62" i="13"/>
  <c r="AI61" i="13"/>
  <c r="AH61" i="13"/>
  <c r="AI60" i="13"/>
  <c r="AH60" i="13"/>
  <c r="AI59" i="13"/>
  <c r="AH59" i="13"/>
  <c r="AI58" i="13"/>
  <c r="AH58" i="13"/>
  <c r="AI57" i="13"/>
  <c r="AH57" i="13"/>
  <c r="AI56" i="13"/>
  <c r="AH56" i="13"/>
  <c r="AI55" i="13"/>
  <c r="AH55" i="13"/>
  <c r="AG54" i="13"/>
  <c r="AF54" i="13"/>
  <c r="AE54" i="13"/>
  <c r="AD54" i="13"/>
  <c r="AC54" i="13"/>
  <c r="AB54" i="13"/>
  <c r="Z54" i="13"/>
  <c r="Y54" i="13"/>
  <c r="W54" i="13"/>
  <c r="V54" i="13"/>
  <c r="U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AI53" i="13"/>
  <c r="AH53" i="13"/>
  <c r="AI52" i="13"/>
  <c r="AH52" i="13"/>
  <c r="AI51" i="13"/>
  <c r="AH51" i="13"/>
  <c r="AG50" i="13"/>
  <c r="AF50" i="13"/>
  <c r="AE50" i="13"/>
  <c r="AD50" i="13"/>
  <c r="AC50" i="13"/>
  <c r="AB50" i="13"/>
  <c r="Z50" i="13"/>
  <c r="Y50" i="13"/>
  <c r="W50" i="13"/>
  <c r="V50" i="13"/>
  <c r="U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N5" i="13"/>
  <c r="K4" i="13"/>
  <c r="E4" i="13"/>
  <c r="H4" i="13" s="1"/>
  <c r="B4" i="13"/>
  <c r="S246" i="13" s="1"/>
  <c r="AG2" i="13"/>
  <c r="AB113" i="12"/>
  <c r="AB68" i="12"/>
  <c r="AB54" i="12"/>
  <c r="AA100" i="12"/>
  <c r="AA50" i="12"/>
  <c r="AF89" i="14" l="1"/>
  <c r="AF91" i="14" s="1"/>
  <c r="AF7" i="14" s="1"/>
  <c r="AD5" i="14"/>
  <c r="AE89" i="14"/>
  <c r="AE91" i="14" s="1"/>
  <c r="AW249" i="14" s="1"/>
  <c r="AC5" i="14"/>
  <c r="AD89" i="14"/>
  <c r="AD91" i="14" s="1"/>
  <c r="AD92" i="14" s="1"/>
  <c r="AI113" i="14"/>
  <c r="Y5" i="14"/>
  <c r="Z89" i="14"/>
  <c r="Z91" i="14" s="1"/>
  <c r="Z92" i="14" s="1"/>
  <c r="Y89" i="14"/>
  <c r="Y91" i="14" s="1"/>
  <c r="AQ249" i="14" s="1"/>
  <c r="X89" i="14"/>
  <c r="X91" i="14" s="1"/>
  <c r="X92" i="14" s="1"/>
  <c r="AI49" i="14"/>
  <c r="W100" i="14"/>
  <c r="W89" i="14"/>
  <c r="W91" i="14" s="1"/>
  <c r="AO249" i="14" s="1"/>
  <c r="AH49" i="14"/>
  <c r="U5" i="14"/>
  <c r="V89" i="14"/>
  <c r="V91" i="14" s="1"/>
  <c r="V92" i="14" s="1"/>
  <c r="U89" i="14"/>
  <c r="U91" i="14" s="1"/>
  <c r="T89" i="14"/>
  <c r="T91" i="14" s="1"/>
  <c r="R5" i="14"/>
  <c r="S89" i="14"/>
  <c r="S91" i="14" s="1"/>
  <c r="Q5" i="14"/>
  <c r="Q89" i="14"/>
  <c r="Q91" i="14" s="1"/>
  <c r="P89" i="14"/>
  <c r="P91" i="14" s="1"/>
  <c r="P7" i="14" s="1"/>
  <c r="N5" i="14"/>
  <c r="O89" i="14"/>
  <c r="O91" i="14" s="1"/>
  <c r="M5" i="14"/>
  <c r="N89" i="14"/>
  <c r="N91" i="14" s="1"/>
  <c r="M89" i="14"/>
  <c r="M91" i="14" s="1"/>
  <c r="M92" i="14" s="1"/>
  <c r="J5" i="14"/>
  <c r="K5" i="14"/>
  <c r="L89" i="14"/>
  <c r="L91" i="14" s="1"/>
  <c r="L7" i="14" s="1"/>
  <c r="K89" i="14"/>
  <c r="K91" i="14" s="1"/>
  <c r="K7" i="14" s="1"/>
  <c r="I5" i="14"/>
  <c r="J89" i="14"/>
  <c r="J91" i="14" s="1"/>
  <c r="J92" i="14" s="1"/>
  <c r="H89" i="14"/>
  <c r="H91" i="14" s="1"/>
  <c r="H92" i="14" s="1"/>
  <c r="F5" i="14"/>
  <c r="G89" i="14"/>
  <c r="G91" i="14" s="1"/>
  <c r="E5" i="14"/>
  <c r="F89" i="14"/>
  <c r="F91" i="14" s="1"/>
  <c r="X249" i="14" s="1"/>
  <c r="AI54" i="14"/>
  <c r="E89" i="14"/>
  <c r="E91" i="14" s="1"/>
  <c r="E7" i="14" s="1"/>
  <c r="C5" i="14"/>
  <c r="D89" i="14"/>
  <c r="D91" i="14" s="1"/>
  <c r="D92" i="14" s="1"/>
  <c r="B5" i="14"/>
  <c r="AH72" i="14"/>
  <c r="I89" i="14"/>
  <c r="I91" i="14" s="1"/>
  <c r="AA249" i="14" s="1"/>
  <c r="AI68" i="14"/>
  <c r="AF5" i="14"/>
  <c r="B89" i="14"/>
  <c r="B91" i="14" s="1"/>
  <c r="B92" i="14" s="1"/>
  <c r="D246" i="14"/>
  <c r="R7" i="14"/>
  <c r="R92" i="14"/>
  <c r="AJ249" i="14"/>
  <c r="Q7" i="14"/>
  <c r="Q92" i="14"/>
  <c r="AI249" i="14"/>
  <c r="C7" i="14"/>
  <c r="C92" i="14"/>
  <c r="U249" i="14"/>
  <c r="AC249" i="14"/>
  <c r="S7" i="14"/>
  <c r="S92" i="14"/>
  <c r="AK249" i="14"/>
  <c r="AA7" i="14"/>
  <c r="AS249" i="14"/>
  <c r="E92" i="14"/>
  <c r="G229" i="14"/>
  <c r="E110" i="14"/>
  <c r="D270" i="14"/>
  <c r="F234" i="14"/>
  <c r="J232" i="14"/>
  <c r="K232" i="14" s="1"/>
  <c r="L232" i="14" s="1"/>
  <c r="M232" i="14" s="1"/>
  <c r="N232" i="14" s="1"/>
  <c r="O232" i="14" s="1"/>
  <c r="P232" i="14" s="1"/>
  <c r="AF249" i="14"/>
  <c r="N92" i="14"/>
  <c r="N7" i="14"/>
  <c r="T92" i="14"/>
  <c r="AL249" i="14"/>
  <c r="T7" i="14"/>
  <c r="AG249" i="14"/>
  <c r="O92" i="14"/>
  <c r="O7" i="14"/>
  <c r="AE7" i="14"/>
  <c r="AG91" i="14"/>
  <c r="U92" i="14"/>
  <c r="AM249" i="14"/>
  <c r="U7" i="14"/>
  <c r="P92" i="14"/>
  <c r="AP249" i="14"/>
  <c r="X7" i="14"/>
  <c r="AX249" i="14"/>
  <c r="AF92" i="14"/>
  <c r="AG3" i="14"/>
  <c r="AG6" i="14" s="1"/>
  <c r="AG89" i="14"/>
  <c r="AB92" i="14"/>
  <c r="AT249" i="14"/>
  <c r="AB7" i="14"/>
  <c r="AC92" i="14"/>
  <c r="AU249" i="14"/>
  <c r="AC7" i="14"/>
  <c r="AH68" i="14"/>
  <c r="W5" i="14"/>
  <c r="AE5" i="14"/>
  <c r="H100" i="14"/>
  <c r="AH100" i="14" s="1"/>
  <c r="H5" i="14"/>
  <c r="P5" i="14"/>
  <c r="X5" i="14"/>
  <c r="AH84" i="14"/>
  <c r="C270" i="14"/>
  <c r="AH50" i="14"/>
  <c r="AH54" i="14"/>
  <c r="AI84" i="14"/>
  <c r="AI50" i="14"/>
  <c r="B235" i="14"/>
  <c r="AI72" i="14"/>
  <c r="O5" i="14"/>
  <c r="E230" i="14"/>
  <c r="D5" i="14"/>
  <c r="L5" i="14"/>
  <c r="T5" i="14"/>
  <c r="AB5" i="14"/>
  <c r="AD5" i="13"/>
  <c r="AE89" i="13"/>
  <c r="AE91" i="13" s="1"/>
  <c r="AC5" i="13"/>
  <c r="AA5" i="13"/>
  <c r="AI109" i="13"/>
  <c r="AH109" i="13"/>
  <c r="X89" i="13"/>
  <c r="X91" i="13" s="1"/>
  <c r="X92" i="13" s="1"/>
  <c r="Z89" i="13"/>
  <c r="Z91" i="13" s="1"/>
  <c r="V5" i="13"/>
  <c r="W89" i="13"/>
  <c r="W91" i="13" s="1"/>
  <c r="AO249" i="13" s="1"/>
  <c r="U5" i="13"/>
  <c r="Y5" i="13"/>
  <c r="Y89" i="13"/>
  <c r="Y91" i="13" s="1"/>
  <c r="Y7" i="13" s="1"/>
  <c r="D235" i="13"/>
  <c r="AB89" i="13"/>
  <c r="AB91" i="13" s="1"/>
  <c r="AT249" i="13" s="1"/>
  <c r="AC89" i="13"/>
  <c r="AC91" i="13" s="1"/>
  <c r="AN83" i="13"/>
  <c r="AG91" i="13"/>
  <c r="Y100" i="13"/>
  <c r="AG6" i="13"/>
  <c r="AF89" i="13"/>
  <c r="AF91" i="13" s="1"/>
  <c r="AX249" i="13" s="1"/>
  <c r="V89" i="13"/>
  <c r="V91" i="13" s="1"/>
  <c r="V7" i="13" s="1"/>
  <c r="AD89" i="13"/>
  <c r="AD91" i="13" s="1"/>
  <c r="AV249" i="13" s="1"/>
  <c r="T89" i="13"/>
  <c r="T91" i="13" s="1"/>
  <c r="T92" i="13" s="1"/>
  <c r="U89" i="13"/>
  <c r="U91" i="13" s="1"/>
  <c r="U92" i="13" s="1"/>
  <c r="S5" i="13"/>
  <c r="S89" i="13"/>
  <c r="S91" i="13" s="1"/>
  <c r="Q5" i="13"/>
  <c r="R89" i="13"/>
  <c r="R91" i="13" s="1"/>
  <c r="P5" i="13"/>
  <c r="Q89" i="13"/>
  <c r="Q91" i="13" s="1"/>
  <c r="P89" i="13"/>
  <c r="P91" i="13" s="1"/>
  <c r="AH249" i="13" s="1"/>
  <c r="M5" i="13"/>
  <c r="N89" i="13"/>
  <c r="N91" i="13" s="1"/>
  <c r="O89" i="13"/>
  <c r="O91" i="13" s="1"/>
  <c r="AG249" i="13" s="1"/>
  <c r="M89" i="13"/>
  <c r="M91" i="13" s="1"/>
  <c r="M92" i="13" s="1"/>
  <c r="K5" i="13"/>
  <c r="AH72" i="13"/>
  <c r="L89" i="13"/>
  <c r="L91" i="13" s="1"/>
  <c r="L92" i="13" s="1"/>
  <c r="AI113" i="13"/>
  <c r="K89" i="13"/>
  <c r="K91" i="13" s="1"/>
  <c r="AC249" i="13" s="1"/>
  <c r="J89" i="13"/>
  <c r="J91" i="13" s="1"/>
  <c r="J100" i="13"/>
  <c r="I100" i="13"/>
  <c r="I89" i="13"/>
  <c r="I91" i="13" s="1"/>
  <c r="I92" i="13" s="1"/>
  <c r="AH113" i="13"/>
  <c r="H89" i="13"/>
  <c r="H91" i="13" s="1"/>
  <c r="H7" i="13" s="1"/>
  <c r="G100" i="13"/>
  <c r="G89" i="13"/>
  <c r="G91" i="13" s="1"/>
  <c r="G7" i="13" s="1"/>
  <c r="E5" i="13"/>
  <c r="F89" i="13"/>
  <c r="F91" i="13" s="1"/>
  <c r="F92" i="13" s="1"/>
  <c r="E89" i="13"/>
  <c r="E91" i="13" s="1"/>
  <c r="E7" i="13" s="1"/>
  <c r="C5" i="13"/>
  <c r="D89" i="13"/>
  <c r="D91" i="13" s="1"/>
  <c r="D7" i="13" s="1"/>
  <c r="AH84" i="13"/>
  <c r="AI68" i="13"/>
  <c r="C89" i="13"/>
  <c r="C91" i="13" s="1"/>
  <c r="C7" i="13" s="1"/>
  <c r="AH54" i="13"/>
  <c r="AH50" i="13"/>
  <c r="AF5" i="13"/>
  <c r="AI84" i="13"/>
  <c r="B100" i="13"/>
  <c r="D246" i="13"/>
  <c r="T7" i="13"/>
  <c r="AC92" i="13"/>
  <c r="AU249" i="13"/>
  <c r="AC7" i="13"/>
  <c r="S7" i="13"/>
  <c r="S92" i="13"/>
  <c r="AK249" i="13"/>
  <c r="AW249" i="13"/>
  <c r="AE7" i="13"/>
  <c r="AE92" i="13"/>
  <c r="G229" i="13"/>
  <c r="AA7" i="13"/>
  <c r="P7" i="13"/>
  <c r="P92" i="13"/>
  <c r="X7" i="13"/>
  <c r="AP249" i="13"/>
  <c r="J232" i="13"/>
  <c r="K232" i="13" s="1"/>
  <c r="L232" i="13" s="1"/>
  <c r="M232" i="13" s="1"/>
  <c r="N232" i="13" s="1"/>
  <c r="O232" i="13" s="1"/>
  <c r="P232" i="13" s="1"/>
  <c r="Q7" i="13"/>
  <c r="Q92" i="13"/>
  <c r="AI249" i="13"/>
  <c r="AQ249" i="13"/>
  <c r="AG89" i="13"/>
  <c r="AF249" i="13"/>
  <c r="N7" i="13"/>
  <c r="N92" i="13"/>
  <c r="J7" i="13"/>
  <c r="J92" i="13"/>
  <c r="AB249" i="13"/>
  <c r="R7" i="13"/>
  <c r="R92" i="13"/>
  <c r="AJ249" i="13"/>
  <c r="Z7" i="13"/>
  <c r="Z92" i="13"/>
  <c r="AR249" i="13"/>
  <c r="AH68" i="13"/>
  <c r="AI72" i="13"/>
  <c r="G5" i="13"/>
  <c r="O5" i="13"/>
  <c r="W5" i="13"/>
  <c r="AE5" i="13"/>
  <c r="E234" i="13"/>
  <c r="E235" i="13" s="1"/>
  <c r="B5" i="13"/>
  <c r="J5" i="13"/>
  <c r="R5" i="13"/>
  <c r="Z5" i="13"/>
  <c r="AI50" i="13"/>
  <c r="AI54" i="13"/>
  <c r="C100" i="13"/>
  <c r="D5" i="13"/>
  <c r="L5" i="13"/>
  <c r="T5" i="13"/>
  <c r="AB5" i="13"/>
  <c r="B89" i="13"/>
  <c r="W92" i="14" l="1"/>
  <c r="W7" i="14"/>
  <c r="AN249" i="14"/>
  <c r="V7" i="14"/>
  <c r="AE92" i="14"/>
  <c r="AD7" i="14"/>
  <c r="AV249" i="14"/>
  <c r="AR249" i="14"/>
  <c r="Z7" i="14"/>
  <c r="Y92" i="14"/>
  <c r="Y7" i="14"/>
  <c r="AH249" i="14"/>
  <c r="F92" i="14"/>
  <c r="L92" i="14"/>
  <c r="M7" i="14"/>
  <c r="AE249" i="14"/>
  <c r="K92" i="14"/>
  <c r="AD249" i="14"/>
  <c r="J7" i="14"/>
  <c r="AB249" i="14"/>
  <c r="I92" i="14"/>
  <c r="I7" i="14"/>
  <c r="AI100" i="14"/>
  <c r="H7" i="14"/>
  <c r="Z249" i="14"/>
  <c r="C244" i="14"/>
  <c r="G92" i="14"/>
  <c r="G7" i="14"/>
  <c r="B244" i="14"/>
  <c r="Y249" i="14"/>
  <c r="F7" i="14"/>
  <c r="W249" i="14"/>
  <c r="D7" i="14"/>
  <c r="V249" i="14"/>
  <c r="AF92" i="13"/>
  <c r="AF7" i="13"/>
  <c r="AH89" i="14"/>
  <c r="AI89" i="14"/>
  <c r="E235" i="14"/>
  <c r="F230" i="14"/>
  <c r="E270" i="14"/>
  <c r="G234" i="14"/>
  <c r="F110" i="14"/>
  <c r="B7" i="14"/>
  <c r="AI91" i="14"/>
  <c r="T249" i="14"/>
  <c r="AH91" i="14"/>
  <c r="H229" i="14"/>
  <c r="G110" i="14"/>
  <c r="AD92" i="13"/>
  <c r="AD7" i="13"/>
  <c r="AB92" i="13"/>
  <c r="AB7" i="13"/>
  <c r="W92" i="13"/>
  <c r="W7" i="13"/>
  <c r="Y92" i="13"/>
  <c r="AN249" i="13"/>
  <c r="V92" i="13"/>
  <c r="L7" i="13"/>
  <c r="AM249" i="13"/>
  <c r="U7" i="13"/>
  <c r="AL249" i="13"/>
  <c r="AA249" i="13"/>
  <c r="AS249" i="13"/>
  <c r="I7" i="13"/>
  <c r="F7" i="13"/>
  <c r="Z249" i="13"/>
  <c r="H92" i="13"/>
  <c r="AD249" i="13"/>
  <c r="O7" i="13"/>
  <c r="K92" i="13"/>
  <c r="AE249" i="13"/>
  <c r="O92" i="13"/>
  <c r="M7" i="13"/>
  <c r="K7" i="13"/>
  <c r="B244" i="13"/>
  <c r="C244" i="13"/>
  <c r="G92" i="13"/>
  <c r="Y249" i="13"/>
  <c r="V249" i="13"/>
  <c r="D92" i="13"/>
  <c r="X249" i="13"/>
  <c r="U249" i="13"/>
  <c r="C92" i="13"/>
  <c r="W249" i="13"/>
  <c r="E92" i="13"/>
  <c r="AI100" i="13"/>
  <c r="AH100" i="13"/>
  <c r="D270" i="13"/>
  <c r="F234" i="13"/>
  <c r="E110" i="13"/>
  <c r="H229" i="13"/>
  <c r="AI89" i="13"/>
  <c r="AH89" i="13"/>
  <c r="B91" i="13"/>
  <c r="A7" i="14" l="1"/>
  <c r="K6" i="14"/>
  <c r="AI92" i="14"/>
  <c r="AH92" i="14"/>
  <c r="F270" i="14"/>
  <c r="H234" i="14"/>
  <c r="H110" i="14" s="1"/>
  <c r="I229" i="14"/>
  <c r="G230" i="14"/>
  <c r="F235" i="14"/>
  <c r="K6" i="13"/>
  <c r="I229" i="13"/>
  <c r="E270" i="13"/>
  <c r="G234" i="13"/>
  <c r="F110" i="13"/>
  <c r="F235" i="13"/>
  <c r="B7" i="13"/>
  <c r="A7" i="13" s="1"/>
  <c r="B92" i="13"/>
  <c r="AI91" i="13"/>
  <c r="T249" i="13"/>
  <c r="AH91" i="13"/>
  <c r="F54" i="12"/>
  <c r="D113" i="12"/>
  <c r="C113" i="12"/>
  <c r="C50" i="12"/>
  <c r="C54" i="12"/>
  <c r="C68" i="12"/>
  <c r="C72" i="12"/>
  <c r="C84" i="12"/>
  <c r="C100" i="12" s="1"/>
  <c r="C110" i="12"/>
  <c r="B113" i="12"/>
  <c r="B110" i="12"/>
  <c r="B84" i="12"/>
  <c r="B100" i="12" s="1"/>
  <c r="B72" i="12"/>
  <c r="B68" i="12"/>
  <c r="B54" i="12"/>
  <c r="B50" i="12"/>
  <c r="AF274" i="12"/>
  <c r="AE274" i="12"/>
  <c r="AD274" i="12"/>
  <c r="AC274" i="12"/>
  <c r="AB274" i="12"/>
  <c r="AA274" i="12"/>
  <c r="Z274" i="12"/>
  <c r="Y274" i="12"/>
  <c r="X274" i="12"/>
  <c r="W274" i="12"/>
  <c r="V274" i="12"/>
  <c r="U274" i="12"/>
  <c r="T274" i="12"/>
  <c r="S274" i="12"/>
  <c r="R274" i="12"/>
  <c r="Q274" i="12"/>
  <c r="P274" i="12"/>
  <c r="O274" i="12"/>
  <c r="N274" i="12"/>
  <c r="M274" i="12"/>
  <c r="L274" i="12"/>
  <c r="K274" i="12"/>
  <c r="J274" i="12"/>
  <c r="I274" i="12"/>
  <c r="H274" i="12"/>
  <c r="G274" i="12"/>
  <c r="F274" i="12"/>
  <c r="E274" i="12"/>
  <c r="D274" i="12"/>
  <c r="C274" i="12"/>
  <c r="B274" i="12"/>
  <c r="A274" i="12"/>
  <c r="AF273" i="12"/>
  <c r="AE273" i="12"/>
  <c r="AD273" i="12"/>
  <c r="AC273" i="12"/>
  <c r="AB273" i="12"/>
  <c r="AA273" i="12"/>
  <c r="Z273" i="12"/>
  <c r="Y273" i="12"/>
  <c r="X273" i="12"/>
  <c r="W273" i="12"/>
  <c r="V273" i="12"/>
  <c r="U273" i="12"/>
  <c r="T273" i="12"/>
  <c r="S273" i="12"/>
  <c r="R273" i="12"/>
  <c r="Q273" i="12"/>
  <c r="P273" i="12"/>
  <c r="O273" i="12"/>
  <c r="N273" i="12"/>
  <c r="M273" i="12"/>
  <c r="L273" i="12"/>
  <c r="K273" i="12"/>
  <c r="J273" i="12"/>
  <c r="I273" i="12"/>
  <c r="H273" i="12"/>
  <c r="G273" i="12"/>
  <c r="F273" i="12"/>
  <c r="E273" i="12"/>
  <c r="D273" i="12"/>
  <c r="C273" i="12"/>
  <c r="B273" i="12"/>
  <c r="A273" i="12"/>
  <c r="AF272" i="12"/>
  <c r="AE272" i="12"/>
  <c r="AD272" i="12"/>
  <c r="AC272" i="12"/>
  <c r="AB272" i="12"/>
  <c r="AA272" i="12"/>
  <c r="Z272" i="12"/>
  <c r="Y272" i="12"/>
  <c r="X272" i="12"/>
  <c r="W272" i="12"/>
  <c r="V272" i="12"/>
  <c r="U272" i="12"/>
  <c r="T272" i="12"/>
  <c r="S272" i="12"/>
  <c r="R272" i="12"/>
  <c r="Q272" i="12"/>
  <c r="P272" i="12"/>
  <c r="O272" i="12"/>
  <c r="N272" i="12"/>
  <c r="M272" i="12"/>
  <c r="L272" i="12"/>
  <c r="K272" i="12"/>
  <c r="J272" i="12"/>
  <c r="I272" i="12"/>
  <c r="H272" i="12"/>
  <c r="G272" i="12"/>
  <c r="F272" i="12"/>
  <c r="E272" i="12"/>
  <c r="D272" i="12"/>
  <c r="C272" i="12"/>
  <c r="B272" i="12"/>
  <c r="A272" i="12"/>
  <c r="AF271" i="12"/>
  <c r="AE271" i="12"/>
  <c r="AD271" i="12"/>
  <c r="AC271" i="12"/>
  <c r="AB271" i="12"/>
  <c r="AA271" i="12"/>
  <c r="Z271" i="12"/>
  <c r="Y271" i="12"/>
  <c r="X271" i="12"/>
  <c r="W271" i="12"/>
  <c r="V271" i="12"/>
  <c r="U271" i="12"/>
  <c r="T271" i="12"/>
  <c r="S271" i="12"/>
  <c r="R271" i="12"/>
  <c r="Q271" i="12"/>
  <c r="P271" i="12"/>
  <c r="O271" i="12"/>
  <c r="N271" i="12"/>
  <c r="M271" i="12"/>
  <c r="L271" i="12"/>
  <c r="K271" i="12"/>
  <c r="J271" i="12"/>
  <c r="I271" i="12"/>
  <c r="H271" i="12"/>
  <c r="G271" i="12"/>
  <c r="F271" i="12"/>
  <c r="E271" i="12"/>
  <c r="D271" i="12"/>
  <c r="C271" i="12"/>
  <c r="B271" i="12"/>
  <c r="A271" i="12"/>
  <c r="AE270" i="12"/>
  <c r="AD270" i="12"/>
  <c r="AC270" i="12"/>
  <c r="AB270" i="12"/>
  <c r="AA270" i="12"/>
  <c r="Z270" i="12"/>
  <c r="Y270" i="12"/>
  <c r="X270" i="12"/>
  <c r="W270" i="12"/>
  <c r="V270" i="12"/>
  <c r="U270" i="12"/>
  <c r="T270" i="12"/>
  <c r="S270" i="12"/>
  <c r="R270" i="12"/>
  <c r="Q270" i="12"/>
  <c r="P270" i="12"/>
  <c r="C270" i="12"/>
  <c r="B270" i="12"/>
  <c r="S245" i="12"/>
  <c r="AG235" i="12"/>
  <c r="AF235" i="12"/>
  <c r="AE235" i="12"/>
  <c r="AD235" i="12"/>
  <c r="AC235" i="12"/>
  <c r="AB235" i="12"/>
  <c r="AA235" i="12"/>
  <c r="Z235" i="12"/>
  <c r="Y235" i="12"/>
  <c r="X235" i="12"/>
  <c r="W235" i="12"/>
  <c r="V235" i="12"/>
  <c r="U235" i="12"/>
  <c r="T235" i="12"/>
  <c r="S235" i="12"/>
  <c r="R235" i="12"/>
  <c r="Q235" i="12"/>
  <c r="C235" i="12"/>
  <c r="E234" i="12"/>
  <c r="D234" i="12"/>
  <c r="B234" i="12"/>
  <c r="AF270" i="12" s="1"/>
  <c r="D233" i="12"/>
  <c r="E233" i="12" s="1"/>
  <c r="F233" i="12" s="1"/>
  <c r="G233" i="12" s="1"/>
  <c r="H233" i="12" s="1"/>
  <c r="I233" i="12" s="1"/>
  <c r="J233" i="12" s="1"/>
  <c r="K233" i="12" s="1"/>
  <c r="L233" i="12" s="1"/>
  <c r="M233" i="12" s="1"/>
  <c r="N233" i="12" s="1"/>
  <c r="O233" i="12" s="1"/>
  <c r="P233" i="12" s="1"/>
  <c r="B233" i="12"/>
  <c r="D232" i="12"/>
  <c r="E232" i="12" s="1"/>
  <c r="F232" i="12" s="1"/>
  <c r="G232" i="12" s="1"/>
  <c r="H232" i="12" s="1"/>
  <c r="I232" i="12" s="1"/>
  <c r="B232" i="12"/>
  <c r="G231" i="12"/>
  <c r="H231" i="12" s="1"/>
  <c r="E231" i="12"/>
  <c r="F231" i="12" s="1"/>
  <c r="D231" i="12"/>
  <c r="B231" i="12"/>
  <c r="E230" i="12"/>
  <c r="F230" i="12" s="1"/>
  <c r="G230" i="12" s="1"/>
  <c r="H230" i="12" s="1"/>
  <c r="I230" i="12" s="1"/>
  <c r="J230" i="12" s="1"/>
  <c r="K230" i="12" s="1"/>
  <c r="L230" i="12" s="1"/>
  <c r="M230" i="12" s="1"/>
  <c r="N230" i="12" s="1"/>
  <c r="O230" i="12" s="1"/>
  <c r="P230" i="12" s="1"/>
  <c r="D230" i="12"/>
  <c r="B230" i="12"/>
  <c r="D229" i="12"/>
  <c r="D235" i="12" s="1"/>
  <c r="B229" i="12"/>
  <c r="AG227" i="12"/>
  <c r="AF227" i="12"/>
  <c r="AE227" i="12"/>
  <c r="AD227" i="12"/>
  <c r="AC227" i="12"/>
  <c r="AB227" i="12"/>
  <c r="AA227" i="12"/>
  <c r="Z227" i="12"/>
  <c r="Y227" i="12"/>
  <c r="X227" i="12"/>
  <c r="W227" i="12"/>
  <c r="V227" i="12"/>
  <c r="U227" i="12"/>
  <c r="T227" i="12"/>
  <c r="S227" i="12"/>
  <c r="R227" i="12"/>
  <c r="Q227" i="12"/>
  <c r="P227" i="12"/>
  <c r="O227" i="12"/>
  <c r="N227" i="12"/>
  <c r="M227" i="12"/>
  <c r="L227" i="12"/>
  <c r="K227" i="12"/>
  <c r="J227" i="12"/>
  <c r="I227" i="12"/>
  <c r="H227" i="12"/>
  <c r="G227" i="12"/>
  <c r="F227" i="12"/>
  <c r="E227" i="12"/>
  <c r="D227" i="12"/>
  <c r="C227" i="12"/>
  <c r="B227" i="12"/>
  <c r="AI120" i="12"/>
  <c r="AH120" i="12"/>
  <c r="AI119" i="12"/>
  <c r="AH119" i="12"/>
  <c r="AI118" i="12"/>
  <c r="AH118" i="12"/>
  <c r="AI117" i="12"/>
  <c r="AH117" i="12"/>
  <c r="AI116" i="12"/>
  <c r="AH116" i="12"/>
  <c r="AI115" i="12"/>
  <c r="AH115" i="12"/>
  <c r="AI114" i="12"/>
  <c r="AH114" i="12"/>
  <c r="AI113" i="12"/>
  <c r="AI112" i="12"/>
  <c r="AH112" i="12"/>
  <c r="AI111" i="12"/>
  <c r="AH111" i="12"/>
  <c r="AF110" i="12"/>
  <c r="AE110" i="12"/>
  <c r="AC110" i="12"/>
  <c r="AB110" i="12"/>
  <c r="AA110" i="12"/>
  <c r="Z110" i="12"/>
  <c r="Y110" i="12"/>
  <c r="X110" i="12"/>
  <c r="W110" i="12"/>
  <c r="V110" i="12"/>
  <c r="U110" i="12"/>
  <c r="T110" i="12"/>
  <c r="S110" i="12"/>
  <c r="R110" i="12"/>
  <c r="Q110" i="12"/>
  <c r="AI109" i="12"/>
  <c r="AH109" i="12"/>
  <c r="AI108" i="12"/>
  <c r="AH108" i="12"/>
  <c r="AI107" i="12"/>
  <c r="AH107" i="12"/>
  <c r="AI106" i="12"/>
  <c r="AH106" i="12"/>
  <c r="AI105" i="12"/>
  <c r="AH105" i="12"/>
  <c r="AI104" i="12"/>
  <c r="AH104" i="12"/>
  <c r="AI103" i="12"/>
  <c r="AH103" i="12"/>
  <c r="AI102" i="12"/>
  <c r="AH102" i="12"/>
  <c r="AI101" i="12"/>
  <c r="AH101" i="12"/>
  <c r="AI99" i="12"/>
  <c r="AH99" i="12"/>
  <c r="AI98" i="12"/>
  <c r="AH98" i="12"/>
  <c r="AI97" i="12"/>
  <c r="AH97" i="12"/>
  <c r="AI96" i="12"/>
  <c r="AH96" i="12"/>
  <c r="AI95" i="12"/>
  <c r="AH95" i="12"/>
  <c r="AI94" i="12"/>
  <c r="AH94" i="12"/>
  <c r="AI93" i="12"/>
  <c r="AH93" i="12"/>
  <c r="AI90" i="12"/>
  <c r="AH90" i="12"/>
  <c r="AI88" i="12"/>
  <c r="AH88" i="12"/>
  <c r="AG88" i="12"/>
  <c r="AI87" i="12"/>
  <c r="AH87" i="12"/>
  <c r="AI86" i="12"/>
  <c r="AH86" i="12"/>
  <c r="AI85" i="12"/>
  <c r="AH85" i="12"/>
  <c r="AN84" i="12"/>
  <c r="AG84" i="12"/>
  <c r="AG91" i="12" s="1"/>
  <c r="AF84" i="12"/>
  <c r="AF100" i="12" s="1"/>
  <c r="AE84" i="12"/>
  <c r="AE100" i="12" s="1"/>
  <c r="AD84" i="12"/>
  <c r="AD100" i="12" s="1"/>
  <c r="AC84" i="12"/>
  <c r="AC100" i="12" s="1"/>
  <c r="AB84" i="12"/>
  <c r="AB100" i="12" s="1"/>
  <c r="AA84" i="12"/>
  <c r="Z5" i="12" s="1"/>
  <c r="Z84" i="12"/>
  <c r="Z100" i="12" s="1"/>
  <c r="Y84" i="12"/>
  <c r="X84" i="12"/>
  <c r="W5" i="12" s="1"/>
  <c r="W84" i="12"/>
  <c r="W100" i="12" s="1"/>
  <c r="V84" i="12"/>
  <c r="V100" i="12" s="1"/>
  <c r="U84" i="12"/>
  <c r="U100" i="12" s="1"/>
  <c r="T84" i="12"/>
  <c r="T100" i="12" s="1"/>
  <c r="S84" i="12"/>
  <c r="S100" i="12" s="1"/>
  <c r="R84" i="12"/>
  <c r="R100" i="12" s="1"/>
  <c r="Q84" i="12"/>
  <c r="P84" i="12"/>
  <c r="P100" i="12" s="1"/>
  <c r="O84" i="12"/>
  <c r="O100" i="12" s="1"/>
  <c r="N84" i="12"/>
  <c r="N100" i="12" s="1"/>
  <c r="M84" i="12"/>
  <c r="M100" i="12" s="1"/>
  <c r="L84" i="12"/>
  <c r="L100" i="12" s="1"/>
  <c r="K84" i="12"/>
  <c r="J5" i="12" s="1"/>
  <c r="J84" i="12"/>
  <c r="J100" i="12" s="1"/>
  <c r="I84" i="12"/>
  <c r="H84" i="12"/>
  <c r="G5" i="12" s="1"/>
  <c r="G84" i="12"/>
  <c r="G100" i="12" s="1"/>
  <c r="F84" i="12"/>
  <c r="F100" i="12" s="1"/>
  <c r="E84" i="12"/>
  <c r="E100" i="12" s="1"/>
  <c r="D84" i="12"/>
  <c r="D100" i="12" s="1"/>
  <c r="AN83" i="12"/>
  <c r="AI83" i="12"/>
  <c r="AH83" i="12"/>
  <c r="AN82" i="12"/>
  <c r="AI82" i="12"/>
  <c r="AH82" i="12"/>
  <c r="AN81" i="12"/>
  <c r="AI81" i="12"/>
  <c r="AH81" i="12"/>
  <c r="AI80" i="12"/>
  <c r="AH80" i="12"/>
  <c r="AI79" i="12"/>
  <c r="AH79" i="12"/>
  <c r="AI78" i="12"/>
  <c r="AH78" i="12"/>
  <c r="AI77" i="12"/>
  <c r="AH77" i="12"/>
  <c r="AI76" i="12"/>
  <c r="AH76" i="12"/>
  <c r="AI75" i="12"/>
  <c r="AH75" i="12"/>
  <c r="AI74" i="12"/>
  <c r="AH74" i="12"/>
  <c r="AI73" i="12"/>
  <c r="AH73" i="12"/>
  <c r="AG72" i="12"/>
  <c r="AF72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AI71" i="12"/>
  <c r="AH71" i="12"/>
  <c r="AI70" i="12"/>
  <c r="AH70" i="12"/>
  <c r="AI69" i="12"/>
  <c r="AH69" i="12"/>
  <c r="AF68" i="12"/>
  <c r="AE68" i="12"/>
  <c r="AD68" i="12"/>
  <c r="AC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AI67" i="12"/>
  <c r="AH67" i="12"/>
  <c r="AG67" i="12"/>
  <c r="AG68" i="12" s="1"/>
  <c r="AG3" i="12" s="1"/>
  <c r="AI66" i="12"/>
  <c r="AH66" i="12"/>
  <c r="AI65" i="12"/>
  <c r="AH65" i="12"/>
  <c r="AI64" i="12"/>
  <c r="AH64" i="12"/>
  <c r="AI63" i="12"/>
  <c r="AH63" i="12"/>
  <c r="AI62" i="12"/>
  <c r="AH62" i="12"/>
  <c r="AI61" i="12"/>
  <c r="AH61" i="12"/>
  <c r="AI60" i="12"/>
  <c r="AH60" i="12"/>
  <c r="AI59" i="12"/>
  <c r="AH59" i="12"/>
  <c r="AI58" i="12"/>
  <c r="AH58" i="12"/>
  <c r="AI57" i="12"/>
  <c r="AH57" i="12"/>
  <c r="AI56" i="12"/>
  <c r="AH56" i="12"/>
  <c r="AI55" i="12"/>
  <c r="AH55" i="12"/>
  <c r="AG54" i="12"/>
  <c r="AF54" i="12"/>
  <c r="AE54" i="12"/>
  <c r="AD54" i="12"/>
  <c r="AC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E54" i="12"/>
  <c r="D54" i="12"/>
  <c r="AI53" i="12"/>
  <c r="AH53" i="12"/>
  <c r="AI52" i="12"/>
  <c r="AH52" i="12"/>
  <c r="AI51" i="12"/>
  <c r="AH51" i="12"/>
  <c r="AG50" i="12"/>
  <c r="AF50" i="12"/>
  <c r="AE50" i="12"/>
  <c r="AD50" i="12"/>
  <c r="AC50" i="12"/>
  <c r="AB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AI49" i="12"/>
  <c r="AH49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G4" i="12"/>
  <c r="K4" i="12"/>
  <c r="E4" i="12"/>
  <c r="H4" i="12" s="1"/>
  <c r="B4" i="12"/>
  <c r="D246" i="12" s="1"/>
  <c r="AF113" i="11"/>
  <c r="W113" i="11"/>
  <c r="S113" i="11"/>
  <c r="J229" i="14" l="1"/>
  <c r="G270" i="14"/>
  <c r="I234" i="14"/>
  <c r="H230" i="14"/>
  <c r="G235" i="14"/>
  <c r="F270" i="13"/>
  <c r="H234" i="13"/>
  <c r="G110" i="13"/>
  <c r="G235" i="13"/>
  <c r="AH92" i="13"/>
  <c r="AI92" i="13"/>
  <c r="J229" i="13"/>
  <c r="AE5" i="12"/>
  <c r="AF89" i="12"/>
  <c r="AF91" i="12" s="1"/>
  <c r="AD5" i="12"/>
  <c r="AE89" i="12"/>
  <c r="AE91" i="12" s="1"/>
  <c r="AE92" i="12" s="1"/>
  <c r="AC5" i="12"/>
  <c r="AD89" i="12"/>
  <c r="AD91" i="12" s="1"/>
  <c r="AC89" i="12"/>
  <c r="AC91" i="12" s="1"/>
  <c r="AC7" i="12" s="1"/>
  <c r="AB5" i="12"/>
  <c r="AA89" i="12"/>
  <c r="AA91" i="12" s="1"/>
  <c r="X100" i="12"/>
  <c r="Z89" i="12"/>
  <c r="Z91" i="12" s="1"/>
  <c r="AR249" i="12" s="1"/>
  <c r="U5" i="12"/>
  <c r="V5" i="12"/>
  <c r="W89" i="12"/>
  <c r="W91" i="12" s="1"/>
  <c r="W92" i="12" s="1"/>
  <c r="X89" i="12"/>
  <c r="X91" i="12" s="1"/>
  <c r="X7" i="12" s="1"/>
  <c r="V89" i="12"/>
  <c r="V91" i="12" s="1"/>
  <c r="AN249" i="12" s="1"/>
  <c r="U89" i="12"/>
  <c r="U91" i="12" s="1"/>
  <c r="U92" i="12" s="1"/>
  <c r="T5" i="12"/>
  <c r="R5" i="12"/>
  <c r="S89" i="12"/>
  <c r="S91" i="12" s="1"/>
  <c r="S7" i="12" s="1"/>
  <c r="R89" i="12"/>
  <c r="R91" i="12" s="1"/>
  <c r="O5" i="12"/>
  <c r="P89" i="12"/>
  <c r="P91" i="12" s="1"/>
  <c r="P7" i="12" s="1"/>
  <c r="N5" i="12"/>
  <c r="O89" i="12"/>
  <c r="O91" i="12" s="1"/>
  <c r="AG249" i="12" s="1"/>
  <c r="N89" i="12"/>
  <c r="N91" i="12" s="1"/>
  <c r="M5" i="12"/>
  <c r="L5" i="12"/>
  <c r="M89" i="12"/>
  <c r="M91" i="12" s="1"/>
  <c r="M7" i="12" s="1"/>
  <c r="K100" i="12"/>
  <c r="K89" i="12"/>
  <c r="K91" i="12" s="1"/>
  <c r="AC249" i="12" s="1"/>
  <c r="J89" i="12"/>
  <c r="J91" i="12" s="1"/>
  <c r="AB249" i="12" s="1"/>
  <c r="H100" i="12"/>
  <c r="F5" i="12"/>
  <c r="E5" i="12"/>
  <c r="F89" i="12"/>
  <c r="F91" i="12" s="1"/>
  <c r="F7" i="12" s="1"/>
  <c r="G89" i="12"/>
  <c r="G91" i="12" s="1"/>
  <c r="G92" i="12" s="1"/>
  <c r="AH54" i="12"/>
  <c r="D5" i="12"/>
  <c r="E89" i="12"/>
  <c r="E91" i="12" s="1"/>
  <c r="E7" i="12" s="1"/>
  <c r="AI68" i="12"/>
  <c r="D89" i="12"/>
  <c r="D91" i="12" s="1"/>
  <c r="D92" i="12" s="1"/>
  <c r="C89" i="12"/>
  <c r="C91" i="12" s="1"/>
  <c r="C92" i="12" s="1"/>
  <c r="AH68" i="12"/>
  <c r="AH113" i="12"/>
  <c r="B5" i="12"/>
  <c r="B89" i="12"/>
  <c r="B91" i="12" s="1"/>
  <c r="B92" i="12" s="1"/>
  <c r="AF5" i="12"/>
  <c r="S246" i="12"/>
  <c r="J232" i="12"/>
  <c r="K232" i="12" s="1"/>
  <c r="L232" i="12" s="1"/>
  <c r="M232" i="12" s="1"/>
  <c r="N232" i="12" s="1"/>
  <c r="O232" i="12" s="1"/>
  <c r="P232" i="12" s="1"/>
  <c r="D270" i="12"/>
  <c r="F234" i="12"/>
  <c r="AF7" i="12"/>
  <c r="AF92" i="12"/>
  <c r="AX249" i="12"/>
  <c r="Y100" i="12"/>
  <c r="X5" i="12"/>
  <c r="I89" i="12"/>
  <c r="I91" i="12" s="1"/>
  <c r="Q89" i="12"/>
  <c r="Q91" i="12" s="1"/>
  <c r="Y89" i="12"/>
  <c r="Y91" i="12" s="1"/>
  <c r="AG89" i="12"/>
  <c r="AI54" i="12"/>
  <c r="AH72" i="12"/>
  <c r="AC92" i="12"/>
  <c r="AU249" i="12"/>
  <c r="P92" i="12"/>
  <c r="AH249" i="12"/>
  <c r="H5" i="12"/>
  <c r="I100" i="12"/>
  <c r="R7" i="12"/>
  <c r="R92" i="12"/>
  <c r="AJ249" i="12"/>
  <c r="AV249" i="12"/>
  <c r="AD7" i="12"/>
  <c r="AD92" i="12"/>
  <c r="AA7" i="12"/>
  <c r="AA92" i="12"/>
  <c r="AS249" i="12"/>
  <c r="B235" i="12"/>
  <c r="AO249" i="12"/>
  <c r="W7" i="12"/>
  <c r="L89" i="12"/>
  <c r="L91" i="12" s="1"/>
  <c r="T89" i="12"/>
  <c r="T91" i="12" s="1"/>
  <c r="AB89" i="12"/>
  <c r="AB91" i="12" s="1"/>
  <c r="AW249" i="12"/>
  <c r="AE7" i="12"/>
  <c r="H89" i="12"/>
  <c r="H91" i="12" s="1"/>
  <c r="AI50" i="12"/>
  <c r="P5" i="12"/>
  <c r="Q100" i="12"/>
  <c r="AF249" i="12"/>
  <c r="N7" i="12"/>
  <c r="N92" i="12"/>
  <c r="AI72" i="12"/>
  <c r="D110" i="12"/>
  <c r="AH84" i="12"/>
  <c r="I5" i="12"/>
  <c r="Q5" i="12"/>
  <c r="Y5" i="12"/>
  <c r="AH50" i="12"/>
  <c r="AI84" i="12"/>
  <c r="E229" i="12"/>
  <c r="AG2" i="12"/>
  <c r="AG6" i="12" s="1"/>
  <c r="C5" i="12"/>
  <c r="K5" i="12"/>
  <c r="S5" i="12"/>
  <c r="AA5" i="12"/>
  <c r="I230" i="14" l="1"/>
  <c r="H235" i="14"/>
  <c r="H270" i="14"/>
  <c r="J234" i="14"/>
  <c r="J110" i="14"/>
  <c r="K229" i="14"/>
  <c r="I110" i="14"/>
  <c r="K229" i="13"/>
  <c r="G270" i="13"/>
  <c r="I234" i="13"/>
  <c r="H110" i="13"/>
  <c r="H235" i="13"/>
  <c r="X92" i="12"/>
  <c r="AP249" i="12"/>
  <c r="AM249" i="12"/>
  <c r="Z7" i="12"/>
  <c r="U7" i="12"/>
  <c r="Z92" i="12"/>
  <c r="V92" i="12"/>
  <c r="V7" i="12"/>
  <c r="AH100" i="12"/>
  <c r="O92" i="12"/>
  <c r="J92" i="12"/>
  <c r="O7" i="12"/>
  <c r="AK249" i="12"/>
  <c r="S92" i="12"/>
  <c r="J7" i="12"/>
  <c r="AI100" i="12"/>
  <c r="AE249" i="12"/>
  <c r="M92" i="12"/>
  <c r="K7" i="12"/>
  <c r="K92" i="12"/>
  <c r="C7" i="12"/>
  <c r="U249" i="12"/>
  <c r="Y249" i="12"/>
  <c r="G7" i="12"/>
  <c r="X249" i="12"/>
  <c r="F92" i="12"/>
  <c r="W249" i="12"/>
  <c r="E92" i="12"/>
  <c r="D7" i="12"/>
  <c r="V249" i="12"/>
  <c r="B7" i="12"/>
  <c r="AI91" i="12"/>
  <c r="T249" i="12"/>
  <c r="AH91" i="12"/>
  <c r="AH89" i="12"/>
  <c r="E270" i="12"/>
  <c r="G234" i="12"/>
  <c r="Q7" i="12"/>
  <c r="AI249" i="12"/>
  <c r="Q92" i="12"/>
  <c r="I7" i="12"/>
  <c r="I92" i="12"/>
  <c r="AA249" i="12"/>
  <c r="AB92" i="12"/>
  <c r="AT249" i="12"/>
  <c r="AB7" i="12"/>
  <c r="T92" i="12"/>
  <c r="AL249" i="12"/>
  <c r="T7" i="12"/>
  <c r="F229" i="12"/>
  <c r="E235" i="12"/>
  <c r="E110" i="12"/>
  <c r="H7" i="12"/>
  <c r="H92" i="12"/>
  <c r="Z249" i="12"/>
  <c r="AI89" i="12"/>
  <c r="B244" i="12"/>
  <c r="L92" i="12"/>
  <c r="AD249" i="12"/>
  <c r="L7" i="12"/>
  <c r="C244" i="12"/>
  <c r="Y7" i="12"/>
  <c r="Y92" i="12"/>
  <c r="AQ249" i="12"/>
  <c r="L229" i="14" l="1"/>
  <c r="K234" i="14"/>
  <c r="I270" i="14"/>
  <c r="J230" i="14"/>
  <c r="H270" i="13"/>
  <c r="J234" i="13"/>
  <c r="I110" i="13"/>
  <c r="L229" i="13"/>
  <c r="F110" i="12"/>
  <c r="G229" i="12"/>
  <c r="F235" i="12"/>
  <c r="K6" i="12"/>
  <c r="AI92" i="12"/>
  <c r="AH92" i="12"/>
  <c r="F270" i="12"/>
  <c r="H234" i="12"/>
  <c r="A7" i="12"/>
  <c r="K230" i="14" l="1"/>
  <c r="J270" i="14"/>
  <c r="L234" i="14"/>
  <c r="L110" i="14"/>
  <c r="M229" i="14"/>
  <c r="K110" i="14"/>
  <c r="M229" i="13"/>
  <c r="K234" i="13"/>
  <c r="I270" i="13"/>
  <c r="J110" i="13"/>
  <c r="H229" i="12"/>
  <c r="G110" i="12"/>
  <c r="G235" i="12"/>
  <c r="G270" i="12"/>
  <c r="I234" i="12"/>
  <c r="N229" i="14" l="1"/>
  <c r="M234" i="14"/>
  <c r="K270" i="14"/>
  <c r="L230" i="14"/>
  <c r="J270" i="13"/>
  <c r="L234" i="13"/>
  <c r="K110" i="13"/>
  <c r="N229" i="13"/>
  <c r="H270" i="12"/>
  <c r="J234" i="12"/>
  <c r="I229" i="12"/>
  <c r="H110" i="12"/>
  <c r="H235" i="12"/>
  <c r="M230" i="14" l="1"/>
  <c r="L270" i="14"/>
  <c r="N234" i="14"/>
  <c r="O229" i="14"/>
  <c r="N110" i="14"/>
  <c r="M110" i="14"/>
  <c r="O229" i="13"/>
  <c r="K270" i="13"/>
  <c r="M234" i="13"/>
  <c r="L110" i="13"/>
  <c r="I110" i="12"/>
  <c r="J229" i="12"/>
  <c r="K234" i="12"/>
  <c r="I270" i="12"/>
  <c r="P229" i="14" l="1"/>
  <c r="O110" i="14"/>
  <c r="M270" i="14"/>
  <c r="O234" i="14"/>
  <c r="N230" i="14"/>
  <c r="L270" i="13"/>
  <c r="N234" i="13"/>
  <c r="M110" i="13"/>
  <c r="P229" i="13"/>
  <c r="J110" i="12"/>
  <c r="K229" i="12"/>
  <c r="J270" i="12"/>
  <c r="L234" i="12"/>
  <c r="AH110" i="14" l="1"/>
  <c r="AI110" i="14"/>
  <c r="O230" i="14"/>
  <c r="N270" i="14"/>
  <c r="P234" i="14"/>
  <c r="O270" i="14" s="1"/>
  <c r="M270" i="13"/>
  <c r="O234" i="13"/>
  <c r="N110" i="13"/>
  <c r="K110" i="12"/>
  <c r="L229" i="12"/>
  <c r="K270" i="12"/>
  <c r="M234" i="12"/>
  <c r="P230" i="14" l="1"/>
  <c r="N270" i="13"/>
  <c r="P234" i="13"/>
  <c r="O270" i="13" s="1"/>
  <c r="O110" i="13"/>
  <c r="L270" i="12"/>
  <c r="N234" i="12"/>
  <c r="M229" i="12"/>
  <c r="L110" i="12"/>
  <c r="AH110" i="13" l="1"/>
  <c r="AI110" i="13"/>
  <c r="M270" i="12"/>
  <c r="O234" i="12"/>
  <c r="N229" i="12"/>
  <c r="M110" i="12"/>
  <c r="O229" i="12" l="1"/>
  <c r="N110" i="12"/>
  <c r="N270" i="12"/>
  <c r="P234" i="12"/>
  <c r="O270" i="12" s="1"/>
  <c r="P229" i="12" l="1"/>
  <c r="O110" i="12"/>
  <c r="AH110" i="12" l="1"/>
  <c r="AI110" i="12"/>
  <c r="L113" i="11" l="1"/>
  <c r="K113" i="11"/>
  <c r="J113" i="11"/>
  <c r="I113" i="11"/>
  <c r="H110" i="11"/>
  <c r="G113" i="11"/>
  <c r="G110" i="11" s="1"/>
  <c r="H113" i="11"/>
  <c r="G50" i="11"/>
  <c r="H50" i="11"/>
  <c r="I50" i="11"/>
  <c r="J50" i="11"/>
  <c r="G54" i="11"/>
  <c r="H54" i="11"/>
  <c r="I54" i="11"/>
  <c r="J54" i="11"/>
  <c r="F113" i="11"/>
  <c r="E113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B270" i="11"/>
  <c r="S24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C235" i="11"/>
  <c r="D234" i="11"/>
  <c r="C270" i="11" s="1"/>
  <c r="B234" i="11"/>
  <c r="AF270" i="11" s="1"/>
  <c r="D233" i="11"/>
  <c r="E233" i="11" s="1"/>
  <c r="F233" i="11" s="1"/>
  <c r="G233" i="11" s="1"/>
  <c r="H233" i="11" s="1"/>
  <c r="I233" i="11" s="1"/>
  <c r="J233" i="11" s="1"/>
  <c r="K233" i="11" s="1"/>
  <c r="L233" i="11" s="1"/>
  <c r="M233" i="11" s="1"/>
  <c r="N233" i="11" s="1"/>
  <c r="O233" i="11" s="1"/>
  <c r="P233" i="11" s="1"/>
  <c r="B233" i="11"/>
  <c r="D232" i="11"/>
  <c r="E232" i="11" s="1"/>
  <c r="F232" i="11" s="1"/>
  <c r="G232" i="11" s="1"/>
  <c r="H232" i="11" s="1"/>
  <c r="I232" i="11" s="1"/>
  <c r="B232" i="11"/>
  <c r="F231" i="11"/>
  <c r="G231" i="11" s="1"/>
  <c r="H231" i="11" s="1"/>
  <c r="E231" i="11"/>
  <c r="D231" i="11"/>
  <c r="B231" i="11"/>
  <c r="D230" i="11"/>
  <c r="D235" i="11" s="1"/>
  <c r="B230" i="11"/>
  <c r="E229" i="11"/>
  <c r="F229" i="11" s="1"/>
  <c r="D229" i="11"/>
  <c r="B229" i="11"/>
  <c r="B235" i="11" s="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I120" i="11"/>
  <c r="AH120" i="11"/>
  <c r="AI119" i="11"/>
  <c r="AH119" i="11"/>
  <c r="AI118" i="11"/>
  <c r="AH118" i="11"/>
  <c r="AI117" i="11"/>
  <c r="AH117" i="11"/>
  <c r="AI116" i="11"/>
  <c r="AH116" i="11"/>
  <c r="AI115" i="11"/>
  <c r="AH115" i="11"/>
  <c r="AI114" i="11"/>
  <c r="AH114" i="11"/>
  <c r="AI112" i="11"/>
  <c r="AH112" i="11"/>
  <c r="AI111" i="11"/>
  <c r="AH111" i="11"/>
  <c r="AF110" i="11"/>
  <c r="AE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D110" i="11"/>
  <c r="C110" i="11"/>
  <c r="AI109" i="11"/>
  <c r="AH109" i="11"/>
  <c r="AI108" i="11"/>
  <c r="AH108" i="11"/>
  <c r="AI107" i="11"/>
  <c r="AH107" i="11"/>
  <c r="AI106" i="11"/>
  <c r="AH106" i="11"/>
  <c r="AI105" i="11"/>
  <c r="AH105" i="11"/>
  <c r="AI104" i="11"/>
  <c r="AH104" i="11"/>
  <c r="AI103" i="11"/>
  <c r="AH103" i="11"/>
  <c r="AI102" i="11"/>
  <c r="AH102" i="11"/>
  <c r="AI101" i="11"/>
  <c r="AH101" i="11"/>
  <c r="AI99" i="11"/>
  <c r="AH99" i="11"/>
  <c r="AI98" i="11"/>
  <c r="AH98" i="11"/>
  <c r="AI97" i="11"/>
  <c r="AH97" i="11"/>
  <c r="AI96" i="11"/>
  <c r="AH96" i="11"/>
  <c r="AI95" i="11"/>
  <c r="AH95" i="11"/>
  <c r="AI94" i="11"/>
  <c r="AH94" i="11"/>
  <c r="AI93" i="11"/>
  <c r="AH93" i="11"/>
  <c r="AI90" i="11"/>
  <c r="AH90" i="11"/>
  <c r="AI88" i="11"/>
  <c r="AH88" i="11"/>
  <c r="AG88" i="11"/>
  <c r="AG91" i="11" s="1"/>
  <c r="AI87" i="11"/>
  <c r="AH87" i="11"/>
  <c r="AI86" i="11"/>
  <c r="AH86" i="11"/>
  <c r="AI85" i="11"/>
  <c r="AH85" i="11"/>
  <c r="AN84" i="11"/>
  <c r="AG84" i="11"/>
  <c r="AF84" i="11"/>
  <c r="AF100" i="11" s="1"/>
  <c r="AE84" i="11"/>
  <c r="AD5" i="11" s="1"/>
  <c r="AD84" i="11"/>
  <c r="AC5" i="11" s="1"/>
  <c r="AC84" i="11"/>
  <c r="AC100" i="11" s="1"/>
  <c r="AB84" i="11"/>
  <c r="AB100" i="11" s="1"/>
  <c r="AA84" i="11"/>
  <c r="AA100" i="11" s="1"/>
  <c r="Z84" i="11"/>
  <c r="Z100" i="11" s="1"/>
  <c r="Y84" i="11"/>
  <c r="Y100" i="11" s="1"/>
  <c r="X84" i="11"/>
  <c r="X100" i="11" s="1"/>
  <c r="W84" i="11"/>
  <c r="W100" i="11" s="1"/>
  <c r="V84" i="11"/>
  <c r="V100" i="11" s="1"/>
  <c r="U84" i="11"/>
  <c r="U100" i="11" s="1"/>
  <c r="T84" i="11"/>
  <c r="T100" i="11" s="1"/>
  <c r="S84" i="11"/>
  <c r="S100" i="11" s="1"/>
  <c r="R84" i="11"/>
  <c r="R100" i="11" s="1"/>
  <c r="Q84" i="11"/>
  <c r="Q100" i="11" s="1"/>
  <c r="P84" i="11"/>
  <c r="P100" i="11" s="1"/>
  <c r="O84" i="11"/>
  <c r="N5" i="11" s="1"/>
  <c r="N84" i="11"/>
  <c r="M5" i="11" s="1"/>
  <c r="M84" i="11"/>
  <c r="M100" i="11" s="1"/>
  <c r="L84" i="11"/>
  <c r="L100" i="11" s="1"/>
  <c r="K84" i="11"/>
  <c r="K100" i="11" s="1"/>
  <c r="J84" i="11"/>
  <c r="J100" i="11" s="1"/>
  <c r="I84" i="11"/>
  <c r="I100" i="11" s="1"/>
  <c r="H84" i="11"/>
  <c r="H100" i="11" s="1"/>
  <c r="G84" i="11"/>
  <c r="G100" i="11" s="1"/>
  <c r="F84" i="11"/>
  <c r="F100" i="11" s="1"/>
  <c r="E84" i="11"/>
  <c r="E100" i="11" s="1"/>
  <c r="D84" i="11"/>
  <c r="D100" i="11" s="1"/>
  <c r="C84" i="11"/>
  <c r="C100" i="11" s="1"/>
  <c r="AI83" i="11"/>
  <c r="AH83" i="11"/>
  <c r="AN82" i="11"/>
  <c r="AI82" i="11"/>
  <c r="AH82" i="11"/>
  <c r="AN81" i="11"/>
  <c r="AN83" i="11" s="1"/>
  <c r="AI81" i="11"/>
  <c r="AH81" i="11"/>
  <c r="AI80" i="11"/>
  <c r="AH80" i="11"/>
  <c r="AI79" i="11"/>
  <c r="AH79" i="11"/>
  <c r="AI78" i="11"/>
  <c r="AH78" i="11"/>
  <c r="AI77" i="11"/>
  <c r="AH77" i="11"/>
  <c r="AI76" i="11"/>
  <c r="AH76" i="11"/>
  <c r="AI75" i="11"/>
  <c r="AH75" i="11"/>
  <c r="AI74" i="11"/>
  <c r="AH74" i="11"/>
  <c r="AI73" i="11"/>
  <c r="AH73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AI71" i="11"/>
  <c r="AH71" i="11"/>
  <c r="AI70" i="11"/>
  <c r="AH70" i="11"/>
  <c r="AI69" i="11"/>
  <c r="AH69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AI67" i="11"/>
  <c r="AH67" i="11"/>
  <c r="AG67" i="11"/>
  <c r="AI66" i="11"/>
  <c r="AH66" i="11"/>
  <c r="AI65" i="11"/>
  <c r="AH65" i="11"/>
  <c r="AI64" i="11"/>
  <c r="AH64" i="11"/>
  <c r="AI63" i="11"/>
  <c r="AH63" i="11"/>
  <c r="AI62" i="11"/>
  <c r="AH62" i="11"/>
  <c r="AI61" i="11"/>
  <c r="AH61" i="11"/>
  <c r="AI60" i="11"/>
  <c r="AH60" i="11"/>
  <c r="AI59" i="11"/>
  <c r="AH59" i="11"/>
  <c r="AI58" i="11"/>
  <c r="AH58" i="11"/>
  <c r="AI57" i="11"/>
  <c r="AH57" i="11"/>
  <c r="AI56" i="11"/>
  <c r="AH56" i="11"/>
  <c r="AI55" i="11"/>
  <c r="AH55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F54" i="11"/>
  <c r="E54" i="11"/>
  <c r="D54" i="11"/>
  <c r="C54" i="11"/>
  <c r="AI53" i="11"/>
  <c r="AH53" i="11"/>
  <c r="AI52" i="11"/>
  <c r="AH52" i="11"/>
  <c r="AI51" i="11"/>
  <c r="AH51" i="11"/>
  <c r="AG50" i="11"/>
  <c r="AG89" i="11" s="1"/>
  <c r="AF50" i="11"/>
  <c r="AE50" i="11"/>
  <c r="AD50" i="11"/>
  <c r="AC50" i="11"/>
  <c r="AB50" i="11"/>
  <c r="AA50" i="11"/>
  <c r="AA89" i="11" s="1"/>
  <c r="AA91" i="11" s="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F50" i="11"/>
  <c r="E50" i="11"/>
  <c r="D50" i="11"/>
  <c r="C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AF5" i="11"/>
  <c r="Z5" i="11"/>
  <c r="U5" i="11"/>
  <c r="F5" i="11"/>
  <c r="AG4" i="11"/>
  <c r="K4" i="11"/>
  <c r="E4" i="11"/>
  <c r="H4" i="11" s="1"/>
  <c r="B4" i="11"/>
  <c r="S246" i="11" s="1"/>
  <c r="AG3" i="11"/>
  <c r="AF50" i="10"/>
  <c r="AF54" i="10"/>
  <c r="AB113" i="10"/>
  <c r="Q50" i="10"/>
  <c r="Q54" i="10"/>
  <c r="K110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B270" i="10"/>
  <c r="S24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C235" i="10"/>
  <c r="D234" i="10"/>
  <c r="C270" i="10" s="1"/>
  <c r="B234" i="10"/>
  <c r="AF270" i="10" s="1"/>
  <c r="E233" i="10"/>
  <c r="F233" i="10" s="1"/>
  <c r="G233" i="10" s="1"/>
  <c r="H233" i="10" s="1"/>
  <c r="I233" i="10" s="1"/>
  <c r="J233" i="10" s="1"/>
  <c r="K233" i="10" s="1"/>
  <c r="L233" i="10" s="1"/>
  <c r="M233" i="10" s="1"/>
  <c r="N233" i="10" s="1"/>
  <c r="O233" i="10" s="1"/>
  <c r="P233" i="10" s="1"/>
  <c r="D233" i="10"/>
  <c r="B233" i="10"/>
  <c r="E232" i="10"/>
  <c r="F232" i="10" s="1"/>
  <c r="G232" i="10" s="1"/>
  <c r="H232" i="10" s="1"/>
  <c r="I232" i="10" s="1"/>
  <c r="D232" i="10"/>
  <c r="B232" i="10"/>
  <c r="F231" i="10"/>
  <c r="G231" i="10" s="1"/>
  <c r="H231" i="10" s="1"/>
  <c r="E231" i="10"/>
  <c r="D231" i="10"/>
  <c r="B231" i="10"/>
  <c r="D230" i="10"/>
  <c r="D235" i="10" s="1"/>
  <c r="B230" i="10"/>
  <c r="E229" i="10"/>
  <c r="F229" i="10" s="1"/>
  <c r="D229" i="10"/>
  <c r="B229" i="10"/>
  <c r="B110" i="10" s="1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I120" i="10"/>
  <c r="AH120" i="10"/>
  <c r="AI119" i="10"/>
  <c r="AH119" i="10"/>
  <c r="AI118" i="10"/>
  <c r="AH118" i="10"/>
  <c r="AI117" i="10"/>
  <c r="AH117" i="10"/>
  <c r="AI116" i="10"/>
  <c r="AH116" i="10"/>
  <c r="AI115" i="10"/>
  <c r="AH115" i="10"/>
  <c r="AI114" i="10"/>
  <c r="AH114" i="10"/>
  <c r="AI113" i="10"/>
  <c r="AH113" i="10"/>
  <c r="AI112" i="10"/>
  <c r="AH112" i="10"/>
  <c r="AI111" i="10"/>
  <c r="AH111" i="10"/>
  <c r="AF110" i="10"/>
  <c r="AE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D110" i="10"/>
  <c r="C110" i="10"/>
  <c r="AI109" i="10"/>
  <c r="AH109" i="10"/>
  <c r="AI108" i="10"/>
  <c r="AH108" i="10"/>
  <c r="AI107" i="10"/>
  <c r="AH107" i="10"/>
  <c r="AI106" i="10"/>
  <c r="AH106" i="10"/>
  <c r="AI105" i="10"/>
  <c r="AH105" i="10"/>
  <c r="AI104" i="10"/>
  <c r="AH104" i="10"/>
  <c r="AI103" i="10"/>
  <c r="AH103" i="10"/>
  <c r="AI102" i="10"/>
  <c r="AH102" i="10"/>
  <c r="AI101" i="10"/>
  <c r="AH101" i="10"/>
  <c r="AI99" i="10"/>
  <c r="AH99" i="10"/>
  <c r="AI98" i="10"/>
  <c r="AH98" i="10"/>
  <c r="AI97" i="10"/>
  <c r="AH97" i="10"/>
  <c r="AI96" i="10"/>
  <c r="AH96" i="10"/>
  <c r="AI95" i="10"/>
  <c r="AH95" i="10"/>
  <c r="AI94" i="10"/>
  <c r="AH94" i="10"/>
  <c r="AI93" i="10"/>
  <c r="AH93" i="10"/>
  <c r="AI90" i="10"/>
  <c r="AH90" i="10"/>
  <c r="AI88" i="10"/>
  <c r="AH88" i="10"/>
  <c r="AG88" i="10"/>
  <c r="AI87" i="10"/>
  <c r="AH87" i="10"/>
  <c r="AI86" i="10"/>
  <c r="AH86" i="10"/>
  <c r="AI85" i="10"/>
  <c r="AH85" i="10"/>
  <c r="AN84" i="10"/>
  <c r="AG84" i="10"/>
  <c r="AF84" i="10"/>
  <c r="AE5" i="10" s="1"/>
  <c r="AE84" i="10"/>
  <c r="AE100" i="10" s="1"/>
  <c r="AD84" i="10"/>
  <c r="AD100" i="10" s="1"/>
  <c r="AC84" i="10"/>
  <c r="AC100" i="10" s="1"/>
  <c r="AB84" i="10"/>
  <c r="AB100" i="10" s="1"/>
  <c r="AA84" i="10"/>
  <c r="AA100" i="10" s="1"/>
  <c r="Z84" i="10"/>
  <c r="Z100" i="10" s="1"/>
  <c r="Y84" i="10"/>
  <c r="Y100" i="10" s="1"/>
  <c r="X84" i="10"/>
  <c r="W5" i="10" s="1"/>
  <c r="W84" i="10"/>
  <c r="V5" i="10" s="1"/>
  <c r="V84" i="10"/>
  <c r="V100" i="10" s="1"/>
  <c r="U84" i="10"/>
  <c r="U100" i="10" s="1"/>
  <c r="T84" i="10"/>
  <c r="T100" i="10" s="1"/>
  <c r="S84" i="10"/>
  <c r="S100" i="10" s="1"/>
  <c r="R84" i="10"/>
  <c r="R100" i="10" s="1"/>
  <c r="Q84" i="10"/>
  <c r="Q100" i="10" s="1"/>
  <c r="P84" i="10"/>
  <c r="P100" i="10" s="1"/>
  <c r="O84" i="10"/>
  <c r="O100" i="10" s="1"/>
  <c r="N84" i="10"/>
  <c r="N100" i="10" s="1"/>
  <c r="M84" i="10"/>
  <c r="M100" i="10" s="1"/>
  <c r="L84" i="10"/>
  <c r="L100" i="10" s="1"/>
  <c r="K84" i="10"/>
  <c r="K100" i="10" s="1"/>
  <c r="J84" i="10"/>
  <c r="I5" i="10" s="1"/>
  <c r="I84" i="10"/>
  <c r="I100" i="10" s="1"/>
  <c r="H84" i="10"/>
  <c r="H100" i="10" s="1"/>
  <c r="G84" i="10"/>
  <c r="G100" i="10" s="1"/>
  <c r="F84" i="10"/>
  <c r="F100" i="10" s="1"/>
  <c r="E84" i="10"/>
  <c r="E100" i="10" s="1"/>
  <c r="D84" i="10"/>
  <c r="D100" i="10" s="1"/>
  <c r="C84" i="10"/>
  <c r="C100" i="10" s="1"/>
  <c r="B84" i="10"/>
  <c r="AN83" i="10"/>
  <c r="AI83" i="10"/>
  <c r="AH83" i="10"/>
  <c r="AN82" i="10"/>
  <c r="AI82" i="10"/>
  <c r="AH82" i="10"/>
  <c r="AN81" i="10"/>
  <c r="AI81" i="10"/>
  <c r="AH81" i="10"/>
  <c r="AI80" i="10"/>
  <c r="AH80" i="10"/>
  <c r="AI79" i="10"/>
  <c r="AH79" i="10"/>
  <c r="AI78" i="10"/>
  <c r="AH78" i="10"/>
  <c r="AI77" i="10"/>
  <c r="AH77" i="10"/>
  <c r="AI76" i="10"/>
  <c r="AH76" i="10"/>
  <c r="AI75" i="10"/>
  <c r="AH75" i="10"/>
  <c r="AI74" i="10"/>
  <c r="AH74" i="10"/>
  <c r="AI73" i="10"/>
  <c r="AH73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B72" i="10"/>
  <c r="AI71" i="10"/>
  <c r="AH71" i="10"/>
  <c r="AI70" i="10"/>
  <c r="AH70" i="10"/>
  <c r="AI69" i="10"/>
  <c r="AH69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I67" i="10"/>
  <c r="AH67" i="10"/>
  <c r="AG67" i="10"/>
  <c r="AG68" i="10" s="1"/>
  <c r="AG3" i="10" s="1"/>
  <c r="AI66" i="10"/>
  <c r="AH66" i="10"/>
  <c r="AI65" i="10"/>
  <c r="AH65" i="10"/>
  <c r="AI64" i="10"/>
  <c r="AH64" i="10"/>
  <c r="AI63" i="10"/>
  <c r="AH63" i="10"/>
  <c r="AI62" i="10"/>
  <c r="AH62" i="10"/>
  <c r="AI61" i="10"/>
  <c r="AH61" i="10"/>
  <c r="AI60" i="10"/>
  <c r="AH60" i="10"/>
  <c r="AI59" i="10"/>
  <c r="AH59" i="10"/>
  <c r="AI58" i="10"/>
  <c r="AH58" i="10"/>
  <c r="AI57" i="10"/>
  <c r="AH57" i="10"/>
  <c r="AI56" i="10"/>
  <c r="AH56" i="10"/>
  <c r="AI55" i="10"/>
  <c r="AH55" i="10"/>
  <c r="AG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I53" i="10"/>
  <c r="AH53" i="10"/>
  <c r="AI52" i="10"/>
  <c r="AH52" i="10"/>
  <c r="AI51" i="10"/>
  <c r="AH51" i="10"/>
  <c r="AG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AB5" i="10"/>
  <c r="AG4" i="10"/>
  <c r="K4" i="10"/>
  <c r="E4" i="10"/>
  <c r="H4" i="10" s="1"/>
  <c r="B4" i="10"/>
  <c r="S246" i="10" s="1"/>
  <c r="AG2" i="10"/>
  <c r="AD110" i="9"/>
  <c r="AE110" i="9"/>
  <c r="AF110" i="9"/>
  <c r="AA113" i="9"/>
  <c r="Z113" i="9"/>
  <c r="Y113" i="9"/>
  <c r="X113" i="9"/>
  <c r="AF89" i="11" l="1"/>
  <c r="AF91" i="11" s="1"/>
  <c r="AE100" i="11"/>
  <c r="AE89" i="11"/>
  <c r="AE91" i="11" s="1"/>
  <c r="AD100" i="11"/>
  <c r="AD89" i="11"/>
  <c r="AD91" i="11" s="1"/>
  <c r="AV249" i="11" s="1"/>
  <c r="AB5" i="11"/>
  <c r="AC89" i="11"/>
  <c r="AC91" i="11" s="1"/>
  <c r="AA5" i="11"/>
  <c r="AB89" i="11"/>
  <c r="AB91" i="11" s="1"/>
  <c r="Y5" i="11"/>
  <c r="Z89" i="11"/>
  <c r="Z91" i="11" s="1"/>
  <c r="X5" i="11"/>
  <c r="Y89" i="11"/>
  <c r="Y91" i="11" s="1"/>
  <c r="X89" i="11"/>
  <c r="X91" i="11" s="1"/>
  <c r="W89" i="11"/>
  <c r="W91" i="11" s="1"/>
  <c r="V5" i="11"/>
  <c r="V89" i="11"/>
  <c r="V91" i="11" s="1"/>
  <c r="AN249" i="11" s="1"/>
  <c r="T5" i="11"/>
  <c r="U89" i="11"/>
  <c r="U91" i="11" s="1"/>
  <c r="S5" i="11"/>
  <c r="T89" i="11"/>
  <c r="T91" i="11" s="1"/>
  <c r="R5" i="11"/>
  <c r="S89" i="11"/>
  <c r="S91" i="11" s="1"/>
  <c r="Q5" i="11"/>
  <c r="R89" i="11"/>
  <c r="R91" i="11" s="1"/>
  <c r="R7" i="11" s="1"/>
  <c r="Q89" i="11"/>
  <c r="Q91" i="11" s="1"/>
  <c r="P5" i="11"/>
  <c r="P89" i="11"/>
  <c r="P91" i="11" s="1"/>
  <c r="O100" i="11"/>
  <c r="AH72" i="11"/>
  <c r="O89" i="11"/>
  <c r="O91" i="11" s="1"/>
  <c r="N100" i="11"/>
  <c r="N89" i="11"/>
  <c r="N91" i="11" s="1"/>
  <c r="L5" i="11"/>
  <c r="M89" i="11"/>
  <c r="M91" i="11" s="1"/>
  <c r="AE249" i="11" s="1"/>
  <c r="K5" i="11"/>
  <c r="L89" i="11"/>
  <c r="L91" i="11" s="1"/>
  <c r="L7" i="11" s="1"/>
  <c r="K89" i="11"/>
  <c r="K91" i="11" s="1"/>
  <c r="K7" i="11" s="1"/>
  <c r="J5" i="11"/>
  <c r="AH113" i="11"/>
  <c r="AI113" i="11"/>
  <c r="H89" i="11"/>
  <c r="H91" i="11" s="1"/>
  <c r="Z249" i="11" s="1"/>
  <c r="G89" i="11"/>
  <c r="G91" i="11" s="1"/>
  <c r="G92" i="11" s="1"/>
  <c r="H5" i="11"/>
  <c r="J89" i="11"/>
  <c r="J91" i="11" s="1"/>
  <c r="J92" i="11" s="1"/>
  <c r="I89" i="11"/>
  <c r="I91" i="11" s="1"/>
  <c r="I92" i="11" s="1"/>
  <c r="I5" i="11"/>
  <c r="E5" i="11"/>
  <c r="D5" i="11"/>
  <c r="F89" i="11"/>
  <c r="F91" i="11" s="1"/>
  <c r="X249" i="11" s="1"/>
  <c r="AI54" i="11"/>
  <c r="E89" i="11"/>
  <c r="E91" i="11" s="1"/>
  <c r="E92" i="11" s="1"/>
  <c r="AH68" i="11"/>
  <c r="C5" i="11"/>
  <c r="D89" i="11"/>
  <c r="D91" i="11" s="1"/>
  <c r="D7" i="11" s="1"/>
  <c r="AI68" i="11"/>
  <c r="B5" i="11"/>
  <c r="C89" i="11"/>
  <c r="C91" i="11" s="1"/>
  <c r="C7" i="11" s="1"/>
  <c r="D246" i="11"/>
  <c r="AA7" i="11"/>
  <c r="AA92" i="11"/>
  <c r="AS249" i="11"/>
  <c r="D92" i="11"/>
  <c r="S7" i="11"/>
  <c r="S92" i="11"/>
  <c r="AK249" i="11"/>
  <c r="E7" i="11"/>
  <c r="U92" i="11"/>
  <c r="AM249" i="11"/>
  <c r="U7" i="11"/>
  <c r="AC92" i="11"/>
  <c r="AU249" i="11"/>
  <c r="AC7" i="11"/>
  <c r="T92" i="11"/>
  <c r="AL249" i="11"/>
  <c r="T7" i="11"/>
  <c r="AF249" i="11"/>
  <c r="N7" i="11"/>
  <c r="N92" i="11"/>
  <c r="AD7" i="11"/>
  <c r="AB92" i="11"/>
  <c r="AB7" i="11"/>
  <c r="AT249" i="11"/>
  <c r="AG249" i="11"/>
  <c r="O7" i="11"/>
  <c r="O92" i="11"/>
  <c r="AW249" i="11"/>
  <c r="AE7" i="11"/>
  <c r="AE92" i="11"/>
  <c r="AO249" i="11"/>
  <c r="W7" i="11"/>
  <c r="W92" i="11"/>
  <c r="H92" i="11"/>
  <c r="P7" i="11"/>
  <c r="P92" i="11"/>
  <c r="AH249" i="11"/>
  <c r="X7" i="11"/>
  <c r="AP249" i="11"/>
  <c r="X92" i="11"/>
  <c r="AX249" i="11"/>
  <c r="AF7" i="11"/>
  <c r="AF92" i="11"/>
  <c r="Y249" i="11"/>
  <c r="Q7" i="11"/>
  <c r="Q92" i="11"/>
  <c r="AI249" i="11"/>
  <c r="Y7" i="11"/>
  <c r="Y92" i="11"/>
  <c r="AQ249" i="11"/>
  <c r="AI100" i="11"/>
  <c r="AH100" i="11"/>
  <c r="G229" i="11"/>
  <c r="J232" i="11"/>
  <c r="K232" i="11" s="1"/>
  <c r="L232" i="11" s="1"/>
  <c r="M232" i="11" s="1"/>
  <c r="N232" i="11" s="1"/>
  <c r="O232" i="11" s="1"/>
  <c r="P232" i="11" s="1"/>
  <c r="Z7" i="11"/>
  <c r="Z92" i="11"/>
  <c r="AR249" i="11"/>
  <c r="G5" i="11"/>
  <c r="O5" i="11"/>
  <c r="W5" i="11"/>
  <c r="AE5" i="11"/>
  <c r="E230" i="11"/>
  <c r="E234" i="11"/>
  <c r="AH84" i="11"/>
  <c r="AH50" i="11"/>
  <c r="AH54" i="11"/>
  <c r="AI84" i="11"/>
  <c r="AI50" i="11"/>
  <c r="AI72" i="11"/>
  <c r="AG2" i="11"/>
  <c r="AG6" i="11" s="1"/>
  <c r="AF89" i="10"/>
  <c r="AF91" i="10" s="1"/>
  <c r="AD5" i="10"/>
  <c r="AE89" i="10"/>
  <c r="AE91" i="10" s="1"/>
  <c r="AC5" i="10"/>
  <c r="AD89" i="10"/>
  <c r="AD91" i="10" s="1"/>
  <c r="AC89" i="10"/>
  <c r="AC91" i="10" s="1"/>
  <c r="AA5" i="10"/>
  <c r="AB89" i="10"/>
  <c r="AB91" i="10" s="1"/>
  <c r="AA89" i="10"/>
  <c r="AA91" i="10" s="1"/>
  <c r="Y5" i="10"/>
  <c r="Z89" i="10"/>
  <c r="Z91" i="10" s="1"/>
  <c r="Y89" i="10"/>
  <c r="Y91" i="10" s="1"/>
  <c r="X89" i="10"/>
  <c r="X91" i="10" s="1"/>
  <c r="W100" i="10"/>
  <c r="W89" i="10"/>
  <c r="W91" i="10" s="1"/>
  <c r="V89" i="10"/>
  <c r="V91" i="10" s="1"/>
  <c r="AN249" i="10" s="1"/>
  <c r="U5" i="10"/>
  <c r="T5" i="10"/>
  <c r="U89" i="10"/>
  <c r="U91" i="10" s="1"/>
  <c r="S5" i="10"/>
  <c r="T89" i="10"/>
  <c r="T91" i="10" s="1"/>
  <c r="S89" i="10"/>
  <c r="S91" i="10" s="1"/>
  <c r="Q5" i="10"/>
  <c r="R89" i="10"/>
  <c r="R91" i="10" s="1"/>
  <c r="R7" i="10" s="1"/>
  <c r="Q89" i="10"/>
  <c r="Q91" i="10" s="1"/>
  <c r="AI249" i="10" s="1"/>
  <c r="P89" i="10"/>
  <c r="P91" i="10" s="1"/>
  <c r="AH249" i="10" s="1"/>
  <c r="N5" i="10"/>
  <c r="O89" i="10"/>
  <c r="O91" i="10" s="1"/>
  <c r="AG249" i="10" s="1"/>
  <c r="M5" i="10"/>
  <c r="N89" i="10"/>
  <c r="N91" i="10" s="1"/>
  <c r="L5" i="10"/>
  <c r="AH72" i="10"/>
  <c r="M89" i="10"/>
  <c r="M91" i="10" s="1"/>
  <c r="M7" i="10" s="1"/>
  <c r="K5" i="10"/>
  <c r="L89" i="10"/>
  <c r="L91" i="10" s="1"/>
  <c r="L92" i="10" s="1"/>
  <c r="K89" i="10"/>
  <c r="K91" i="10" s="1"/>
  <c r="AC249" i="10" s="1"/>
  <c r="J100" i="10"/>
  <c r="J89" i="10"/>
  <c r="J91" i="10" s="1"/>
  <c r="AB249" i="10" s="1"/>
  <c r="I89" i="10"/>
  <c r="I91" i="10" s="1"/>
  <c r="I7" i="10" s="1"/>
  <c r="H89" i="10"/>
  <c r="H91" i="10" s="1"/>
  <c r="H7" i="10" s="1"/>
  <c r="F5" i="10"/>
  <c r="G89" i="10"/>
  <c r="G91" i="10" s="1"/>
  <c r="Y249" i="10" s="1"/>
  <c r="E5" i="10"/>
  <c r="F89" i="10"/>
  <c r="F91" i="10" s="1"/>
  <c r="F92" i="10" s="1"/>
  <c r="D5" i="10"/>
  <c r="E89" i="10"/>
  <c r="E91" i="10" s="1"/>
  <c r="E92" i="10" s="1"/>
  <c r="AI68" i="10"/>
  <c r="C5" i="10"/>
  <c r="C89" i="10"/>
  <c r="C91" i="10" s="1"/>
  <c r="U249" i="10" s="1"/>
  <c r="AH84" i="10"/>
  <c r="D89" i="10"/>
  <c r="D91" i="10" s="1"/>
  <c r="D7" i="10" s="1"/>
  <c r="AI54" i="10"/>
  <c r="B100" i="10"/>
  <c r="AF5" i="10"/>
  <c r="B89" i="10"/>
  <c r="D246" i="10"/>
  <c r="AX249" i="10"/>
  <c r="AF7" i="10"/>
  <c r="AF92" i="10"/>
  <c r="Y7" i="10"/>
  <c r="Y92" i="10"/>
  <c r="AQ249" i="10"/>
  <c r="AC92" i="10"/>
  <c r="AU249" i="10"/>
  <c r="AC7" i="10"/>
  <c r="Z7" i="10"/>
  <c r="Z92" i="10"/>
  <c r="AR249" i="10"/>
  <c r="G229" i="10"/>
  <c r="P7" i="10"/>
  <c r="P92" i="10"/>
  <c r="J232" i="10"/>
  <c r="K232" i="10" s="1"/>
  <c r="L232" i="10" s="1"/>
  <c r="M232" i="10" s="1"/>
  <c r="N232" i="10" s="1"/>
  <c r="O232" i="10" s="1"/>
  <c r="P232" i="10" s="1"/>
  <c r="S7" i="10"/>
  <c r="S92" i="10"/>
  <c r="AK249" i="10"/>
  <c r="X7" i="10"/>
  <c r="X92" i="10"/>
  <c r="AP249" i="10"/>
  <c r="AB92" i="10"/>
  <c r="AT249" i="10"/>
  <c r="AB7" i="10"/>
  <c r="Q7" i="10"/>
  <c r="AG89" i="10"/>
  <c r="AG6" i="10"/>
  <c r="K7" i="10"/>
  <c r="AA7" i="10"/>
  <c r="AA92" i="10"/>
  <c r="AS249" i="10"/>
  <c r="AF249" i="10"/>
  <c r="N7" i="10"/>
  <c r="N92" i="10"/>
  <c r="AV249" i="10"/>
  <c r="AD92" i="10"/>
  <c r="AD7" i="10"/>
  <c r="T92" i="10"/>
  <c r="T7" i="10"/>
  <c r="AL249" i="10"/>
  <c r="AO249" i="10"/>
  <c r="W7" i="10"/>
  <c r="W92" i="10"/>
  <c r="AW249" i="10"/>
  <c r="AE7" i="10"/>
  <c r="AE92" i="10"/>
  <c r="AG91" i="10"/>
  <c r="U92" i="10"/>
  <c r="U7" i="10"/>
  <c r="AM249" i="10"/>
  <c r="AI72" i="10"/>
  <c r="G5" i="10"/>
  <c r="X100" i="10"/>
  <c r="AF100" i="10"/>
  <c r="E230" i="10"/>
  <c r="E234" i="10"/>
  <c r="H5" i="10"/>
  <c r="P5" i="10"/>
  <c r="X5" i="10"/>
  <c r="AI84" i="10"/>
  <c r="AH54" i="10"/>
  <c r="B5" i="10"/>
  <c r="J5" i="10"/>
  <c r="R5" i="10"/>
  <c r="Z5" i="10"/>
  <c r="AI50" i="10"/>
  <c r="B235" i="10"/>
  <c r="AH68" i="10"/>
  <c r="O5" i="10"/>
  <c r="AH50" i="10"/>
  <c r="AD92" i="11" l="1"/>
  <c r="V7" i="11"/>
  <c r="V92" i="11"/>
  <c r="AJ249" i="11"/>
  <c r="R92" i="11"/>
  <c r="M7" i="11"/>
  <c r="M92" i="11"/>
  <c r="L92" i="11"/>
  <c r="AD249" i="11"/>
  <c r="AC249" i="11"/>
  <c r="K92" i="11"/>
  <c r="W249" i="11"/>
  <c r="G7" i="11"/>
  <c r="AB249" i="11"/>
  <c r="J7" i="11"/>
  <c r="I7" i="11"/>
  <c r="H7" i="11"/>
  <c r="C244" i="11"/>
  <c r="B244" i="11"/>
  <c r="AA249" i="11"/>
  <c r="F7" i="11"/>
  <c r="F92" i="11"/>
  <c r="V249" i="11"/>
  <c r="AI89" i="11"/>
  <c r="U249" i="11"/>
  <c r="C92" i="11"/>
  <c r="AH89" i="11"/>
  <c r="H229" i="11"/>
  <c r="B7" i="11"/>
  <c r="AI91" i="11"/>
  <c r="T249" i="11"/>
  <c r="AH91" i="11"/>
  <c r="D270" i="11"/>
  <c r="F234" i="11"/>
  <c r="E110" i="11"/>
  <c r="F230" i="11"/>
  <c r="E235" i="11"/>
  <c r="Q92" i="10"/>
  <c r="V92" i="10"/>
  <c r="V7" i="10"/>
  <c r="AJ249" i="10"/>
  <c r="R92" i="10"/>
  <c r="O92" i="10"/>
  <c r="O7" i="10"/>
  <c r="AE249" i="10"/>
  <c r="M92" i="10"/>
  <c r="L7" i="10"/>
  <c r="AD249" i="10"/>
  <c r="K92" i="10"/>
  <c r="J92" i="10"/>
  <c r="J7" i="10"/>
  <c r="I92" i="10"/>
  <c r="AA249" i="10"/>
  <c r="E7" i="10"/>
  <c r="W249" i="10"/>
  <c r="Z249" i="10"/>
  <c r="H92" i="10"/>
  <c r="G7" i="10"/>
  <c r="G92" i="10"/>
  <c r="B244" i="10"/>
  <c r="C244" i="10"/>
  <c r="F7" i="10"/>
  <c r="X249" i="10"/>
  <c r="C7" i="10"/>
  <c r="C92" i="10"/>
  <c r="AH89" i="10"/>
  <c r="V249" i="10"/>
  <c r="D92" i="10"/>
  <c r="AI100" i="10"/>
  <c r="AI89" i="10"/>
  <c r="B91" i="10"/>
  <c r="B7" i="10" s="1"/>
  <c r="H229" i="10"/>
  <c r="D270" i="10"/>
  <c r="F234" i="10"/>
  <c r="E110" i="10"/>
  <c r="E235" i="10"/>
  <c r="F230" i="10"/>
  <c r="AH100" i="10"/>
  <c r="W113" i="9"/>
  <c r="V113" i="9"/>
  <c r="V50" i="9"/>
  <c r="U113" i="9"/>
  <c r="S113" i="9"/>
  <c r="K6" i="11" l="1"/>
  <c r="A7" i="11"/>
  <c r="AI92" i="11"/>
  <c r="AH92" i="11"/>
  <c r="G230" i="11"/>
  <c r="F235" i="11"/>
  <c r="E270" i="11"/>
  <c r="G234" i="11"/>
  <c r="F110" i="11"/>
  <c r="I229" i="11"/>
  <c r="K6" i="10"/>
  <c r="A7" i="10"/>
  <c r="AH91" i="10"/>
  <c r="T249" i="10"/>
  <c r="AI91" i="10"/>
  <c r="B92" i="10"/>
  <c r="AH92" i="10" s="1"/>
  <c r="G230" i="10"/>
  <c r="F235" i="10"/>
  <c r="E270" i="10"/>
  <c r="G234" i="10"/>
  <c r="F110" i="10"/>
  <c r="I229" i="10"/>
  <c r="F270" i="11" l="1"/>
  <c r="H234" i="11"/>
  <c r="H230" i="11"/>
  <c r="G235" i="11"/>
  <c r="J229" i="11"/>
  <c r="AI92" i="10"/>
  <c r="F270" i="10"/>
  <c r="H234" i="10"/>
  <c r="G110" i="10"/>
  <c r="J229" i="10"/>
  <c r="H230" i="10"/>
  <c r="G235" i="10"/>
  <c r="I230" i="11" l="1"/>
  <c r="H235" i="11"/>
  <c r="G270" i="11"/>
  <c r="I234" i="11"/>
  <c r="K229" i="11"/>
  <c r="K229" i="10"/>
  <c r="G270" i="10"/>
  <c r="I234" i="10"/>
  <c r="H110" i="10"/>
  <c r="I230" i="10"/>
  <c r="H235" i="10"/>
  <c r="H270" i="11" l="1"/>
  <c r="J234" i="11"/>
  <c r="I110" i="11"/>
  <c r="J230" i="11"/>
  <c r="L229" i="11"/>
  <c r="J230" i="10"/>
  <c r="H270" i="10"/>
  <c r="J234" i="10"/>
  <c r="I110" i="10"/>
  <c r="L229" i="10"/>
  <c r="K230" i="11" l="1"/>
  <c r="M229" i="11"/>
  <c r="K234" i="11"/>
  <c r="I270" i="11"/>
  <c r="J110" i="11"/>
  <c r="K234" i="10"/>
  <c r="I270" i="10"/>
  <c r="J110" i="10"/>
  <c r="M229" i="10"/>
  <c r="K230" i="10"/>
  <c r="J270" i="11" l="1"/>
  <c r="L234" i="11"/>
  <c r="K110" i="11"/>
  <c r="N229" i="11"/>
  <c r="L230" i="11"/>
  <c r="L230" i="10"/>
  <c r="N229" i="10"/>
  <c r="J270" i="10"/>
  <c r="L234" i="10"/>
  <c r="M230" i="11" l="1"/>
  <c r="O229" i="11"/>
  <c r="K270" i="11"/>
  <c r="M234" i="11"/>
  <c r="L110" i="11"/>
  <c r="K270" i="10"/>
  <c r="M234" i="10"/>
  <c r="L110" i="10"/>
  <c r="O229" i="10"/>
  <c r="M230" i="10"/>
  <c r="L270" i="11" l="1"/>
  <c r="N234" i="11"/>
  <c r="M110" i="11"/>
  <c r="P229" i="11"/>
  <c r="N230" i="11"/>
  <c r="N230" i="10"/>
  <c r="P229" i="10"/>
  <c r="L270" i="10"/>
  <c r="N234" i="10"/>
  <c r="M110" i="10"/>
  <c r="O230" i="11" l="1"/>
  <c r="M270" i="11"/>
  <c r="O234" i="11"/>
  <c r="N110" i="11"/>
  <c r="M270" i="10"/>
  <c r="O234" i="10"/>
  <c r="N110" i="10"/>
  <c r="O230" i="10"/>
  <c r="N270" i="11" l="1"/>
  <c r="P234" i="11"/>
  <c r="O270" i="11" s="1"/>
  <c r="O110" i="11"/>
  <c r="P230" i="11"/>
  <c r="P230" i="10"/>
  <c r="N270" i="10"/>
  <c r="P234" i="10"/>
  <c r="O270" i="10" s="1"/>
  <c r="O110" i="10"/>
  <c r="AH110" i="11" l="1"/>
  <c r="AI110" i="11"/>
  <c r="AI110" i="10"/>
  <c r="AH110" i="10"/>
  <c r="M50" i="9" l="1"/>
  <c r="M54" i="9"/>
  <c r="L50" i="9"/>
  <c r="B50" i="9"/>
  <c r="AF274" i="9"/>
  <c r="AE274" i="9"/>
  <c r="AD274" i="9"/>
  <c r="AC274" i="9"/>
  <c r="AB274" i="9"/>
  <c r="AA274" i="9"/>
  <c r="Z274" i="9"/>
  <c r="Y274" i="9"/>
  <c r="X274" i="9"/>
  <c r="W274" i="9"/>
  <c r="V274" i="9"/>
  <c r="U274" i="9"/>
  <c r="T274" i="9"/>
  <c r="S274" i="9"/>
  <c r="R274" i="9"/>
  <c r="Q274" i="9"/>
  <c r="P274" i="9"/>
  <c r="O274" i="9"/>
  <c r="N274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A274" i="9"/>
  <c r="AF273" i="9"/>
  <c r="AE273" i="9"/>
  <c r="AD273" i="9"/>
  <c r="AC273" i="9"/>
  <c r="AB273" i="9"/>
  <c r="AA273" i="9"/>
  <c r="Z273" i="9"/>
  <c r="Y273" i="9"/>
  <c r="X273" i="9"/>
  <c r="W273" i="9"/>
  <c r="V273" i="9"/>
  <c r="U273" i="9"/>
  <c r="T273" i="9"/>
  <c r="S273" i="9"/>
  <c r="R273" i="9"/>
  <c r="Q273" i="9"/>
  <c r="P273" i="9"/>
  <c r="O273" i="9"/>
  <c r="N273" i="9"/>
  <c r="M273" i="9"/>
  <c r="L273" i="9"/>
  <c r="K273" i="9"/>
  <c r="J273" i="9"/>
  <c r="I273" i="9"/>
  <c r="H273" i="9"/>
  <c r="G273" i="9"/>
  <c r="F273" i="9"/>
  <c r="E273" i="9"/>
  <c r="D273" i="9"/>
  <c r="C273" i="9"/>
  <c r="B273" i="9"/>
  <c r="A273" i="9"/>
  <c r="AF272" i="9"/>
  <c r="AE272" i="9"/>
  <c r="AD272" i="9"/>
  <c r="AC272" i="9"/>
  <c r="AB272" i="9"/>
  <c r="AA272" i="9"/>
  <c r="Z272" i="9"/>
  <c r="Y272" i="9"/>
  <c r="X272" i="9"/>
  <c r="W272" i="9"/>
  <c r="V272" i="9"/>
  <c r="U272" i="9"/>
  <c r="T272" i="9"/>
  <c r="S272" i="9"/>
  <c r="R272" i="9"/>
  <c r="Q272" i="9"/>
  <c r="P272" i="9"/>
  <c r="O272" i="9"/>
  <c r="N272" i="9"/>
  <c r="M272" i="9"/>
  <c r="L272" i="9"/>
  <c r="K272" i="9"/>
  <c r="J272" i="9"/>
  <c r="I272" i="9"/>
  <c r="H272" i="9"/>
  <c r="G272" i="9"/>
  <c r="F272" i="9"/>
  <c r="E272" i="9"/>
  <c r="D272" i="9"/>
  <c r="C272" i="9"/>
  <c r="B272" i="9"/>
  <c r="A272" i="9"/>
  <c r="AF271" i="9"/>
  <c r="AE271" i="9"/>
  <c r="AD271" i="9"/>
  <c r="AC271" i="9"/>
  <c r="AB271" i="9"/>
  <c r="AA271" i="9"/>
  <c r="Z271" i="9"/>
  <c r="Y271" i="9"/>
  <c r="X271" i="9"/>
  <c r="W271" i="9"/>
  <c r="V271" i="9"/>
  <c r="U271" i="9"/>
  <c r="T271" i="9"/>
  <c r="S271" i="9"/>
  <c r="R271" i="9"/>
  <c r="Q271" i="9"/>
  <c r="P271" i="9"/>
  <c r="O271" i="9"/>
  <c r="N271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A271" i="9"/>
  <c r="AE270" i="9"/>
  <c r="AD270" i="9"/>
  <c r="AC270" i="9"/>
  <c r="AB270" i="9"/>
  <c r="AA270" i="9"/>
  <c r="Z270" i="9"/>
  <c r="Y270" i="9"/>
  <c r="X270" i="9"/>
  <c r="W270" i="9"/>
  <c r="V270" i="9"/>
  <c r="U270" i="9"/>
  <c r="T270" i="9"/>
  <c r="S270" i="9"/>
  <c r="R270" i="9"/>
  <c r="Q270" i="9"/>
  <c r="P270" i="9"/>
  <c r="B270" i="9"/>
  <c r="S245" i="9"/>
  <c r="AG235" i="9"/>
  <c r="AF235" i="9"/>
  <c r="AE235" i="9"/>
  <c r="AD235" i="9"/>
  <c r="AC235" i="9"/>
  <c r="AB235" i="9"/>
  <c r="AA235" i="9"/>
  <c r="Z235" i="9"/>
  <c r="Y235" i="9"/>
  <c r="X235" i="9"/>
  <c r="W235" i="9"/>
  <c r="V235" i="9"/>
  <c r="U235" i="9"/>
  <c r="T235" i="9"/>
  <c r="S235" i="9"/>
  <c r="R235" i="9"/>
  <c r="Q235" i="9"/>
  <c r="C235" i="9"/>
  <c r="D234" i="9"/>
  <c r="E234" i="9" s="1"/>
  <c r="B234" i="9"/>
  <c r="AF270" i="9" s="1"/>
  <c r="E233" i="9"/>
  <c r="F233" i="9" s="1"/>
  <c r="G233" i="9" s="1"/>
  <c r="H233" i="9" s="1"/>
  <c r="I233" i="9" s="1"/>
  <c r="J233" i="9" s="1"/>
  <c r="K233" i="9" s="1"/>
  <c r="L233" i="9" s="1"/>
  <c r="M233" i="9" s="1"/>
  <c r="N233" i="9" s="1"/>
  <c r="O233" i="9" s="1"/>
  <c r="P233" i="9" s="1"/>
  <c r="D233" i="9"/>
  <c r="B233" i="9"/>
  <c r="E232" i="9"/>
  <c r="F232" i="9" s="1"/>
  <c r="G232" i="9" s="1"/>
  <c r="H232" i="9" s="1"/>
  <c r="I232" i="9" s="1"/>
  <c r="D232" i="9"/>
  <c r="B232" i="9"/>
  <c r="F231" i="9"/>
  <c r="G231" i="9" s="1"/>
  <c r="H231" i="9" s="1"/>
  <c r="E231" i="9"/>
  <c r="D231" i="9"/>
  <c r="B231" i="9"/>
  <c r="D230" i="9"/>
  <c r="D235" i="9" s="1"/>
  <c r="B230" i="9"/>
  <c r="E229" i="9"/>
  <c r="F229" i="9" s="1"/>
  <c r="D229" i="9"/>
  <c r="B229" i="9"/>
  <c r="B110" i="9" s="1"/>
  <c r="AG227" i="9"/>
  <c r="AF227" i="9"/>
  <c r="AE227" i="9"/>
  <c r="AD227" i="9"/>
  <c r="AC227" i="9"/>
  <c r="AB227" i="9"/>
  <c r="AA227" i="9"/>
  <c r="Z227" i="9"/>
  <c r="Y227" i="9"/>
  <c r="X227" i="9"/>
  <c r="W227" i="9"/>
  <c r="V227" i="9"/>
  <c r="U227" i="9"/>
  <c r="T227" i="9"/>
  <c r="S227" i="9"/>
  <c r="R227" i="9"/>
  <c r="Q227" i="9"/>
  <c r="P227" i="9"/>
  <c r="O227" i="9"/>
  <c r="N227" i="9"/>
  <c r="M227" i="9"/>
  <c r="L227" i="9"/>
  <c r="K227" i="9"/>
  <c r="J227" i="9"/>
  <c r="I227" i="9"/>
  <c r="H227" i="9"/>
  <c r="G227" i="9"/>
  <c r="F227" i="9"/>
  <c r="E227" i="9"/>
  <c r="D227" i="9"/>
  <c r="C227" i="9"/>
  <c r="B227" i="9"/>
  <c r="AI120" i="9"/>
  <c r="AH120" i="9"/>
  <c r="AI119" i="9"/>
  <c r="AH119" i="9"/>
  <c r="AI118" i="9"/>
  <c r="AH118" i="9"/>
  <c r="AI117" i="9"/>
  <c r="AH117" i="9"/>
  <c r="AI116" i="9"/>
  <c r="AH116" i="9"/>
  <c r="AI115" i="9"/>
  <c r="AH115" i="9"/>
  <c r="AI114" i="9"/>
  <c r="AH114" i="9"/>
  <c r="AI113" i="9"/>
  <c r="AH113" i="9"/>
  <c r="AI112" i="9"/>
  <c r="AH112" i="9"/>
  <c r="AI111" i="9"/>
  <c r="AH111" i="9"/>
  <c r="AC110" i="9"/>
  <c r="AB110" i="9"/>
  <c r="AA110" i="9"/>
  <c r="Z110" i="9"/>
  <c r="Y110" i="9"/>
  <c r="X110" i="9"/>
  <c r="W110" i="9"/>
  <c r="V110" i="9"/>
  <c r="U110" i="9"/>
  <c r="T110" i="9"/>
  <c r="S110" i="9"/>
  <c r="R110" i="9"/>
  <c r="Q110" i="9"/>
  <c r="D110" i="9"/>
  <c r="C110" i="9"/>
  <c r="AI109" i="9"/>
  <c r="AH109" i="9"/>
  <c r="AI108" i="9"/>
  <c r="AH108" i="9"/>
  <c r="AI107" i="9"/>
  <c r="AH107" i="9"/>
  <c r="AI106" i="9"/>
  <c r="AH106" i="9"/>
  <c r="AI105" i="9"/>
  <c r="AH105" i="9"/>
  <c r="AI104" i="9"/>
  <c r="AH104" i="9"/>
  <c r="AI103" i="9"/>
  <c r="AH103" i="9"/>
  <c r="AI102" i="9"/>
  <c r="AH102" i="9"/>
  <c r="AI101" i="9"/>
  <c r="AH101" i="9"/>
  <c r="AE100" i="9"/>
  <c r="AI99" i="9"/>
  <c r="AH99" i="9"/>
  <c r="AI98" i="9"/>
  <c r="AH98" i="9"/>
  <c r="AI97" i="9"/>
  <c r="AH97" i="9"/>
  <c r="AI96" i="9"/>
  <c r="AH96" i="9"/>
  <c r="AI95" i="9"/>
  <c r="AH95" i="9"/>
  <c r="AI94" i="9"/>
  <c r="AH94" i="9"/>
  <c r="AI93" i="9"/>
  <c r="AH93" i="9"/>
  <c r="AI90" i="9"/>
  <c r="AH90" i="9"/>
  <c r="AI88" i="9"/>
  <c r="AH88" i="9"/>
  <c r="AG88" i="9"/>
  <c r="AI87" i="9"/>
  <c r="AH87" i="9"/>
  <c r="AI86" i="9"/>
  <c r="AH86" i="9"/>
  <c r="AI85" i="9"/>
  <c r="AH85" i="9"/>
  <c r="AN84" i="9"/>
  <c r="AG84" i="9"/>
  <c r="AG91" i="9" s="1"/>
  <c r="AF84" i="9"/>
  <c r="AF100" i="9" s="1"/>
  <c r="AE84" i="9"/>
  <c r="AD84" i="9"/>
  <c r="AD100" i="9" s="1"/>
  <c r="AC84" i="9"/>
  <c r="AC100" i="9" s="1"/>
  <c r="AB84" i="9"/>
  <c r="AB100" i="9" s="1"/>
  <c r="AA84" i="9"/>
  <c r="AA100" i="9" s="1"/>
  <c r="Z84" i="9"/>
  <c r="Z100" i="9" s="1"/>
  <c r="Y84" i="9"/>
  <c r="Y100" i="9" s="1"/>
  <c r="X84" i="9"/>
  <c r="X100" i="9" s="1"/>
  <c r="W84" i="9"/>
  <c r="W100" i="9" s="1"/>
  <c r="V84" i="9"/>
  <c r="U5" i="9" s="1"/>
  <c r="U84" i="9"/>
  <c r="U100" i="9" s="1"/>
  <c r="T84" i="9"/>
  <c r="T100" i="9" s="1"/>
  <c r="S84" i="9"/>
  <c r="R5" i="9" s="1"/>
  <c r="R84" i="9"/>
  <c r="Q5" i="9" s="1"/>
  <c r="Q84" i="9"/>
  <c r="Q100" i="9" s="1"/>
  <c r="P84" i="9"/>
  <c r="P100" i="9" s="1"/>
  <c r="O84" i="9"/>
  <c r="O100" i="9" s="1"/>
  <c r="N84" i="9"/>
  <c r="N100" i="9" s="1"/>
  <c r="M84" i="9"/>
  <c r="M100" i="9" s="1"/>
  <c r="L84" i="9"/>
  <c r="L100" i="9" s="1"/>
  <c r="K84" i="9"/>
  <c r="K100" i="9" s="1"/>
  <c r="J84" i="9"/>
  <c r="I5" i="9" s="1"/>
  <c r="I84" i="9"/>
  <c r="I100" i="9" s="1"/>
  <c r="H84" i="9"/>
  <c r="H100" i="9" s="1"/>
  <c r="G84" i="9"/>
  <c r="F5" i="9" s="1"/>
  <c r="F84" i="9"/>
  <c r="E5" i="9" s="1"/>
  <c r="E84" i="9"/>
  <c r="E100" i="9" s="1"/>
  <c r="D84" i="9"/>
  <c r="D100" i="9" s="1"/>
  <c r="C84" i="9"/>
  <c r="C100" i="9" s="1"/>
  <c r="B84" i="9"/>
  <c r="AN83" i="9"/>
  <c r="AI83" i="9"/>
  <c r="AH83" i="9"/>
  <c r="AN82" i="9"/>
  <c r="AI82" i="9"/>
  <c r="AH82" i="9"/>
  <c r="AN81" i="9"/>
  <c r="AI81" i="9"/>
  <c r="AH81" i="9"/>
  <c r="AI80" i="9"/>
  <c r="AH80" i="9"/>
  <c r="AI79" i="9"/>
  <c r="AH79" i="9"/>
  <c r="AI78" i="9"/>
  <c r="AH78" i="9"/>
  <c r="AI77" i="9"/>
  <c r="AH77" i="9"/>
  <c r="AI76" i="9"/>
  <c r="AH76" i="9"/>
  <c r="AI75" i="9"/>
  <c r="AH75" i="9"/>
  <c r="AI74" i="9"/>
  <c r="AH74" i="9"/>
  <c r="AI73" i="9"/>
  <c r="AH73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B72" i="9"/>
  <c r="AI71" i="9"/>
  <c r="AH71" i="9"/>
  <c r="AI70" i="9"/>
  <c r="AH70" i="9"/>
  <c r="AI69" i="9"/>
  <c r="AH69" i="9"/>
  <c r="AG68" i="9"/>
  <c r="AG3" i="9" s="1"/>
  <c r="AG6" i="9" s="1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I67" i="9"/>
  <c r="AH67" i="9"/>
  <c r="AG67" i="9"/>
  <c r="AI66" i="9"/>
  <c r="AH66" i="9"/>
  <c r="AI65" i="9"/>
  <c r="AH65" i="9"/>
  <c r="AI64" i="9"/>
  <c r="AH64" i="9"/>
  <c r="AI63" i="9"/>
  <c r="AH63" i="9"/>
  <c r="AI62" i="9"/>
  <c r="AH62" i="9"/>
  <c r="AI61" i="9"/>
  <c r="AH61" i="9"/>
  <c r="AI60" i="9"/>
  <c r="AH60" i="9"/>
  <c r="AI59" i="9"/>
  <c r="AH59" i="9"/>
  <c r="AI58" i="9"/>
  <c r="AH58" i="9"/>
  <c r="AI57" i="9"/>
  <c r="AH57" i="9"/>
  <c r="AI56" i="9"/>
  <c r="AH56" i="9"/>
  <c r="AI55" i="9"/>
  <c r="AH55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L54" i="9"/>
  <c r="K54" i="9"/>
  <c r="J54" i="9"/>
  <c r="I54" i="9"/>
  <c r="H54" i="9"/>
  <c r="G54" i="9"/>
  <c r="F54" i="9"/>
  <c r="E54" i="9"/>
  <c r="D54" i="9"/>
  <c r="C54" i="9"/>
  <c r="B54" i="9"/>
  <c r="AI53" i="9"/>
  <c r="AH53" i="9"/>
  <c r="AI52" i="9"/>
  <c r="AH52" i="9"/>
  <c r="AI51" i="9"/>
  <c r="AH51" i="9"/>
  <c r="AG50" i="9"/>
  <c r="AG89" i="9" s="1"/>
  <c r="AF50" i="9"/>
  <c r="AF89" i="9" s="1"/>
  <c r="AF91" i="9" s="1"/>
  <c r="AE50" i="9"/>
  <c r="AE89" i="9" s="1"/>
  <c r="AE91" i="9" s="1"/>
  <c r="AD50" i="9"/>
  <c r="AC50" i="9"/>
  <c r="AC89" i="9" s="1"/>
  <c r="AC91" i="9" s="1"/>
  <c r="AB50" i="9"/>
  <c r="AA50" i="9"/>
  <c r="Z50" i="9"/>
  <c r="Z89" i="9" s="1"/>
  <c r="Z91" i="9" s="1"/>
  <c r="Y50" i="9"/>
  <c r="X50" i="9"/>
  <c r="W50" i="9"/>
  <c r="U50" i="9"/>
  <c r="T50" i="9"/>
  <c r="S50" i="9"/>
  <c r="R50" i="9"/>
  <c r="Q50" i="9"/>
  <c r="P50" i="9"/>
  <c r="O50" i="9"/>
  <c r="N50" i="9"/>
  <c r="K50" i="9"/>
  <c r="K89" i="9" s="1"/>
  <c r="K91" i="9" s="1"/>
  <c r="J50" i="9"/>
  <c r="I50" i="9"/>
  <c r="H50" i="9"/>
  <c r="G50" i="9"/>
  <c r="F50" i="9"/>
  <c r="E50" i="9"/>
  <c r="D50" i="9"/>
  <c r="C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AD5" i="9"/>
  <c r="AB5" i="9"/>
  <c r="V5" i="9"/>
  <c r="AG4" i="9"/>
  <c r="K4" i="9"/>
  <c r="E4" i="9"/>
  <c r="H4" i="9" s="1"/>
  <c r="B4" i="9"/>
  <c r="S246" i="9" s="1"/>
  <c r="AG2" i="9"/>
  <c r="AD110" i="8"/>
  <c r="AA113" i="8"/>
  <c r="AA110" i="8" s="1"/>
  <c r="AA99" i="8"/>
  <c r="AA89" i="8"/>
  <c r="AA91" i="8" s="1"/>
  <c r="AA92" i="8" s="1"/>
  <c r="AA109" i="8" s="1"/>
  <c r="AA88" i="8"/>
  <c r="AA84" i="8"/>
  <c r="AA100" i="8" s="1"/>
  <c r="AA72" i="8"/>
  <c r="AA68" i="8"/>
  <c r="AA54" i="8"/>
  <c r="AA50" i="8"/>
  <c r="AC5" i="9" l="1"/>
  <c r="AD89" i="9"/>
  <c r="AD91" i="9" s="1"/>
  <c r="AD7" i="9" s="1"/>
  <c r="AA5" i="9"/>
  <c r="AB89" i="9"/>
  <c r="AB91" i="9" s="1"/>
  <c r="AB92" i="9" s="1"/>
  <c r="AA89" i="9"/>
  <c r="AA91" i="9" s="1"/>
  <c r="AA7" i="9" s="1"/>
  <c r="Y5" i="9"/>
  <c r="Y89" i="9"/>
  <c r="Y91" i="9" s="1"/>
  <c r="Y92" i="9" s="1"/>
  <c r="X89" i="9"/>
  <c r="X91" i="9" s="1"/>
  <c r="X7" i="9" s="1"/>
  <c r="W89" i="9"/>
  <c r="W91" i="9" s="1"/>
  <c r="W7" i="9" s="1"/>
  <c r="V100" i="9"/>
  <c r="V89" i="9"/>
  <c r="V91" i="9" s="1"/>
  <c r="V7" i="9" s="1"/>
  <c r="U89" i="9"/>
  <c r="U91" i="9" s="1"/>
  <c r="U92" i="9" s="1"/>
  <c r="T5" i="9"/>
  <c r="S5" i="9"/>
  <c r="T89" i="9"/>
  <c r="T91" i="9" s="1"/>
  <c r="T92" i="9" s="1"/>
  <c r="S89" i="9"/>
  <c r="S91" i="9" s="1"/>
  <c r="S92" i="9" s="1"/>
  <c r="R100" i="9"/>
  <c r="R89" i="9"/>
  <c r="R91" i="9" s="1"/>
  <c r="R7" i="9" s="1"/>
  <c r="Q89" i="9"/>
  <c r="Q91" i="9" s="1"/>
  <c r="Q92" i="9" s="1"/>
  <c r="P89" i="9"/>
  <c r="P91" i="9" s="1"/>
  <c r="AH249" i="9" s="1"/>
  <c r="O89" i="9"/>
  <c r="O91" i="9" s="1"/>
  <c r="AG249" i="9" s="1"/>
  <c r="N5" i="9"/>
  <c r="M5" i="9"/>
  <c r="N89" i="9"/>
  <c r="N91" i="9" s="1"/>
  <c r="N7" i="9" s="1"/>
  <c r="L5" i="9"/>
  <c r="M89" i="9"/>
  <c r="M91" i="9" s="1"/>
  <c r="M92" i="9" s="1"/>
  <c r="K5" i="9"/>
  <c r="L89" i="9"/>
  <c r="L91" i="9" s="1"/>
  <c r="L92" i="9" s="1"/>
  <c r="AH72" i="9"/>
  <c r="J100" i="9"/>
  <c r="J89" i="9"/>
  <c r="J91" i="9" s="1"/>
  <c r="J92" i="9" s="1"/>
  <c r="I89" i="9"/>
  <c r="I91" i="9" s="1"/>
  <c r="I92" i="9" s="1"/>
  <c r="H89" i="9"/>
  <c r="H91" i="9" s="1"/>
  <c r="H7" i="9" s="1"/>
  <c r="G100" i="9"/>
  <c r="G89" i="9"/>
  <c r="G91" i="9" s="1"/>
  <c r="G7" i="9" s="1"/>
  <c r="D5" i="9"/>
  <c r="E89" i="9"/>
  <c r="E91" i="9" s="1"/>
  <c r="W249" i="9" s="1"/>
  <c r="F100" i="9"/>
  <c r="F89" i="9"/>
  <c r="F91" i="9" s="1"/>
  <c r="F92" i="9" s="1"/>
  <c r="C5" i="9"/>
  <c r="AI68" i="9"/>
  <c r="D89" i="9"/>
  <c r="D91" i="9" s="1"/>
  <c r="V249" i="9" s="1"/>
  <c r="AH84" i="9"/>
  <c r="C89" i="9"/>
  <c r="C91" i="9" s="1"/>
  <c r="C7" i="9" s="1"/>
  <c r="AI54" i="9"/>
  <c r="AF5" i="9"/>
  <c r="B100" i="9"/>
  <c r="B89" i="9"/>
  <c r="B91" i="9" s="1"/>
  <c r="D246" i="9"/>
  <c r="AV249" i="9"/>
  <c r="D270" i="9"/>
  <c r="F234" i="9"/>
  <c r="E110" i="9"/>
  <c r="AO249" i="9"/>
  <c r="W92" i="9"/>
  <c r="AW249" i="9"/>
  <c r="AE7" i="9"/>
  <c r="AE92" i="9"/>
  <c r="Z249" i="9"/>
  <c r="AF7" i="9"/>
  <c r="AF92" i="9"/>
  <c r="AX249" i="9"/>
  <c r="G229" i="9"/>
  <c r="F110" i="9"/>
  <c r="J232" i="9"/>
  <c r="K232" i="9" s="1"/>
  <c r="L232" i="9" s="1"/>
  <c r="M232" i="9" s="1"/>
  <c r="N232" i="9" s="1"/>
  <c r="O232" i="9" s="1"/>
  <c r="P232" i="9" s="1"/>
  <c r="Z7" i="9"/>
  <c r="Z92" i="9"/>
  <c r="AR249" i="9"/>
  <c r="AC92" i="9"/>
  <c r="AU249" i="9"/>
  <c r="AC7" i="9"/>
  <c r="L7" i="9"/>
  <c r="U249" i="9"/>
  <c r="K7" i="9"/>
  <c r="K92" i="9"/>
  <c r="AC249" i="9"/>
  <c r="S7" i="9"/>
  <c r="G5" i="9"/>
  <c r="AE5" i="9"/>
  <c r="E230" i="9"/>
  <c r="H5" i="9"/>
  <c r="P5" i="9"/>
  <c r="X5" i="9"/>
  <c r="C270" i="9"/>
  <c r="AI84" i="9"/>
  <c r="O5" i="9"/>
  <c r="AH54" i="9"/>
  <c r="B5" i="9"/>
  <c r="J5" i="9"/>
  <c r="Z5" i="9"/>
  <c r="AI50" i="9"/>
  <c r="S100" i="9"/>
  <c r="AH50" i="9"/>
  <c r="B235" i="9"/>
  <c r="AH68" i="9"/>
  <c r="AI72" i="9"/>
  <c r="W5" i="9"/>
  <c r="AP249" i="9" l="1"/>
  <c r="AS249" i="9"/>
  <c r="T7" i="9"/>
  <c r="AA92" i="9"/>
  <c r="AL249" i="9"/>
  <c r="AK249" i="9"/>
  <c r="AD92" i="9"/>
  <c r="AB7" i="9"/>
  <c r="AT249" i="9"/>
  <c r="AQ249" i="9"/>
  <c r="Y7" i="9"/>
  <c r="X92" i="9"/>
  <c r="V92" i="9"/>
  <c r="U7" i="9"/>
  <c r="AM249" i="9"/>
  <c r="AN249" i="9"/>
  <c r="O92" i="9"/>
  <c r="O7" i="9"/>
  <c r="Q7" i="9"/>
  <c r="AJ249" i="9"/>
  <c r="R92" i="9"/>
  <c r="AI249" i="9"/>
  <c r="P92" i="9"/>
  <c r="P7" i="9"/>
  <c r="N92" i="9"/>
  <c r="AF249" i="9"/>
  <c r="M7" i="9"/>
  <c r="AE249" i="9"/>
  <c r="AD249" i="9"/>
  <c r="AA249" i="9"/>
  <c r="AB249" i="9"/>
  <c r="H92" i="9"/>
  <c r="J7" i="9"/>
  <c r="C244" i="9"/>
  <c r="I7" i="9"/>
  <c r="G92" i="9"/>
  <c r="AH100" i="9"/>
  <c r="B244" i="9"/>
  <c r="Y249" i="9"/>
  <c r="D92" i="9"/>
  <c r="E92" i="9"/>
  <c r="E7" i="9"/>
  <c r="X249" i="9"/>
  <c r="F7" i="9"/>
  <c r="D7" i="9"/>
  <c r="C92" i="9"/>
  <c r="AI100" i="9"/>
  <c r="AH89" i="9"/>
  <c r="AI89" i="9"/>
  <c r="H229" i="9"/>
  <c r="E270" i="9"/>
  <c r="G234" i="9"/>
  <c r="E235" i="9"/>
  <c r="F230" i="9"/>
  <c r="B7" i="9"/>
  <c r="B92" i="9"/>
  <c r="AI91" i="9"/>
  <c r="T249" i="9"/>
  <c r="AH91" i="9"/>
  <c r="K6" i="9" l="1"/>
  <c r="A7" i="9"/>
  <c r="G230" i="9"/>
  <c r="F235" i="9"/>
  <c r="F270" i="9"/>
  <c r="H234" i="9"/>
  <c r="G110" i="9"/>
  <c r="AI92" i="9"/>
  <c r="AH92" i="9"/>
  <c r="I229" i="9"/>
  <c r="G270" i="9" l="1"/>
  <c r="I234" i="9"/>
  <c r="I110" i="9"/>
  <c r="J229" i="9"/>
  <c r="H110" i="9"/>
  <c r="H230" i="9"/>
  <c r="G235" i="9"/>
  <c r="K229" i="9" l="1"/>
  <c r="H270" i="9"/>
  <c r="J234" i="9"/>
  <c r="I230" i="9"/>
  <c r="H235" i="9"/>
  <c r="J230" i="9" l="1"/>
  <c r="K234" i="9"/>
  <c r="I270" i="9"/>
  <c r="K110" i="9"/>
  <c r="L229" i="9"/>
  <c r="J110" i="9"/>
  <c r="M229" i="9" l="1"/>
  <c r="J270" i="9"/>
  <c r="L234" i="9"/>
  <c r="K230" i="9"/>
  <c r="L230" i="9" l="1"/>
  <c r="M234" i="9"/>
  <c r="K270" i="9"/>
  <c r="L110" i="9"/>
  <c r="M110" i="9"/>
  <c r="N229" i="9"/>
  <c r="O229" i="9" l="1"/>
  <c r="L270" i="9"/>
  <c r="N234" i="9"/>
  <c r="M230" i="9"/>
  <c r="N230" i="9" l="1"/>
  <c r="M270" i="9"/>
  <c r="O234" i="9"/>
  <c r="N110" i="9"/>
  <c r="P229" i="9"/>
  <c r="O110" i="9"/>
  <c r="AH110" i="9" l="1"/>
  <c r="AI110" i="9"/>
  <c r="N270" i="9"/>
  <c r="P234" i="9"/>
  <c r="O270" i="9" s="1"/>
  <c r="O230" i="9"/>
  <c r="P230" i="9" l="1"/>
  <c r="Z113" i="8" l="1"/>
  <c r="Y113" i="8"/>
  <c r="X113" i="8"/>
  <c r="W113" i="8"/>
  <c r="U113" i="8"/>
  <c r="M50" i="8" l="1"/>
  <c r="M54" i="8"/>
  <c r="L113" i="8"/>
  <c r="K113" i="8"/>
  <c r="I113" i="8"/>
  <c r="J113" i="8"/>
  <c r="H113" i="8"/>
  <c r="G113" i="8"/>
  <c r="E113" i="8"/>
  <c r="AF274" i="8"/>
  <c r="AE274" i="8"/>
  <c r="AD274" i="8"/>
  <c r="AC274" i="8"/>
  <c r="AB274" i="8"/>
  <c r="AA274" i="8"/>
  <c r="Z274" i="8"/>
  <c r="Y274" i="8"/>
  <c r="X274" i="8"/>
  <c r="W274" i="8"/>
  <c r="V274" i="8"/>
  <c r="U274" i="8"/>
  <c r="T274" i="8"/>
  <c r="S274" i="8"/>
  <c r="R274" i="8"/>
  <c r="Q274" i="8"/>
  <c r="P274" i="8"/>
  <c r="O274" i="8"/>
  <c r="N274" i="8"/>
  <c r="M274" i="8"/>
  <c r="L274" i="8"/>
  <c r="K274" i="8"/>
  <c r="J274" i="8"/>
  <c r="I274" i="8"/>
  <c r="H274" i="8"/>
  <c r="G274" i="8"/>
  <c r="F274" i="8"/>
  <c r="E274" i="8"/>
  <c r="D274" i="8"/>
  <c r="C274" i="8"/>
  <c r="B274" i="8"/>
  <c r="A274" i="8"/>
  <c r="AF273" i="8"/>
  <c r="AE273" i="8"/>
  <c r="AD273" i="8"/>
  <c r="AC273" i="8"/>
  <c r="AB273" i="8"/>
  <c r="AA273" i="8"/>
  <c r="Z273" i="8"/>
  <c r="Y273" i="8"/>
  <c r="X273" i="8"/>
  <c r="W273" i="8"/>
  <c r="V273" i="8"/>
  <c r="U273" i="8"/>
  <c r="T273" i="8"/>
  <c r="S273" i="8"/>
  <c r="R273" i="8"/>
  <c r="Q273" i="8"/>
  <c r="P273" i="8"/>
  <c r="O273" i="8"/>
  <c r="N273" i="8"/>
  <c r="M273" i="8"/>
  <c r="L273" i="8"/>
  <c r="K273" i="8"/>
  <c r="J273" i="8"/>
  <c r="I273" i="8"/>
  <c r="H273" i="8"/>
  <c r="G273" i="8"/>
  <c r="F273" i="8"/>
  <c r="E273" i="8"/>
  <c r="D273" i="8"/>
  <c r="C273" i="8"/>
  <c r="B273" i="8"/>
  <c r="A273" i="8"/>
  <c r="AF272" i="8"/>
  <c r="AE272" i="8"/>
  <c r="AD272" i="8"/>
  <c r="AC272" i="8"/>
  <c r="AB272" i="8"/>
  <c r="AA272" i="8"/>
  <c r="Z272" i="8"/>
  <c r="Y272" i="8"/>
  <c r="X272" i="8"/>
  <c r="W272" i="8"/>
  <c r="V272" i="8"/>
  <c r="U272" i="8"/>
  <c r="T272" i="8"/>
  <c r="S272" i="8"/>
  <c r="R272" i="8"/>
  <c r="Q272" i="8"/>
  <c r="P272" i="8"/>
  <c r="O272" i="8"/>
  <c r="N272" i="8"/>
  <c r="M272" i="8"/>
  <c r="L272" i="8"/>
  <c r="K272" i="8"/>
  <c r="J272" i="8"/>
  <c r="I272" i="8"/>
  <c r="H272" i="8"/>
  <c r="G272" i="8"/>
  <c r="F272" i="8"/>
  <c r="E272" i="8"/>
  <c r="D272" i="8"/>
  <c r="C272" i="8"/>
  <c r="B272" i="8"/>
  <c r="A272" i="8"/>
  <c r="AF271" i="8"/>
  <c r="AE271" i="8"/>
  <c r="AD271" i="8"/>
  <c r="AC271" i="8"/>
  <c r="AB271" i="8"/>
  <c r="AA271" i="8"/>
  <c r="Z271" i="8"/>
  <c r="Y271" i="8"/>
  <c r="X271" i="8"/>
  <c r="W271" i="8"/>
  <c r="V271" i="8"/>
  <c r="U271" i="8"/>
  <c r="T271" i="8"/>
  <c r="S271" i="8"/>
  <c r="R271" i="8"/>
  <c r="Q271" i="8"/>
  <c r="P271" i="8"/>
  <c r="O271" i="8"/>
  <c r="N271" i="8"/>
  <c r="M271" i="8"/>
  <c r="L271" i="8"/>
  <c r="K271" i="8"/>
  <c r="J271" i="8"/>
  <c r="I271" i="8"/>
  <c r="H271" i="8"/>
  <c r="G271" i="8"/>
  <c r="F271" i="8"/>
  <c r="E271" i="8"/>
  <c r="D271" i="8"/>
  <c r="C271" i="8"/>
  <c r="B271" i="8"/>
  <c r="A271" i="8"/>
  <c r="AE270" i="8"/>
  <c r="AD270" i="8"/>
  <c r="AC270" i="8"/>
  <c r="AB270" i="8"/>
  <c r="AA270" i="8"/>
  <c r="Z270" i="8"/>
  <c r="Y270" i="8"/>
  <c r="X270" i="8"/>
  <c r="W270" i="8"/>
  <c r="V270" i="8"/>
  <c r="U270" i="8"/>
  <c r="T270" i="8"/>
  <c r="S270" i="8"/>
  <c r="R270" i="8"/>
  <c r="Q270" i="8"/>
  <c r="P270" i="8"/>
  <c r="B270" i="8"/>
  <c r="S245" i="8"/>
  <c r="AG235" i="8"/>
  <c r="AF235" i="8"/>
  <c r="AE235" i="8"/>
  <c r="AD235" i="8"/>
  <c r="AC235" i="8"/>
  <c r="AB235" i="8"/>
  <c r="AA235" i="8"/>
  <c r="Z235" i="8"/>
  <c r="Y235" i="8"/>
  <c r="X235" i="8"/>
  <c r="W235" i="8"/>
  <c r="V235" i="8"/>
  <c r="U235" i="8"/>
  <c r="T235" i="8"/>
  <c r="S235" i="8"/>
  <c r="R235" i="8"/>
  <c r="Q235" i="8"/>
  <c r="C235" i="8"/>
  <c r="D234" i="8"/>
  <c r="E234" i="8" s="1"/>
  <c r="B234" i="8"/>
  <c r="AF270" i="8" s="1"/>
  <c r="E233" i="8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D233" i="8"/>
  <c r="B233" i="8"/>
  <c r="E232" i="8"/>
  <c r="F232" i="8" s="1"/>
  <c r="G232" i="8" s="1"/>
  <c r="H232" i="8" s="1"/>
  <c r="I232" i="8" s="1"/>
  <c r="D232" i="8"/>
  <c r="B232" i="8"/>
  <c r="F231" i="8"/>
  <c r="G231" i="8" s="1"/>
  <c r="H231" i="8" s="1"/>
  <c r="E231" i="8"/>
  <c r="D231" i="8"/>
  <c r="B231" i="8"/>
  <c r="D230" i="8"/>
  <c r="D235" i="8" s="1"/>
  <c r="B230" i="8"/>
  <c r="E229" i="8"/>
  <c r="F229" i="8" s="1"/>
  <c r="D229" i="8"/>
  <c r="B229" i="8"/>
  <c r="B110" i="8" s="1"/>
  <c r="AG227" i="8"/>
  <c r="AF227" i="8"/>
  <c r="AE227" i="8"/>
  <c r="AD227" i="8"/>
  <c r="AC227" i="8"/>
  <c r="AB227" i="8"/>
  <c r="AA227" i="8"/>
  <c r="Z227" i="8"/>
  <c r="Y227" i="8"/>
  <c r="X227" i="8"/>
  <c r="W227" i="8"/>
  <c r="V227" i="8"/>
  <c r="U227" i="8"/>
  <c r="T227" i="8"/>
  <c r="S227" i="8"/>
  <c r="R227" i="8"/>
  <c r="Q227" i="8"/>
  <c r="P227" i="8"/>
  <c r="O227" i="8"/>
  <c r="N227" i="8"/>
  <c r="M227" i="8"/>
  <c r="L227" i="8"/>
  <c r="K227" i="8"/>
  <c r="J227" i="8"/>
  <c r="I227" i="8"/>
  <c r="H227" i="8"/>
  <c r="G227" i="8"/>
  <c r="F227" i="8"/>
  <c r="E227" i="8"/>
  <c r="D227" i="8"/>
  <c r="C227" i="8"/>
  <c r="B227" i="8"/>
  <c r="AI120" i="8"/>
  <c r="AH120" i="8"/>
  <c r="AI119" i="8"/>
  <c r="AH119" i="8"/>
  <c r="AI118" i="8"/>
  <c r="AH118" i="8"/>
  <c r="AI117" i="8"/>
  <c r="AH117" i="8"/>
  <c r="AI116" i="8"/>
  <c r="AH116" i="8"/>
  <c r="AI115" i="8"/>
  <c r="AH115" i="8"/>
  <c r="AI114" i="8"/>
  <c r="AH114" i="8"/>
  <c r="AI112" i="8"/>
  <c r="AH112" i="8"/>
  <c r="AI111" i="8"/>
  <c r="AH111" i="8"/>
  <c r="AF110" i="8"/>
  <c r="AE110" i="8"/>
  <c r="AC110" i="8"/>
  <c r="AB110" i="8"/>
  <c r="Z110" i="8"/>
  <c r="Y110" i="8"/>
  <c r="X110" i="8"/>
  <c r="W110" i="8"/>
  <c r="V110" i="8"/>
  <c r="U110" i="8"/>
  <c r="T110" i="8"/>
  <c r="S110" i="8"/>
  <c r="R110" i="8"/>
  <c r="Q110" i="8"/>
  <c r="D110" i="8"/>
  <c r="C110" i="8"/>
  <c r="AI109" i="8"/>
  <c r="AH109" i="8"/>
  <c r="AI108" i="8"/>
  <c r="AH108" i="8"/>
  <c r="AI107" i="8"/>
  <c r="AH107" i="8"/>
  <c r="AI106" i="8"/>
  <c r="AH106" i="8"/>
  <c r="AI105" i="8"/>
  <c r="AH105" i="8"/>
  <c r="AI104" i="8"/>
  <c r="AH104" i="8"/>
  <c r="AI103" i="8"/>
  <c r="AH103" i="8"/>
  <c r="AI102" i="8"/>
  <c r="AH102" i="8"/>
  <c r="AI101" i="8"/>
  <c r="AH101" i="8"/>
  <c r="O100" i="8"/>
  <c r="AI99" i="8"/>
  <c r="AH99" i="8"/>
  <c r="AI98" i="8"/>
  <c r="AH98" i="8"/>
  <c r="AI97" i="8"/>
  <c r="AH97" i="8"/>
  <c r="AI96" i="8"/>
  <c r="AH96" i="8"/>
  <c r="AI95" i="8"/>
  <c r="AH95" i="8"/>
  <c r="AI94" i="8"/>
  <c r="AH94" i="8"/>
  <c r="AI93" i="8"/>
  <c r="AH93" i="8"/>
  <c r="AI90" i="8"/>
  <c r="AH90" i="8"/>
  <c r="AI88" i="8"/>
  <c r="AH88" i="8"/>
  <c r="AG88" i="8"/>
  <c r="AI87" i="8"/>
  <c r="AH87" i="8"/>
  <c r="AI86" i="8"/>
  <c r="AH86" i="8"/>
  <c r="AI85" i="8"/>
  <c r="AH85" i="8"/>
  <c r="AN84" i="8"/>
  <c r="AG84" i="8"/>
  <c r="AF84" i="8"/>
  <c r="AF100" i="8" s="1"/>
  <c r="AE84" i="8"/>
  <c r="AD5" i="8" s="1"/>
  <c r="AD84" i="8"/>
  <c r="AD100" i="8" s="1"/>
  <c r="AC84" i="8"/>
  <c r="AC100" i="8" s="1"/>
  <c r="AB84" i="8"/>
  <c r="AB100" i="8" s="1"/>
  <c r="Z84" i="8"/>
  <c r="Y5" i="8" s="1"/>
  <c r="Y84" i="8"/>
  <c r="Y100" i="8" s="1"/>
  <c r="X84" i="8"/>
  <c r="W5" i="8" s="1"/>
  <c r="W84" i="8"/>
  <c r="V5" i="8" s="1"/>
  <c r="V84" i="8"/>
  <c r="V100" i="8" s="1"/>
  <c r="U84" i="8"/>
  <c r="U100" i="8" s="1"/>
  <c r="T84" i="8"/>
  <c r="T100" i="8" s="1"/>
  <c r="S84" i="8"/>
  <c r="S100" i="8" s="1"/>
  <c r="R84" i="8"/>
  <c r="Q5" i="8" s="1"/>
  <c r="Q84" i="8"/>
  <c r="Q100" i="8" s="1"/>
  <c r="P84" i="8"/>
  <c r="P100" i="8" s="1"/>
  <c r="O84" i="8"/>
  <c r="N5" i="8" s="1"/>
  <c r="N84" i="8"/>
  <c r="N100" i="8" s="1"/>
  <c r="M84" i="8"/>
  <c r="M100" i="8" s="1"/>
  <c r="L84" i="8"/>
  <c r="L100" i="8" s="1"/>
  <c r="K84" i="8"/>
  <c r="K100" i="8" s="1"/>
  <c r="J84" i="8"/>
  <c r="I5" i="8" s="1"/>
  <c r="I84" i="8"/>
  <c r="I100" i="8" s="1"/>
  <c r="H84" i="8"/>
  <c r="G5" i="8" s="1"/>
  <c r="G84" i="8"/>
  <c r="G100" i="8" s="1"/>
  <c r="F84" i="8"/>
  <c r="F100" i="8" s="1"/>
  <c r="E84" i="8"/>
  <c r="E100" i="8" s="1"/>
  <c r="D84" i="8"/>
  <c r="D100" i="8" s="1"/>
  <c r="C84" i="8"/>
  <c r="C100" i="8" s="1"/>
  <c r="B84" i="8"/>
  <c r="AN83" i="8"/>
  <c r="AI83" i="8"/>
  <c r="AH83" i="8"/>
  <c r="AN82" i="8"/>
  <c r="AI82" i="8"/>
  <c r="AH82" i="8"/>
  <c r="AN81" i="8"/>
  <c r="AI81" i="8"/>
  <c r="AH81" i="8"/>
  <c r="AI80" i="8"/>
  <c r="AH80" i="8"/>
  <c r="AI79" i="8"/>
  <c r="AH79" i="8"/>
  <c r="AI78" i="8"/>
  <c r="AH78" i="8"/>
  <c r="AI77" i="8"/>
  <c r="AH77" i="8"/>
  <c r="AI76" i="8"/>
  <c r="AH76" i="8"/>
  <c r="AI75" i="8"/>
  <c r="AH75" i="8"/>
  <c r="AI74" i="8"/>
  <c r="AH74" i="8"/>
  <c r="AI73" i="8"/>
  <c r="AH73" i="8"/>
  <c r="AG72" i="8"/>
  <c r="AF72" i="8"/>
  <c r="AE72" i="8"/>
  <c r="AD72" i="8"/>
  <c r="AC72" i="8"/>
  <c r="AB72" i="8"/>
  <c r="Z72" i="8"/>
  <c r="Y72" i="8"/>
  <c r="W72" i="8"/>
  <c r="V72" i="8"/>
  <c r="U72" i="8"/>
  <c r="T72" i="8"/>
  <c r="S72" i="8"/>
  <c r="R72" i="8"/>
  <c r="Q72" i="8"/>
  <c r="P72" i="8"/>
  <c r="O72" i="8"/>
  <c r="N72" i="8"/>
  <c r="M72" i="8"/>
  <c r="L72" i="8"/>
  <c r="B72" i="8"/>
  <c r="AI71" i="8"/>
  <c r="AH71" i="8"/>
  <c r="AI70" i="8"/>
  <c r="AH70" i="8"/>
  <c r="AI69" i="8"/>
  <c r="AH69" i="8"/>
  <c r="AF68" i="8"/>
  <c r="AE68" i="8"/>
  <c r="AD68" i="8"/>
  <c r="AC68" i="8"/>
  <c r="AB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AI67" i="8"/>
  <c r="AH67" i="8"/>
  <c r="AG67" i="8"/>
  <c r="AG68" i="8" s="1"/>
  <c r="AG3" i="8" s="1"/>
  <c r="AI66" i="8"/>
  <c r="AH66" i="8"/>
  <c r="AI65" i="8"/>
  <c r="AH65" i="8"/>
  <c r="AI64" i="8"/>
  <c r="AH64" i="8"/>
  <c r="AI63" i="8"/>
  <c r="AH63" i="8"/>
  <c r="AI62" i="8"/>
  <c r="AH62" i="8"/>
  <c r="AI61" i="8"/>
  <c r="AH61" i="8"/>
  <c r="AI60" i="8"/>
  <c r="AH60" i="8"/>
  <c r="AI59" i="8"/>
  <c r="AH59" i="8"/>
  <c r="AI58" i="8"/>
  <c r="AH58" i="8"/>
  <c r="AI57" i="8"/>
  <c r="AH57" i="8"/>
  <c r="AI56" i="8"/>
  <c r="AH56" i="8"/>
  <c r="AI55" i="8"/>
  <c r="AH55" i="8"/>
  <c r="AG54" i="8"/>
  <c r="AF54" i="8"/>
  <c r="AE54" i="8"/>
  <c r="AD54" i="8"/>
  <c r="AC54" i="8"/>
  <c r="AB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L54" i="8"/>
  <c r="K54" i="8"/>
  <c r="J54" i="8"/>
  <c r="I54" i="8"/>
  <c r="H54" i="8"/>
  <c r="G54" i="8"/>
  <c r="F54" i="8"/>
  <c r="E54" i="8"/>
  <c r="D54" i="8"/>
  <c r="C54" i="8"/>
  <c r="B54" i="8"/>
  <c r="AI53" i="8"/>
  <c r="AH53" i="8"/>
  <c r="AI52" i="8"/>
  <c r="AH52" i="8"/>
  <c r="AI51" i="8"/>
  <c r="AH51" i="8"/>
  <c r="AG50" i="8"/>
  <c r="AG89" i="8" s="1"/>
  <c r="AF50" i="8"/>
  <c r="AE50" i="8"/>
  <c r="AD50" i="8"/>
  <c r="AC50" i="8"/>
  <c r="AB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L50" i="8"/>
  <c r="K50" i="8"/>
  <c r="J50" i="8"/>
  <c r="I50" i="8"/>
  <c r="H50" i="8"/>
  <c r="G50" i="8"/>
  <c r="F50" i="8"/>
  <c r="E50" i="8"/>
  <c r="D50" i="8"/>
  <c r="C50" i="8"/>
  <c r="B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Z5" i="8"/>
  <c r="U5" i="8"/>
  <c r="AG4" i="8"/>
  <c r="K4" i="8"/>
  <c r="E4" i="8"/>
  <c r="H4" i="8" s="1"/>
  <c r="B4" i="8"/>
  <c r="S246" i="8" s="1"/>
  <c r="AG2" i="8"/>
  <c r="AG6" i="8" s="1"/>
  <c r="AA110" i="7"/>
  <c r="AA100" i="7"/>
  <c r="AA92" i="7"/>
  <c r="AA91" i="7"/>
  <c r="AA89" i="7"/>
  <c r="AA84" i="7"/>
  <c r="AA72" i="7"/>
  <c r="AA68" i="7"/>
  <c r="AA54" i="7"/>
  <c r="AA50" i="7"/>
  <c r="T110" i="7"/>
  <c r="U110" i="7"/>
  <c r="V110" i="7"/>
  <c r="T84" i="7"/>
  <c r="U84" i="7"/>
  <c r="V84" i="7"/>
  <c r="W84" i="7"/>
  <c r="T68" i="7"/>
  <c r="U68" i="7"/>
  <c r="V68" i="7"/>
  <c r="T54" i="7"/>
  <c r="T50" i="7"/>
  <c r="N113" i="7"/>
  <c r="AF89" i="8" l="1"/>
  <c r="AF91" i="8" s="1"/>
  <c r="AE100" i="8"/>
  <c r="AE89" i="8"/>
  <c r="AE91" i="8" s="1"/>
  <c r="AE92" i="8" s="1"/>
  <c r="AC5" i="8"/>
  <c r="AD89" i="8"/>
  <c r="AD91" i="8" s="1"/>
  <c r="AV249" i="8" s="1"/>
  <c r="AB5" i="8"/>
  <c r="AC89" i="8"/>
  <c r="AC91" i="8" s="1"/>
  <c r="AC92" i="8" s="1"/>
  <c r="AA5" i="8"/>
  <c r="AB89" i="8"/>
  <c r="AB91" i="8" s="1"/>
  <c r="AT249" i="8" s="1"/>
  <c r="Z100" i="8"/>
  <c r="Z89" i="8"/>
  <c r="Z91" i="8" s="1"/>
  <c r="Z7" i="8" s="1"/>
  <c r="Y89" i="8"/>
  <c r="Y91" i="8" s="1"/>
  <c r="AQ249" i="8" s="1"/>
  <c r="X89" i="8"/>
  <c r="X91" i="8" s="1"/>
  <c r="X7" i="8" s="1"/>
  <c r="W100" i="8"/>
  <c r="W89" i="8"/>
  <c r="W91" i="8" s="1"/>
  <c r="W7" i="8" s="1"/>
  <c r="V89" i="8"/>
  <c r="V91" i="8" s="1"/>
  <c r="V7" i="8" s="1"/>
  <c r="T5" i="8"/>
  <c r="U89" i="8"/>
  <c r="U91" i="8" s="1"/>
  <c r="U92" i="8" s="1"/>
  <c r="S5" i="8"/>
  <c r="T89" i="8"/>
  <c r="T91" i="8" s="1"/>
  <c r="R5" i="8"/>
  <c r="S89" i="8"/>
  <c r="S91" i="8" s="1"/>
  <c r="S7" i="8" s="1"/>
  <c r="R100" i="8"/>
  <c r="R89" i="8"/>
  <c r="R91" i="8" s="1"/>
  <c r="R7" i="8" s="1"/>
  <c r="Q89" i="8"/>
  <c r="Q91" i="8" s="1"/>
  <c r="AI249" i="8" s="1"/>
  <c r="P89" i="8"/>
  <c r="P91" i="8" s="1"/>
  <c r="O89" i="8"/>
  <c r="O91" i="8" s="1"/>
  <c r="M5" i="8"/>
  <c r="N89" i="8"/>
  <c r="N91" i="8" s="1"/>
  <c r="L5" i="8"/>
  <c r="AH72" i="8"/>
  <c r="M89" i="8"/>
  <c r="M91" i="8" s="1"/>
  <c r="M7" i="8" s="1"/>
  <c r="K5" i="8"/>
  <c r="L89" i="8"/>
  <c r="L91" i="8" s="1"/>
  <c r="L7" i="8" s="1"/>
  <c r="J5" i="8"/>
  <c r="AI113" i="8"/>
  <c r="J100" i="8"/>
  <c r="K89" i="8"/>
  <c r="K91" i="8" s="1"/>
  <c r="K92" i="8" s="1"/>
  <c r="J89" i="8"/>
  <c r="J91" i="8" s="1"/>
  <c r="J7" i="8" s="1"/>
  <c r="I89" i="8"/>
  <c r="I91" i="8" s="1"/>
  <c r="AA249" i="8" s="1"/>
  <c r="AH113" i="8"/>
  <c r="H89" i="8"/>
  <c r="H91" i="8" s="1"/>
  <c r="H7" i="8" s="1"/>
  <c r="F5" i="8"/>
  <c r="G89" i="8"/>
  <c r="G91" i="8" s="1"/>
  <c r="E5" i="8"/>
  <c r="F89" i="8"/>
  <c r="F91" i="8" s="1"/>
  <c r="F92" i="8" s="1"/>
  <c r="AH68" i="8"/>
  <c r="AI54" i="8"/>
  <c r="E89" i="8"/>
  <c r="E91" i="8" s="1"/>
  <c r="E7" i="8" s="1"/>
  <c r="D5" i="8"/>
  <c r="C5" i="8"/>
  <c r="D89" i="8"/>
  <c r="D91" i="8" s="1"/>
  <c r="D92" i="8" s="1"/>
  <c r="B5" i="8"/>
  <c r="AH84" i="8"/>
  <c r="AI68" i="8"/>
  <c r="C89" i="8"/>
  <c r="C91" i="8" s="1"/>
  <c r="C92" i="8" s="1"/>
  <c r="AF5" i="8"/>
  <c r="B100" i="8"/>
  <c r="B89" i="8"/>
  <c r="D246" i="8"/>
  <c r="AR249" i="8"/>
  <c r="K7" i="8"/>
  <c r="AA7" i="8"/>
  <c r="AS249" i="8"/>
  <c r="Q7" i="8"/>
  <c r="E110" i="8"/>
  <c r="D270" i="8"/>
  <c r="F234" i="8"/>
  <c r="F110" i="8" s="1"/>
  <c r="E92" i="8"/>
  <c r="G229" i="8"/>
  <c r="J232" i="8"/>
  <c r="K232" i="8" s="1"/>
  <c r="L232" i="8" s="1"/>
  <c r="M232" i="8" s="1"/>
  <c r="N232" i="8" s="1"/>
  <c r="O232" i="8" s="1"/>
  <c r="P232" i="8" s="1"/>
  <c r="AF249" i="8"/>
  <c r="N7" i="8"/>
  <c r="N92" i="8"/>
  <c r="AG249" i="8"/>
  <c r="O92" i="8"/>
  <c r="O7" i="8"/>
  <c r="AW249" i="8"/>
  <c r="AE7" i="8"/>
  <c r="T92" i="8"/>
  <c r="AL249" i="8"/>
  <c r="T7" i="8"/>
  <c r="P7" i="8"/>
  <c r="P92" i="8"/>
  <c r="AH249" i="8"/>
  <c r="AF7" i="8"/>
  <c r="AF92" i="8"/>
  <c r="AX249" i="8"/>
  <c r="AG91" i="8"/>
  <c r="O5" i="8"/>
  <c r="AE5" i="8"/>
  <c r="X100" i="8"/>
  <c r="H5" i="8"/>
  <c r="P5" i="8"/>
  <c r="X5" i="8"/>
  <c r="C270" i="8"/>
  <c r="AH50" i="8"/>
  <c r="AH54" i="8"/>
  <c r="AI84" i="8"/>
  <c r="AI50" i="8"/>
  <c r="B235" i="8"/>
  <c r="H100" i="8"/>
  <c r="AI72" i="8"/>
  <c r="E230" i="8"/>
  <c r="T89" i="7"/>
  <c r="D113" i="7"/>
  <c r="C113" i="7"/>
  <c r="C50" i="7"/>
  <c r="C54" i="7"/>
  <c r="C68" i="7"/>
  <c r="C72" i="7"/>
  <c r="B113" i="7"/>
  <c r="B110" i="7"/>
  <c r="B84" i="7"/>
  <c r="B100" i="7" s="1"/>
  <c r="B72" i="7"/>
  <c r="B68" i="7"/>
  <c r="B54" i="7"/>
  <c r="B50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A274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A273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A272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A271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B270" i="7"/>
  <c r="S245" i="7"/>
  <c r="AG235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C235" i="7"/>
  <c r="D234" i="7"/>
  <c r="C270" i="7" s="1"/>
  <c r="B234" i="7"/>
  <c r="AF270" i="7" s="1"/>
  <c r="D233" i="7"/>
  <c r="E233" i="7" s="1"/>
  <c r="F233" i="7" s="1"/>
  <c r="G233" i="7" s="1"/>
  <c r="H233" i="7" s="1"/>
  <c r="I233" i="7" s="1"/>
  <c r="J233" i="7" s="1"/>
  <c r="K233" i="7" s="1"/>
  <c r="L233" i="7" s="1"/>
  <c r="M233" i="7" s="1"/>
  <c r="N233" i="7" s="1"/>
  <c r="O233" i="7" s="1"/>
  <c r="P233" i="7" s="1"/>
  <c r="B233" i="7"/>
  <c r="D232" i="7"/>
  <c r="E232" i="7" s="1"/>
  <c r="F232" i="7" s="1"/>
  <c r="G232" i="7" s="1"/>
  <c r="H232" i="7" s="1"/>
  <c r="I232" i="7" s="1"/>
  <c r="B232" i="7"/>
  <c r="F231" i="7"/>
  <c r="G231" i="7" s="1"/>
  <c r="H231" i="7" s="1"/>
  <c r="E231" i="7"/>
  <c r="D231" i="7"/>
  <c r="B231" i="7"/>
  <c r="D230" i="7"/>
  <c r="D235" i="7" s="1"/>
  <c r="B230" i="7"/>
  <c r="F229" i="7"/>
  <c r="G229" i="7" s="1"/>
  <c r="E229" i="7"/>
  <c r="D229" i="7"/>
  <c r="B229" i="7"/>
  <c r="B235" i="7" s="1"/>
  <c r="AG227" i="7"/>
  <c r="AF227" i="7"/>
  <c r="AE227" i="7"/>
  <c r="AD227" i="7"/>
  <c r="AC227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B227" i="7"/>
  <c r="AI120" i="7"/>
  <c r="AH120" i="7"/>
  <c r="AI119" i="7"/>
  <c r="AH119" i="7"/>
  <c r="AI118" i="7"/>
  <c r="AH118" i="7"/>
  <c r="AI117" i="7"/>
  <c r="AH117" i="7"/>
  <c r="AI116" i="7"/>
  <c r="AH116" i="7"/>
  <c r="AI115" i="7"/>
  <c r="AH115" i="7"/>
  <c r="AI114" i="7"/>
  <c r="AH114" i="7"/>
  <c r="AH113" i="7"/>
  <c r="AI112" i="7"/>
  <c r="AH112" i="7"/>
  <c r="AI111" i="7"/>
  <c r="AH111" i="7"/>
  <c r="AF110" i="7"/>
  <c r="AE110" i="7"/>
  <c r="AC110" i="7"/>
  <c r="AB110" i="7"/>
  <c r="Z110" i="7"/>
  <c r="Y110" i="7"/>
  <c r="X110" i="7"/>
  <c r="W110" i="7"/>
  <c r="S110" i="7"/>
  <c r="R110" i="7"/>
  <c r="Q110" i="7"/>
  <c r="D110" i="7"/>
  <c r="C110" i="7"/>
  <c r="AI109" i="7"/>
  <c r="AH109" i="7"/>
  <c r="AI108" i="7"/>
  <c r="AH108" i="7"/>
  <c r="AI107" i="7"/>
  <c r="AH107" i="7"/>
  <c r="AI106" i="7"/>
  <c r="AH106" i="7"/>
  <c r="AI105" i="7"/>
  <c r="AH105" i="7"/>
  <c r="AI104" i="7"/>
  <c r="AH104" i="7"/>
  <c r="AI103" i="7"/>
  <c r="AH103" i="7"/>
  <c r="AI102" i="7"/>
  <c r="AH102" i="7"/>
  <c r="AI101" i="7"/>
  <c r="AH101" i="7"/>
  <c r="W100" i="7"/>
  <c r="AI99" i="7"/>
  <c r="AH99" i="7"/>
  <c r="AI98" i="7"/>
  <c r="AH98" i="7"/>
  <c r="AI97" i="7"/>
  <c r="AH97" i="7"/>
  <c r="AI96" i="7"/>
  <c r="AH96" i="7"/>
  <c r="AI95" i="7"/>
  <c r="AH95" i="7"/>
  <c r="AI94" i="7"/>
  <c r="AH94" i="7"/>
  <c r="AI93" i="7"/>
  <c r="AH93" i="7"/>
  <c r="AI90" i="7"/>
  <c r="AH90" i="7"/>
  <c r="AI88" i="7"/>
  <c r="AH88" i="7"/>
  <c r="AG88" i="7"/>
  <c r="AI87" i="7"/>
  <c r="AH87" i="7"/>
  <c r="AI86" i="7"/>
  <c r="AH86" i="7"/>
  <c r="AI85" i="7"/>
  <c r="AH85" i="7"/>
  <c r="AN84" i="7"/>
  <c r="AG84" i="7"/>
  <c r="AF84" i="7"/>
  <c r="AE84" i="7"/>
  <c r="AD5" i="7" s="1"/>
  <c r="AD84" i="7"/>
  <c r="AD100" i="7" s="1"/>
  <c r="AC84" i="7"/>
  <c r="AC100" i="7" s="1"/>
  <c r="AB84" i="7"/>
  <c r="AB100" i="7" s="1"/>
  <c r="Z84" i="7"/>
  <c r="Z100" i="7" s="1"/>
  <c r="Y84" i="7"/>
  <c r="Y100" i="7" s="1"/>
  <c r="X84" i="7"/>
  <c r="V100" i="7"/>
  <c r="U100" i="7"/>
  <c r="T100" i="7"/>
  <c r="S84" i="7"/>
  <c r="S100" i="7" s="1"/>
  <c r="R84" i="7"/>
  <c r="R100" i="7" s="1"/>
  <c r="Q84" i="7"/>
  <c r="Q100" i="7" s="1"/>
  <c r="P84" i="7"/>
  <c r="O84" i="7"/>
  <c r="N5" i="7" s="1"/>
  <c r="N84" i="7"/>
  <c r="N100" i="7" s="1"/>
  <c r="M84" i="7"/>
  <c r="M100" i="7" s="1"/>
  <c r="L84" i="7"/>
  <c r="L100" i="7" s="1"/>
  <c r="K84" i="7"/>
  <c r="K100" i="7" s="1"/>
  <c r="J84" i="7"/>
  <c r="J100" i="7" s="1"/>
  <c r="I84" i="7"/>
  <c r="I100" i="7" s="1"/>
  <c r="H84" i="7"/>
  <c r="G84" i="7"/>
  <c r="F5" i="7" s="1"/>
  <c r="F84" i="7"/>
  <c r="F100" i="7" s="1"/>
  <c r="E84" i="7"/>
  <c r="E100" i="7" s="1"/>
  <c r="D84" i="7"/>
  <c r="D100" i="7" s="1"/>
  <c r="C84" i="7"/>
  <c r="C100" i="7" s="1"/>
  <c r="AI83" i="7"/>
  <c r="AH83" i="7"/>
  <c r="AN82" i="7"/>
  <c r="AI82" i="7"/>
  <c r="AH82" i="7"/>
  <c r="AN81" i="7"/>
  <c r="AN83" i="7" s="1"/>
  <c r="AI81" i="7"/>
  <c r="AH81" i="7"/>
  <c r="AI80" i="7"/>
  <c r="AH80" i="7"/>
  <c r="AI79" i="7"/>
  <c r="AH79" i="7"/>
  <c r="AI78" i="7"/>
  <c r="AH78" i="7"/>
  <c r="AI77" i="7"/>
  <c r="AH77" i="7"/>
  <c r="AI76" i="7"/>
  <c r="AH76" i="7"/>
  <c r="AI75" i="7"/>
  <c r="AH75" i="7"/>
  <c r="AI74" i="7"/>
  <c r="AH74" i="7"/>
  <c r="AI73" i="7"/>
  <c r="AH73" i="7"/>
  <c r="AG72" i="7"/>
  <c r="AF72" i="7"/>
  <c r="AE72" i="7"/>
  <c r="AD72" i="7"/>
  <c r="AC72" i="7"/>
  <c r="AB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AI71" i="7"/>
  <c r="AH71" i="7"/>
  <c r="AI70" i="7"/>
  <c r="AH70" i="7"/>
  <c r="AI69" i="7"/>
  <c r="AH69" i="7"/>
  <c r="AF68" i="7"/>
  <c r="AE68" i="7"/>
  <c r="AD68" i="7"/>
  <c r="AC68" i="7"/>
  <c r="AB68" i="7"/>
  <c r="Z68" i="7"/>
  <c r="Y68" i="7"/>
  <c r="X68" i="7"/>
  <c r="W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AI67" i="7"/>
  <c r="AH67" i="7"/>
  <c r="AG67" i="7"/>
  <c r="AG68" i="7" s="1"/>
  <c r="AG3" i="7" s="1"/>
  <c r="AG6" i="7" s="1"/>
  <c r="AI66" i="7"/>
  <c r="AH66" i="7"/>
  <c r="AI65" i="7"/>
  <c r="AH65" i="7"/>
  <c r="AI64" i="7"/>
  <c r="AH64" i="7"/>
  <c r="AI63" i="7"/>
  <c r="AH63" i="7"/>
  <c r="AI62" i="7"/>
  <c r="AH62" i="7"/>
  <c r="AI61" i="7"/>
  <c r="AH61" i="7"/>
  <c r="AI60" i="7"/>
  <c r="AH60" i="7"/>
  <c r="AI59" i="7"/>
  <c r="AH59" i="7"/>
  <c r="AI58" i="7"/>
  <c r="AH58" i="7"/>
  <c r="AI57" i="7"/>
  <c r="AH57" i="7"/>
  <c r="AI56" i="7"/>
  <c r="AH56" i="7"/>
  <c r="AI55" i="7"/>
  <c r="AH55" i="7"/>
  <c r="AG54" i="7"/>
  <c r="AF54" i="7"/>
  <c r="AE54" i="7"/>
  <c r="AD54" i="7"/>
  <c r="AC54" i="7"/>
  <c r="AB54" i="7"/>
  <c r="Z54" i="7"/>
  <c r="Y54" i="7"/>
  <c r="X54" i="7"/>
  <c r="W54" i="7"/>
  <c r="V54" i="7"/>
  <c r="U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AI53" i="7"/>
  <c r="AH53" i="7"/>
  <c r="AI52" i="7"/>
  <c r="AH52" i="7"/>
  <c r="AI51" i="7"/>
  <c r="AH51" i="7"/>
  <c r="AG50" i="7"/>
  <c r="AG89" i="7" s="1"/>
  <c r="AF50" i="7"/>
  <c r="AE50" i="7"/>
  <c r="AD50" i="7"/>
  <c r="AC50" i="7"/>
  <c r="AB50" i="7"/>
  <c r="Z50" i="7"/>
  <c r="Y50" i="7"/>
  <c r="X50" i="7"/>
  <c r="W50" i="7"/>
  <c r="V50" i="7"/>
  <c r="U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I38" i="7"/>
  <c r="AH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Z5" i="7"/>
  <c r="V5" i="7"/>
  <c r="U5" i="7"/>
  <c r="T5" i="7"/>
  <c r="Q5" i="7"/>
  <c r="H5" i="7"/>
  <c r="AG4" i="7"/>
  <c r="K4" i="7"/>
  <c r="E4" i="7"/>
  <c r="H4" i="7" s="1"/>
  <c r="B4" i="7"/>
  <c r="S246" i="7" s="1"/>
  <c r="AG2" i="7"/>
  <c r="AF113" i="6"/>
  <c r="AF50" i="6"/>
  <c r="AE113" i="6"/>
  <c r="AE50" i="6"/>
  <c r="AE54" i="6"/>
  <c r="AE68" i="6"/>
  <c r="AE72" i="6"/>
  <c r="B4" i="5"/>
  <c r="B4" i="4"/>
  <c r="B4" i="3"/>
  <c r="B4" i="2"/>
  <c r="B5" i="6"/>
  <c r="B4" i="6"/>
  <c r="W112" i="6"/>
  <c r="AD92" i="8" l="1"/>
  <c r="AD7" i="8"/>
  <c r="AU249" i="8"/>
  <c r="AC7" i="8"/>
  <c r="AB7" i="8"/>
  <c r="AB92" i="8"/>
  <c r="Z92" i="8"/>
  <c r="Y92" i="8"/>
  <c r="Y7" i="8"/>
  <c r="AP249" i="8"/>
  <c r="X92" i="8"/>
  <c r="AO249" i="8"/>
  <c r="W92" i="8"/>
  <c r="AN249" i="8"/>
  <c r="V92" i="8"/>
  <c r="U7" i="8"/>
  <c r="AM249" i="8"/>
  <c r="Q92" i="8"/>
  <c r="AK249" i="8"/>
  <c r="S92" i="8"/>
  <c r="AJ249" i="8"/>
  <c r="R92" i="8"/>
  <c r="M92" i="8"/>
  <c r="AE249" i="8"/>
  <c r="L92" i="8"/>
  <c r="AD249" i="8"/>
  <c r="AC249" i="8"/>
  <c r="AB249" i="8"/>
  <c r="J92" i="8"/>
  <c r="I92" i="8"/>
  <c r="I7" i="8"/>
  <c r="H92" i="8"/>
  <c r="Z249" i="8"/>
  <c r="B244" i="8"/>
  <c r="C244" i="8"/>
  <c r="Y249" i="8"/>
  <c r="G92" i="8"/>
  <c r="G7" i="8"/>
  <c r="F7" i="8"/>
  <c r="X249" i="8"/>
  <c r="W249" i="8"/>
  <c r="AH100" i="8"/>
  <c r="D7" i="8"/>
  <c r="V249" i="8"/>
  <c r="AH89" i="8"/>
  <c r="C7" i="8"/>
  <c r="U249" i="8"/>
  <c r="B91" i="8"/>
  <c r="AH91" i="8" s="1"/>
  <c r="AI89" i="8"/>
  <c r="H229" i="8"/>
  <c r="G110" i="8"/>
  <c r="E270" i="8"/>
  <c r="G234" i="8"/>
  <c r="AI100" i="8"/>
  <c r="F230" i="8"/>
  <c r="E235" i="8"/>
  <c r="AE100" i="7"/>
  <c r="AC5" i="7"/>
  <c r="AB5" i="7"/>
  <c r="AB89" i="7"/>
  <c r="AB91" i="7" s="1"/>
  <c r="Y5" i="7"/>
  <c r="X5" i="7"/>
  <c r="R5" i="7"/>
  <c r="X89" i="7"/>
  <c r="X91" i="7" s="1"/>
  <c r="X7" i="7" s="1"/>
  <c r="W89" i="7"/>
  <c r="W91" i="7" s="1"/>
  <c r="V89" i="7"/>
  <c r="V91" i="7" s="1"/>
  <c r="U89" i="7"/>
  <c r="U91" i="7" s="1"/>
  <c r="U92" i="7" s="1"/>
  <c r="Z89" i="7"/>
  <c r="Z91" i="7" s="1"/>
  <c r="R89" i="7"/>
  <c r="R91" i="7" s="1"/>
  <c r="S89" i="7"/>
  <c r="S91" i="7" s="1"/>
  <c r="Y89" i="7"/>
  <c r="Y91" i="7" s="1"/>
  <c r="T91" i="7"/>
  <c r="T7" i="7" s="1"/>
  <c r="AC89" i="7"/>
  <c r="AC91" i="7" s="1"/>
  <c r="AC7" i="7" s="1"/>
  <c r="E89" i="7"/>
  <c r="E91" i="7" s="1"/>
  <c r="AD89" i="7"/>
  <c r="AD91" i="7" s="1"/>
  <c r="AF89" i="7"/>
  <c r="AF91" i="7" s="1"/>
  <c r="AF92" i="7" s="1"/>
  <c r="AE89" i="7"/>
  <c r="AE91" i="7" s="1"/>
  <c r="AW249" i="7" s="1"/>
  <c r="AG91" i="7"/>
  <c r="P5" i="7"/>
  <c r="Q89" i="7"/>
  <c r="Q91" i="7" s="1"/>
  <c r="Q92" i="7" s="1"/>
  <c r="P89" i="7"/>
  <c r="P91" i="7" s="1"/>
  <c r="P92" i="7" s="1"/>
  <c r="O89" i="7"/>
  <c r="O91" i="7" s="1"/>
  <c r="AG249" i="7" s="1"/>
  <c r="M5" i="7"/>
  <c r="O100" i="7"/>
  <c r="N89" i="7"/>
  <c r="N91" i="7" s="1"/>
  <c r="N7" i="7" s="1"/>
  <c r="L5" i="7"/>
  <c r="M89" i="7"/>
  <c r="M91" i="7" s="1"/>
  <c r="AE249" i="7" s="1"/>
  <c r="L89" i="7"/>
  <c r="L91" i="7" s="1"/>
  <c r="L92" i="7" s="1"/>
  <c r="J5" i="7"/>
  <c r="K89" i="7"/>
  <c r="K91" i="7" s="1"/>
  <c r="K92" i="7" s="1"/>
  <c r="I5" i="7"/>
  <c r="J89" i="7"/>
  <c r="J91" i="7" s="1"/>
  <c r="J7" i="7" s="1"/>
  <c r="I89" i="7"/>
  <c r="I91" i="7" s="1"/>
  <c r="I7" i="7" s="1"/>
  <c r="H89" i="7"/>
  <c r="H91" i="7" s="1"/>
  <c r="Z249" i="7" s="1"/>
  <c r="G100" i="7"/>
  <c r="G89" i="7"/>
  <c r="G91" i="7" s="1"/>
  <c r="E5" i="7"/>
  <c r="F89" i="7"/>
  <c r="F91" i="7" s="1"/>
  <c r="X249" i="7" s="1"/>
  <c r="D5" i="7"/>
  <c r="AH68" i="7"/>
  <c r="D89" i="7"/>
  <c r="D91" i="7" s="1"/>
  <c r="D92" i="7" s="1"/>
  <c r="AI54" i="7"/>
  <c r="C89" i="7"/>
  <c r="C91" i="7" s="1"/>
  <c r="C92" i="7" s="1"/>
  <c r="B5" i="7"/>
  <c r="AH72" i="7"/>
  <c r="AH54" i="7"/>
  <c r="AF5" i="7"/>
  <c r="AI113" i="7"/>
  <c r="B89" i="7"/>
  <c r="B91" i="7" s="1"/>
  <c r="B92" i="7" s="1"/>
  <c r="AI72" i="7"/>
  <c r="D246" i="7"/>
  <c r="AA7" i="7"/>
  <c r="AS249" i="7"/>
  <c r="N92" i="7"/>
  <c r="AV249" i="7"/>
  <c r="AD7" i="7"/>
  <c r="AD92" i="7"/>
  <c r="H92" i="7"/>
  <c r="P7" i="7"/>
  <c r="H229" i="7"/>
  <c r="J232" i="7"/>
  <c r="K232" i="7" s="1"/>
  <c r="L232" i="7" s="1"/>
  <c r="M232" i="7" s="1"/>
  <c r="N232" i="7" s="1"/>
  <c r="O232" i="7" s="1"/>
  <c r="P232" i="7" s="1"/>
  <c r="T92" i="7"/>
  <c r="AL249" i="7"/>
  <c r="E92" i="7"/>
  <c r="W249" i="7"/>
  <c r="E7" i="7"/>
  <c r="G5" i="7"/>
  <c r="O5" i="7"/>
  <c r="W5" i="7"/>
  <c r="AE5" i="7"/>
  <c r="AI68" i="7"/>
  <c r="H100" i="7"/>
  <c r="P100" i="7"/>
  <c r="X100" i="7"/>
  <c r="AF100" i="7"/>
  <c r="E230" i="7"/>
  <c r="E234" i="7"/>
  <c r="AH84" i="7"/>
  <c r="AH50" i="7"/>
  <c r="AI84" i="7"/>
  <c r="AI50" i="7"/>
  <c r="C5" i="7"/>
  <c r="K5" i="7"/>
  <c r="S5" i="7"/>
  <c r="AA5" i="7"/>
  <c r="K6" i="8" l="1"/>
  <c r="T249" i="8"/>
  <c r="AI91" i="8"/>
  <c r="B7" i="8"/>
  <c r="A7" i="8" s="1"/>
  <c r="B92" i="8"/>
  <c r="AI92" i="8" s="1"/>
  <c r="F270" i="8"/>
  <c r="H234" i="8"/>
  <c r="G230" i="8"/>
  <c r="F235" i="8"/>
  <c r="I229" i="8"/>
  <c r="H110" i="8"/>
  <c r="AF7" i="7"/>
  <c r="AE92" i="7"/>
  <c r="AE7" i="7"/>
  <c r="AU249" i="7"/>
  <c r="AC92" i="7"/>
  <c r="AB92" i="7"/>
  <c r="AB7" i="7"/>
  <c r="AT249" i="7"/>
  <c r="Y92" i="7"/>
  <c r="Y7" i="7"/>
  <c r="AQ249" i="7"/>
  <c r="W92" i="7"/>
  <c r="W7" i="7"/>
  <c r="AP249" i="7"/>
  <c r="X92" i="7"/>
  <c r="AO249" i="7"/>
  <c r="AN249" i="7"/>
  <c r="V7" i="7"/>
  <c r="U7" i="7"/>
  <c r="S7" i="7"/>
  <c r="S92" i="7"/>
  <c r="AK249" i="7"/>
  <c r="R7" i="7"/>
  <c r="R92" i="7"/>
  <c r="AJ249" i="7"/>
  <c r="Z7" i="7"/>
  <c r="Z92" i="7"/>
  <c r="AR249" i="7"/>
  <c r="AM249" i="7"/>
  <c r="Q7" i="7"/>
  <c r="V92" i="7"/>
  <c r="AX249" i="7"/>
  <c r="H7" i="7"/>
  <c r="AI249" i="7"/>
  <c r="AH249" i="7"/>
  <c r="AH100" i="7"/>
  <c r="O7" i="7"/>
  <c r="O92" i="7"/>
  <c r="AF249" i="7"/>
  <c r="M7" i="7"/>
  <c r="M92" i="7"/>
  <c r="AD249" i="7"/>
  <c r="L7" i="7"/>
  <c r="K7" i="7"/>
  <c r="J92" i="7"/>
  <c r="AC249" i="7"/>
  <c r="AB249" i="7"/>
  <c r="AA249" i="7"/>
  <c r="I92" i="7"/>
  <c r="C244" i="7"/>
  <c r="AI100" i="7"/>
  <c r="G92" i="7"/>
  <c r="G7" i="7"/>
  <c r="B244" i="7"/>
  <c r="Y249" i="7"/>
  <c r="F7" i="7"/>
  <c r="F92" i="7"/>
  <c r="D7" i="7"/>
  <c r="V249" i="7"/>
  <c r="C7" i="7"/>
  <c r="U249" i="7"/>
  <c r="AH89" i="7"/>
  <c r="AI89" i="7"/>
  <c r="I229" i="7"/>
  <c r="D270" i="7"/>
  <c r="F234" i="7"/>
  <c r="E110" i="7"/>
  <c r="B7" i="7"/>
  <c r="AI91" i="7"/>
  <c r="T249" i="7"/>
  <c r="AH91" i="7"/>
  <c r="E235" i="7"/>
  <c r="F230" i="7"/>
  <c r="AH92" i="8" l="1"/>
  <c r="J229" i="8"/>
  <c r="I110" i="8"/>
  <c r="H230" i="8"/>
  <c r="G235" i="8"/>
  <c r="G270" i="8"/>
  <c r="I234" i="8"/>
  <c r="K6" i="7"/>
  <c r="A7" i="7"/>
  <c r="G230" i="7"/>
  <c r="F235" i="7"/>
  <c r="E270" i="7"/>
  <c r="G234" i="7"/>
  <c r="F110" i="7"/>
  <c r="AI92" i="7"/>
  <c r="AH92" i="7"/>
  <c r="J229" i="7"/>
  <c r="H270" i="8" l="1"/>
  <c r="J234" i="8"/>
  <c r="J110" i="8" s="1"/>
  <c r="I230" i="8"/>
  <c r="H235" i="8"/>
  <c r="K229" i="8"/>
  <c r="F270" i="7"/>
  <c r="H234" i="7"/>
  <c r="G110" i="7"/>
  <c r="K229" i="7"/>
  <c r="H230" i="7"/>
  <c r="G235" i="7"/>
  <c r="J230" i="8" l="1"/>
  <c r="K234" i="8"/>
  <c r="I270" i="8"/>
  <c r="K110" i="8"/>
  <c r="L229" i="8"/>
  <c r="I230" i="7"/>
  <c r="H235" i="7"/>
  <c r="L229" i="7"/>
  <c r="G270" i="7"/>
  <c r="I234" i="7"/>
  <c r="H110" i="7"/>
  <c r="M229" i="8" l="1"/>
  <c r="L234" i="8"/>
  <c r="J270" i="8"/>
  <c r="K230" i="8"/>
  <c r="M229" i="7"/>
  <c r="J230" i="7"/>
  <c r="H270" i="7"/>
  <c r="J234" i="7"/>
  <c r="I110" i="7"/>
  <c r="K270" i="8" l="1"/>
  <c r="M234" i="8"/>
  <c r="L230" i="8"/>
  <c r="L110" i="8"/>
  <c r="N229" i="8"/>
  <c r="M110" i="8"/>
  <c r="K234" i="7"/>
  <c r="I270" i="7"/>
  <c r="J110" i="7"/>
  <c r="K230" i="7"/>
  <c r="N229" i="7"/>
  <c r="O229" i="8" l="1"/>
  <c r="M230" i="8"/>
  <c r="L270" i="8"/>
  <c r="N234" i="8"/>
  <c r="O229" i="7"/>
  <c r="L230" i="7"/>
  <c r="J270" i="7"/>
  <c r="L234" i="7"/>
  <c r="K110" i="7"/>
  <c r="M270" i="8" l="1"/>
  <c r="O234" i="8"/>
  <c r="N230" i="8"/>
  <c r="N110" i="8"/>
  <c r="P229" i="8"/>
  <c r="O110" i="8"/>
  <c r="K270" i="7"/>
  <c r="M234" i="7"/>
  <c r="L110" i="7"/>
  <c r="M230" i="7"/>
  <c r="P229" i="7"/>
  <c r="AI110" i="8" l="1"/>
  <c r="AH110" i="8"/>
  <c r="O230" i="8"/>
  <c r="N270" i="8"/>
  <c r="P234" i="8"/>
  <c r="O270" i="8" s="1"/>
  <c r="N230" i="7"/>
  <c r="L270" i="7"/>
  <c r="N234" i="7"/>
  <c r="M110" i="7"/>
  <c r="P230" i="8" l="1"/>
  <c r="M270" i="7"/>
  <c r="O234" i="7"/>
  <c r="N110" i="7"/>
  <c r="O230" i="7"/>
  <c r="P230" i="7" l="1"/>
  <c r="N270" i="7"/>
  <c r="P234" i="7"/>
  <c r="O270" i="7" s="1"/>
  <c r="O110" i="7"/>
  <c r="AH110" i="7" l="1"/>
  <c r="AI110" i="7"/>
  <c r="K50" i="6" l="1"/>
  <c r="L50" i="6"/>
  <c r="K54" i="6"/>
  <c r="L54" i="6"/>
  <c r="K68" i="6"/>
  <c r="L68" i="6"/>
  <c r="K84" i="6"/>
  <c r="L84" i="6"/>
  <c r="K100" i="6"/>
  <c r="L100" i="6"/>
  <c r="K110" i="6"/>
  <c r="L110" i="6"/>
  <c r="K113" i="6"/>
  <c r="L113" i="6"/>
  <c r="J113" i="6"/>
  <c r="I113" i="6"/>
  <c r="H113" i="6"/>
  <c r="AI113" i="6" s="1"/>
  <c r="D100" i="6"/>
  <c r="E100" i="6"/>
  <c r="F100" i="6"/>
  <c r="G100" i="6"/>
  <c r="H100" i="6"/>
  <c r="AF274" i="6"/>
  <c r="AE274" i="6"/>
  <c r="AD274" i="6"/>
  <c r="AC274" i="6"/>
  <c r="AB274" i="6"/>
  <c r="AA274" i="6"/>
  <c r="Z274" i="6"/>
  <c r="Y274" i="6"/>
  <c r="X274" i="6"/>
  <c r="W274" i="6"/>
  <c r="V274" i="6"/>
  <c r="U274" i="6"/>
  <c r="T274" i="6"/>
  <c r="S274" i="6"/>
  <c r="R274" i="6"/>
  <c r="Q274" i="6"/>
  <c r="P274" i="6"/>
  <c r="O274" i="6"/>
  <c r="N274" i="6"/>
  <c r="M274" i="6"/>
  <c r="L274" i="6"/>
  <c r="K274" i="6"/>
  <c r="J274" i="6"/>
  <c r="I274" i="6"/>
  <c r="H274" i="6"/>
  <c r="G274" i="6"/>
  <c r="F274" i="6"/>
  <c r="E274" i="6"/>
  <c r="D274" i="6"/>
  <c r="C274" i="6"/>
  <c r="B274" i="6"/>
  <c r="A274" i="6"/>
  <c r="AF273" i="6"/>
  <c r="AE273" i="6"/>
  <c r="AD273" i="6"/>
  <c r="AC273" i="6"/>
  <c r="AB273" i="6"/>
  <c r="AA273" i="6"/>
  <c r="Z273" i="6"/>
  <c r="Y273" i="6"/>
  <c r="X273" i="6"/>
  <c r="W273" i="6"/>
  <c r="V273" i="6"/>
  <c r="U273" i="6"/>
  <c r="T273" i="6"/>
  <c r="S273" i="6"/>
  <c r="R273" i="6"/>
  <c r="Q273" i="6"/>
  <c r="P273" i="6"/>
  <c r="O273" i="6"/>
  <c r="N273" i="6"/>
  <c r="M273" i="6"/>
  <c r="L273" i="6"/>
  <c r="K273" i="6"/>
  <c r="J273" i="6"/>
  <c r="I273" i="6"/>
  <c r="H273" i="6"/>
  <c r="G273" i="6"/>
  <c r="F273" i="6"/>
  <c r="E273" i="6"/>
  <c r="D273" i="6"/>
  <c r="C273" i="6"/>
  <c r="B273" i="6"/>
  <c r="A273" i="6"/>
  <c r="AF272" i="6"/>
  <c r="AE272" i="6"/>
  <c r="AD272" i="6"/>
  <c r="AC272" i="6"/>
  <c r="AB272" i="6"/>
  <c r="AA272" i="6"/>
  <c r="Z272" i="6"/>
  <c r="Y272" i="6"/>
  <c r="X272" i="6"/>
  <c r="W272" i="6"/>
  <c r="V272" i="6"/>
  <c r="U272" i="6"/>
  <c r="T272" i="6"/>
  <c r="S272" i="6"/>
  <c r="R272" i="6"/>
  <c r="Q272" i="6"/>
  <c r="P272" i="6"/>
  <c r="O272" i="6"/>
  <c r="N272" i="6"/>
  <c r="M272" i="6"/>
  <c r="L272" i="6"/>
  <c r="K272" i="6"/>
  <c r="J272" i="6"/>
  <c r="I272" i="6"/>
  <c r="H272" i="6"/>
  <c r="G272" i="6"/>
  <c r="F272" i="6"/>
  <c r="E272" i="6"/>
  <c r="D272" i="6"/>
  <c r="C272" i="6"/>
  <c r="B272" i="6"/>
  <c r="A272" i="6"/>
  <c r="AF271" i="6"/>
  <c r="AE271" i="6"/>
  <c r="AD271" i="6"/>
  <c r="AC271" i="6"/>
  <c r="AB271" i="6"/>
  <c r="AA271" i="6"/>
  <c r="Z271" i="6"/>
  <c r="Y271" i="6"/>
  <c r="X271" i="6"/>
  <c r="W271" i="6"/>
  <c r="V271" i="6"/>
  <c r="U271" i="6"/>
  <c r="T271" i="6"/>
  <c r="S271" i="6"/>
  <c r="R271" i="6"/>
  <c r="Q271" i="6"/>
  <c r="P271" i="6"/>
  <c r="O271" i="6"/>
  <c r="N271" i="6"/>
  <c r="M271" i="6"/>
  <c r="L271" i="6"/>
  <c r="K271" i="6"/>
  <c r="J271" i="6"/>
  <c r="I271" i="6"/>
  <c r="H271" i="6"/>
  <c r="G271" i="6"/>
  <c r="F271" i="6"/>
  <c r="E271" i="6"/>
  <c r="D271" i="6"/>
  <c r="C271" i="6"/>
  <c r="B271" i="6"/>
  <c r="A271" i="6"/>
  <c r="AE270" i="6"/>
  <c r="AD270" i="6"/>
  <c r="AC270" i="6"/>
  <c r="AB270" i="6"/>
  <c r="AA270" i="6"/>
  <c r="Z270" i="6"/>
  <c r="Y270" i="6"/>
  <c r="X270" i="6"/>
  <c r="W270" i="6"/>
  <c r="V270" i="6"/>
  <c r="U270" i="6"/>
  <c r="T270" i="6"/>
  <c r="S270" i="6"/>
  <c r="R270" i="6"/>
  <c r="Q270" i="6"/>
  <c r="P270" i="6"/>
  <c r="B270" i="6"/>
  <c r="S245" i="6"/>
  <c r="AG235" i="6"/>
  <c r="AF235" i="6"/>
  <c r="AE235" i="6"/>
  <c r="AD235" i="6"/>
  <c r="AC235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C235" i="6"/>
  <c r="D234" i="6"/>
  <c r="C270" i="6" s="1"/>
  <c r="B234" i="6"/>
  <c r="AF270" i="6" s="1"/>
  <c r="D233" i="6"/>
  <c r="E233" i="6" s="1"/>
  <c r="F233" i="6" s="1"/>
  <c r="G233" i="6" s="1"/>
  <c r="H233" i="6" s="1"/>
  <c r="I233" i="6" s="1"/>
  <c r="J233" i="6" s="1"/>
  <c r="K233" i="6" s="1"/>
  <c r="L233" i="6" s="1"/>
  <c r="M233" i="6" s="1"/>
  <c r="N233" i="6" s="1"/>
  <c r="O233" i="6" s="1"/>
  <c r="P233" i="6" s="1"/>
  <c r="B233" i="6"/>
  <c r="D232" i="6"/>
  <c r="E232" i="6" s="1"/>
  <c r="F232" i="6" s="1"/>
  <c r="G232" i="6" s="1"/>
  <c r="H232" i="6" s="1"/>
  <c r="I232" i="6" s="1"/>
  <c r="B232" i="6"/>
  <c r="F231" i="6"/>
  <c r="G231" i="6" s="1"/>
  <c r="H231" i="6" s="1"/>
  <c r="E231" i="6"/>
  <c r="D231" i="6"/>
  <c r="B231" i="6"/>
  <c r="D230" i="6"/>
  <c r="E230" i="6" s="1"/>
  <c r="F230" i="6" s="1"/>
  <c r="G230" i="6" s="1"/>
  <c r="H230" i="6" s="1"/>
  <c r="I230" i="6" s="1"/>
  <c r="J230" i="6" s="1"/>
  <c r="K230" i="6" s="1"/>
  <c r="L230" i="6" s="1"/>
  <c r="M230" i="6" s="1"/>
  <c r="N230" i="6" s="1"/>
  <c r="O230" i="6" s="1"/>
  <c r="P230" i="6" s="1"/>
  <c r="B230" i="6"/>
  <c r="D229" i="6"/>
  <c r="D235" i="6" s="1"/>
  <c r="B229" i="6"/>
  <c r="B235" i="6" s="1"/>
  <c r="AG227" i="6"/>
  <c r="AF227" i="6"/>
  <c r="AE227" i="6"/>
  <c r="AD227" i="6"/>
  <c r="AC227" i="6"/>
  <c r="AB227" i="6"/>
  <c r="AA227" i="6"/>
  <c r="Z227" i="6"/>
  <c r="Y227" i="6"/>
  <c r="X227" i="6"/>
  <c r="W227" i="6"/>
  <c r="V227" i="6"/>
  <c r="U227" i="6"/>
  <c r="T227" i="6"/>
  <c r="S227" i="6"/>
  <c r="R227" i="6"/>
  <c r="Q227" i="6"/>
  <c r="P227" i="6"/>
  <c r="O227" i="6"/>
  <c r="N227" i="6"/>
  <c r="M227" i="6"/>
  <c r="L227" i="6"/>
  <c r="K227" i="6"/>
  <c r="J227" i="6"/>
  <c r="I227" i="6"/>
  <c r="H227" i="6"/>
  <c r="G227" i="6"/>
  <c r="F227" i="6"/>
  <c r="E227" i="6"/>
  <c r="D227" i="6"/>
  <c r="C227" i="6"/>
  <c r="B227" i="6"/>
  <c r="AI120" i="6"/>
  <c r="AH120" i="6"/>
  <c r="AI119" i="6"/>
  <c r="AH119" i="6"/>
  <c r="AI118" i="6"/>
  <c r="AH118" i="6"/>
  <c r="AI117" i="6"/>
  <c r="AH117" i="6"/>
  <c r="AI116" i="6"/>
  <c r="AH116" i="6"/>
  <c r="AI115" i="6"/>
  <c r="AH115" i="6"/>
  <c r="AI114" i="6"/>
  <c r="AH114" i="6"/>
  <c r="AI112" i="6"/>
  <c r="AH112" i="6"/>
  <c r="AI111" i="6"/>
  <c r="AH111" i="6"/>
  <c r="AF110" i="6"/>
  <c r="AE110" i="6"/>
  <c r="AC110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D110" i="6"/>
  <c r="C110" i="6"/>
  <c r="B110" i="6"/>
  <c r="AI109" i="6"/>
  <c r="AH109" i="6"/>
  <c r="AI108" i="6"/>
  <c r="AH108" i="6"/>
  <c r="AI107" i="6"/>
  <c r="AH107" i="6"/>
  <c r="AI106" i="6"/>
  <c r="AH106" i="6"/>
  <c r="AI105" i="6"/>
  <c r="AH105" i="6"/>
  <c r="AI104" i="6"/>
  <c r="AH104" i="6"/>
  <c r="AI103" i="6"/>
  <c r="AH103" i="6"/>
  <c r="AI102" i="6"/>
  <c r="AH102" i="6"/>
  <c r="AI101" i="6"/>
  <c r="AH101" i="6"/>
  <c r="AI99" i="6"/>
  <c r="AH99" i="6"/>
  <c r="AI98" i="6"/>
  <c r="AH98" i="6"/>
  <c r="AI97" i="6"/>
  <c r="AH97" i="6"/>
  <c r="AI96" i="6"/>
  <c r="AH96" i="6"/>
  <c r="AI95" i="6"/>
  <c r="AH95" i="6"/>
  <c r="AI94" i="6"/>
  <c r="AH94" i="6"/>
  <c r="AI93" i="6"/>
  <c r="AH93" i="6"/>
  <c r="AI90" i="6"/>
  <c r="AH90" i="6"/>
  <c r="AI88" i="6"/>
  <c r="AH88" i="6"/>
  <c r="AG88" i="6"/>
  <c r="AG91" i="6" s="1"/>
  <c r="AI87" i="6"/>
  <c r="AH87" i="6"/>
  <c r="AI86" i="6"/>
  <c r="AH86" i="6"/>
  <c r="AI85" i="6"/>
  <c r="AH85" i="6"/>
  <c r="AN84" i="6"/>
  <c r="AG84" i="6"/>
  <c r="AF84" i="6"/>
  <c r="AF100" i="6" s="1"/>
  <c r="AE84" i="6"/>
  <c r="AE100" i="6" s="1"/>
  <c r="AD84" i="6"/>
  <c r="AD100" i="6" s="1"/>
  <c r="AC84" i="6"/>
  <c r="AC100" i="6" s="1"/>
  <c r="AB84" i="6"/>
  <c r="AB100" i="6" s="1"/>
  <c r="AA84" i="6"/>
  <c r="AA100" i="6" s="1"/>
  <c r="Z84" i="6"/>
  <c r="Z100" i="6" s="1"/>
  <c r="Y84" i="6"/>
  <c r="Y100" i="6" s="1"/>
  <c r="X84" i="6"/>
  <c r="X100" i="6" s="1"/>
  <c r="W84" i="6"/>
  <c r="V5" i="6" s="1"/>
  <c r="V84" i="6"/>
  <c r="V100" i="6" s="1"/>
  <c r="U84" i="6"/>
  <c r="U100" i="6" s="1"/>
  <c r="T84" i="6"/>
  <c r="T100" i="6" s="1"/>
  <c r="S84" i="6"/>
  <c r="R5" i="6" s="1"/>
  <c r="R84" i="6"/>
  <c r="R100" i="6" s="1"/>
  <c r="Q84" i="6"/>
  <c r="Q100" i="6" s="1"/>
  <c r="P84" i="6"/>
  <c r="P100" i="6" s="1"/>
  <c r="O84" i="6"/>
  <c r="O100" i="6" s="1"/>
  <c r="N84" i="6"/>
  <c r="N100" i="6" s="1"/>
  <c r="M84" i="6"/>
  <c r="M100" i="6" s="1"/>
  <c r="J84" i="6"/>
  <c r="J100" i="6" s="1"/>
  <c r="I84" i="6"/>
  <c r="I100" i="6" s="1"/>
  <c r="H84" i="6"/>
  <c r="G84" i="6"/>
  <c r="F5" i="6" s="1"/>
  <c r="F84" i="6"/>
  <c r="E84" i="6"/>
  <c r="D84" i="6"/>
  <c r="C84" i="6"/>
  <c r="C100" i="6" s="1"/>
  <c r="B84" i="6"/>
  <c r="B100" i="6" s="1"/>
  <c r="AI83" i="6"/>
  <c r="AH83" i="6"/>
  <c r="AN82" i="6"/>
  <c r="AI82" i="6"/>
  <c r="AH82" i="6"/>
  <c r="AN81" i="6"/>
  <c r="AN83" i="6" s="1"/>
  <c r="AI81" i="6"/>
  <c r="AH81" i="6"/>
  <c r="AI80" i="6"/>
  <c r="AH80" i="6"/>
  <c r="AI79" i="6"/>
  <c r="AH79" i="6"/>
  <c r="AI78" i="6"/>
  <c r="AH78" i="6"/>
  <c r="AI77" i="6"/>
  <c r="AH77" i="6"/>
  <c r="AI76" i="6"/>
  <c r="AH76" i="6"/>
  <c r="AI75" i="6"/>
  <c r="AH75" i="6"/>
  <c r="AI74" i="6"/>
  <c r="AH74" i="6"/>
  <c r="AI73" i="6"/>
  <c r="AH73" i="6"/>
  <c r="AG72" i="6"/>
  <c r="AG4" i="6" s="1"/>
  <c r="AF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B72" i="6"/>
  <c r="AI71" i="6"/>
  <c r="AH71" i="6"/>
  <c r="AI70" i="6"/>
  <c r="AH70" i="6"/>
  <c r="AI69" i="6"/>
  <c r="AH69" i="6"/>
  <c r="AG68" i="6"/>
  <c r="AF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J68" i="6"/>
  <c r="I68" i="6"/>
  <c r="H68" i="6"/>
  <c r="G68" i="6"/>
  <c r="F68" i="6"/>
  <c r="E68" i="6"/>
  <c r="D68" i="6"/>
  <c r="C68" i="6"/>
  <c r="B68" i="6"/>
  <c r="AI67" i="6"/>
  <c r="AH67" i="6"/>
  <c r="AG67" i="6"/>
  <c r="AI66" i="6"/>
  <c r="AH66" i="6"/>
  <c r="AI65" i="6"/>
  <c r="AH65" i="6"/>
  <c r="AI64" i="6"/>
  <c r="AH64" i="6"/>
  <c r="AI63" i="6"/>
  <c r="AH63" i="6"/>
  <c r="AI62" i="6"/>
  <c r="AH62" i="6"/>
  <c r="AI61" i="6"/>
  <c r="AH61" i="6"/>
  <c r="AI60" i="6"/>
  <c r="AH60" i="6"/>
  <c r="AI59" i="6"/>
  <c r="AH59" i="6"/>
  <c r="AI58" i="6"/>
  <c r="AH58" i="6"/>
  <c r="AI57" i="6"/>
  <c r="AH57" i="6"/>
  <c r="AI56" i="6"/>
  <c r="AH56" i="6"/>
  <c r="AI55" i="6"/>
  <c r="AH55" i="6"/>
  <c r="AG54" i="6"/>
  <c r="AF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J54" i="6"/>
  <c r="I54" i="6"/>
  <c r="H54" i="6"/>
  <c r="G54" i="6"/>
  <c r="F54" i="6"/>
  <c r="E54" i="6"/>
  <c r="D54" i="6"/>
  <c r="C54" i="6"/>
  <c r="B54" i="6"/>
  <c r="AI53" i="6"/>
  <c r="AH53" i="6"/>
  <c r="AI52" i="6"/>
  <c r="AH52" i="6"/>
  <c r="AI51" i="6"/>
  <c r="AH51" i="6"/>
  <c r="AG50" i="6"/>
  <c r="AG89" i="6" s="1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J50" i="6"/>
  <c r="I50" i="6"/>
  <c r="H50" i="6"/>
  <c r="G50" i="6"/>
  <c r="F50" i="6"/>
  <c r="E50" i="6"/>
  <c r="D50" i="6"/>
  <c r="C50" i="6"/>
  <c r="B50" i="6"/>
  <c r="AI49" i="6"/>
  <c r="AH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I38" i="6"/>
  <c r="AH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J5" i="6"/>
  <c r="K4" i="6"/>
  <c r="E4" i="6"/>
  <c r="H4" i="6" s="1"/>
  <c r="S246" i="6"/>
  <c r="AG3" i="6"/>
  <c r="AC113" i="5"/>
  <c r="L89" i="6" l="1"/>
  <c r="L91" i="6" s="1"/>
  <c r="L92" i="6" s="1"/>
  <c r="K89" i="6"/>
  <c r="K91" i="6" s="1"/>
  <c r="K92" i="6" s="1"/>
  <c r="AF89" i="6"/>
  <c r="AF91" i="6" s="1"/>
  <c r="AF92" i="6" s="1"/>
  <c r="AD5" i="6"/>
  <c r="AE89" i="6"/>
  <c r="AE91" i="6" s="1"/>
  <c r="AW249" i="6" s="1"/>
  <c r="AD89" i="6"/>
  <c r="AD91" i="6" s="1"/>
  <c r="AD7" i="6" s="1"/>
  <c r="AB5" i="6"/>
  <c r="AC89" i="6"/>
  <c r="AC91" i="6" s="1"/>
  <c r="AC92" i="6" s="1"/>
  <c r="AB89" i="6"/>
  <c r="AB91" i="6" s="1"/>
  <c r="AB92" i="6" s="1"/>
  <c r="Z5" i="6"/>
  <c r="AA89" i="6"/>
  <c r="AA91" i="6" s="1"/>
  <c r="Z89" i="6"/>
  <c r="Z91" i="6" s="1"/>
  <c r="Z92" i="6" s="1"/>
  <c r="X5" i="6"/>
  <c r="Y89" i="6"/>
  <c r="Y91" i="6" s="1"/>
  <c r="Y92" i="6" s="1"/>
  <c r="X89" i="6"/>
  <c r="X91" i="6" s="1"/>
  <c r="W100" i="6"/>
  <c r="W89" i="6"/>
  <c r="W91" i="6" s="1"/>
  <c r="W92" i="6" s="1"/>
  <c r="V89" i="6"/>
  <c r="V91" i="6" s="1"/>
  <c r="AN249" i="6" s="1"/>
  <c r="T5" i="6"/>
  <c r="U89" i="6"/>
  <c r="U91" i="6" s="1"/>
  <c r="AM249" i="6" s="1"/>
  <c r="T89" i="6"/>
  <c r="T91" i="6" s="1"/>
  <c r="T92" i="6" s="1"/>
  <c r="S100" i="6"/>
  <c r="S89" i="6"/>
  <c r="S91" i="6" s="1"/>
  <c r="R89" i="6"/>
  <c r="R91" i="6" s="1"/>
  <c r="R7" i="6" s="1"/>
  <c r="P5" i="6"/>
  <c r="Q89" i="6"/>
  <c r="Q91" i="6" s="1"/>
  <c r="AI249" i="6" s="1"/>
  <c r="P89" i="6"/>
  <c r="P91" i="6" s="1"/>
  <c r="P7" i="6" s="1"/>
  <c r="N5" i="6"/>
  <c r="O89" i="6"/>
  <c r="O91" i="6" s="1"/>
  <c r="AG249" i="6" s="1"/>
  <c r="L5" i="6"/>
  <c r="M89" i="6"/>
  <c r="M91" i="6" s="1"/>
  <c r="M92" i="6" s="1"/>
  <c r="N89" i="6"/>
  <c r="N91" i="6" s="1"/>
  <c r="AF249" i="6" s="1"/>
  <c r="AH72" i="6"/>
  <c r="J89" i="6"/>
  <c r="J91" i="6" s="1"/>
  <c r="J7" i="6" s="1"/>
  <c r="H5" i="6"/>
  <c r="I89" i="6"/>
  <c r="I91" i="6" s="1"/>
  <c r="I7" i="6" s="1"/>
  <c r="AH113" i="6"/>
  <c r="D89" i="6"/>
  <c r="D91" i="6" s="1"/>
  <c r="D92" i="6" s="1"/>
  <c r="D5" i="6"/>
  <c r="F89" i="6"/>
  <c r="F91" i="6" s="1"/>
  <c r="G89" i="6"/>
  <c r="G91" i="6" s="1"/>
  <c r="Y249" i="6" s="1"/>
  <c r="E89" i="6"/>
  <c r="E91" i="6" s="1"/>
  <c r="W249" i="6" s="1"/>
  <c r="AI54" i="6"/>
  <c r="H89" i="6"/>
  <c r="H91" i="6" s="1"/>
  <c r="H7" i="6" s="1"/>
  <c r="AI68" i="6"/>
  <c r="C89" i="6"/>
  <c r="C91" i="6" s="1"/>
  <c r="U249" i="6" s="1"/>
  <c r="AH54" i="6"/>
  <c r="AH50" i="6"/>
  <c r="AF5" i="6"/>
  <c r="D246" i="6"/>
  <c r="AD249" i="6"/>
  <c r="L7" i="6"/>
  <c r="U92" i="6"/>
  <c r="X7" i="6"/>
  <c r="X92" i="6"/>
  <c r="AP249" i="6"/>
  <c r="V7" i="6"/>
  <c r="V92" i="6"/>
  <c r="AI100" i="6"/>
  <c r="AH100" i="6"/>
  <c r="V249" i="6"/>
  <c r="D7" i="6"/>
  <c r="J232" i="6"/>
  <c r="K232" i="6" s="1"/>
  <c r="L232" i="6" s="1"/>
  <c r="M232" i="6" s="1"/>
  <c r="N232" i="6" s="1"/>
  <c r="O232" i="6" s="1"/>
  <c r="P232" i="6" s="1"/>
  <c r="AA249" i="6"/>
  <c r="C7" i="6"/>
  <c r="K7" i="6"/>
  <c r="AC249" i="6"/>
  <c r="S7" i="6"/>
  <c r="S92" i="6"/>
  <c r="AK249" i="6"/>
  <c r="AA7" i="6"/>
  <c r="AA92" i="6"/>
  <c r="AS249" i="6"/>
  <c r="AB249" i="6"/>
  <c r="X249" i="6"/>
  <c r="F7" i="6"/>
  <c r="F92" i="6"/>
  <c r="AH68" i="6"/>
  <c r="AI72" i="6"/>
  <c r="G5" i="6"/>
  <c r="O5" i="6"/>
  <c r="W5" i="6"/>
  <c r="AE5" i="6"/>
  <c r="E234" i="6"/>
  <c r="AH84" i="6"/>
  <c r="I5" i="6"/>
  <c r="Q5" i="6"/>
  <c r="Y5" i="6"/>
  <c r="AI84" i="6"/>
  <c r="E229" i="6"/>
  <c r="AI50" i="6"/>
  <c r="AG2" i="6"/>
  <c r="AG6" i="6" s="1"/>
  <c r="C5" i="6"/>
  <c r="K5" i="6"/>
  <c r="S5" i="6"/>
  <c r="AA5" i="6"/>
  <c r="B89" i="6"/>
  <c r="E5" i="6"/>
  <c r="M5" i="6"/>
  <c r="U5" i="6"/>
  <c r="AC5" i="6"/>
  <c r="J92" i="6" l="1"/>
  <c r="C92" i="6"/>
  <c r="AF7" i="6"/>
  <c r="AX249" i="6"/>
  <c r="Q92" i="6"/>
  <c r="Q7" i="6"/>
  <c r="AE92" i="6"/>
  <c r="AE7" i="6"/>
  <c r="AV249" i="6"/>
  <c r="AD92" i="6"/>
  <c r="AU249" i="6"/>
  <c r="AC7" i="6"/>
  <c r="AB7" i="6"/>
  <c r="AT249" i="6"/>
  <c r="Y7" i="6"/>
  <c r="Z7" i="6"/>
  <c r="AR249" i="6"/>
  <c r="AQ249" i="6"/>
  <c r="W7" i="6"/>
  <c r="AO249" i="6"/>
  <c r="AL249" i="6"/>
  <c r="U7" i="6"/>
  <c r="T7" i="6"/>
  <c r="AJ249" i="6"/>
  <c r="R92" i="6"/>
  <c r="AH249" i="6"/>
  <c r="P92" i="6"/>
  <c r="O7" i="6"/>
  <c r="O92" i="6"/>
  <c r="M7" i="6"/>
  <c r="AE249" i="6"/>
  <c r="N92" i="6"/>
  <c r="N7" i="6"/>
  <c r="I92" i="6"/>
  <c r="G92" i="6"/>
  <c r="G7" i="6"/>
  <c r="E7" i="6"/>
  <c r="E92" i="6"/>
  <c r="Z249" i="6"/>
  <c r="H92" i="6"/>
  <c r="B244" i="6"/>
  <c r="C244" i="6"/>
  <c r="F229" i="6"/>
  <c r="E110" i="6"/>
  <c r="E235" i="6"/>
  <c r="D270" i="6"/>
  <c r="F234" i="6"/>
  <c r="AI89" i="6"/>
  <c r="AH89" i="6"/>
  <c r="B91" i="6"/>
  <c r="O84" i="5"/>
  <c r="K6" i="6" l="1"/>
  <c r="B7" i="6"/>
  <c r="A7" i="6" s="1"/>
  <c r="B92" i="6"/>
  <c r="AI91" i="6"/>
  <c r="T249" i="6"/>
  <c r="AH91" i="6"/>
  <c r="E270" i="6"/>
  <c r="G234" i="6"/>
  <c r="G229" i="6"/>
  <c r="F110" i="6"/>
  <c r="F235" i="6"/>
  <c r="F270" i="6" l="1"/>
  <c r="H234" i="6"/>
  <c r="H229" i="6"/>
  <c r="G110" i="6"/>
  <c r="G235" i="6"/>
  <c r="AI92" i="6"/>
  <c r="AH92" i="6"/>
  <c r="I229" i="6" l="1"/>
  <c r="H110" i="6"/>
  <c r="H235" i="6"/>
  <c r="G270" i="6"/>
  <c r="I234" i="6"/>
  <c r="H270" i="6" l="1"/>
  <c r="J234" i="6"/>
  <c r="I110" i="6"/>
  <c r="J229" i="6"/>
  <c r="J110" i="6" l="1"/>
  <c r="K229" i="6"/>
  <c r="K234" i="6"/>
  <c r="I270" i="6"/>
  <c r="J270" i="6" l="1"/>
  <c r="L234" i="6"/>
  <c r="L229" i="6"/>
  <c r="M229" i="6" l="1"/>
  <c r="K270" i="6"/>
  <c r="M234" i="6"/>
  <c r="L270" i="6" l="1"/>
  <c r="N234" i="6"/>
  <c r="N229" i="6"/>
  <c r="M110" i="6"/>
  <c r="O229" i="6" l="1"/>
  <c r="N110" i="6"/>
  <c r="M270" i="6"/>
  <c r="O234" i="6"/>
  <c r="N270" i="6" l="1"/>
  <c r="P234" i="6"/>
  <c r="O270" i="6" s="1"/>
  <c r="P229" i="6"/>
  <c r="O110" i="6"/>
  <c r="AH110" i="6" l="1"/>
  <c r="AI110" i="6"/>
  <c r="F84" i="5" l="1"/>
  <c r="F100" i="5" s="1"/>
  <c r="E49" i="5"/>
  <c r="AH49" i="5" s="1"/>
  <c r="B113" i="5"/>
  <c r="AF274" i="5"/>
  <c r="AE274" i="5"/>
  <c r="AD274" i="5"/>
  <c r="AC274" i="5"/>
  <c r="AB274" i="5"/>
  <c r="AA274" i="5"/>
  <c r="Z274" i="5"/>
  <c r="Y274" i="5"/>
  <c r="X274" i="5"/>
  <c r="W274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B274" i="5"/>
  <c r="A274" i="5"/>
  <c r="AF273" i="5"/>
  <c r="AE273" i="5"/>
  <c r="AD273" i="5"/>
  <c r="AC273" i="5"/>
  <c r="AB273" i="5"/>
  <c r="AA273" i="5"/>
  <c r="Z273" i="5"/>
  <c r="Y273" i="5"/>
  <c r="X273" i="5"/>
  <c r="W273" i="5"/>
  <c r="V273" i="5"/>
  <c r="U273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B273" i="5"/>
  <c r="A273" i="5"/>
  <c r="AF272" i="5"/>
  <c r="AE272" i="5"/>
  <c r="AD272" i="5"/>
  <c r="AC272" i="5"/>
  <c r="AB272" i="5"/>
  <c r="AA272" i="5"/>
  <c r="Z272" i="5"/>
  <c r="Y272" i="5"/>
  <c r="X272" i="5"/>
  <c r="W272" i="5"/>
  <c r="V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B272" i="5"/>
  <c r="A272" i="5"/>
  <c r="AF271" i="5"/>
  <c r="AE271" i="5"/>
  <c r="AD271" i="5"/>
  <c r="AC271" i="5"/>
  <c r="AB271" i="5"/>
  <c r="AA271" i="5"/>
  <c r="Z271" i="5"/>
  <c r="Y271" i="5"/>
  <c r="X271" i="5"/>
  <c r="W271" i="5"/>
  <c r="V271" i="5"/>
  <c r="U271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  <c r="B271" i="5"/>
  <c r="A271" i="5"/>
  <c r="AE270" i="5"/>
  <c r="AD270" i="5"/>
  <c r="AC270" i="5"/>
  <c r="AB270" i="5"/>
  <c r="AA270" i="5"/>
  <c r="Z270" i="5"/>
  <c r="Y270" i="5"/>
  <c r="X270" i="5"/>
  <c r="W270" i="5"/>
  <c r="V270" i="5"/>
  <c r="U270" i="5"/>
  <c r="T270" i="5"/>
  <c r="S270" i="5"/>
  <c r="R270" i="5"/>
  <c r="Q270" i="5"/>
  <c r="P270" i="5"/>
  <c r="B270" i="5"/>
  <c r="S245" i="5"/>
  <c r="AG235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C235" i="5"/>
  <c r="D234" i="5"/>
  <c r="C270" i="5" s="1"/>
  <c r="B234" i="5"/>
  <c r="AF270" i="5" s="1"/>
  <c r="D233" i="5"/>
  <c r="E233" i="5" s="1"/>
  <c r="F233" i="5" s="1"/>
  <c r="G233" i="5" s="1"/>
  <c r="H233" i="5" s="1"/>
  <c r="I233" i="5" s="1"/>
  <c r="J233" i="5" s="1"/>
  <c r="K233" i="5" s="1"/>
  <c r="L233" i="5" s="1"/>
  <c r="M233" i="5" s="1"/>
  <c r="N233" i="5" s="1"/>
  <c r="O233" i="5" s="1"/>
  <c r="P233" i="5" s="1"/>
  <c r="B233" i="5"/>
  <c r="D232" i="5"/>
  <c r="E232" i="5" s="1"/>
  <c r="F232" i="5" s="1"/>
  <c r="G232" i="5" s="1"/>
  <c r="H232" i="5" s="1"/>
  <c r="I232" i="5" s="1"/>
  <c r="B232" i="5"/>
  <c r="E231" i="5"/>
  <c r="F231" i="5" s="1"/>
  <c r="G231" i="5" s="1"/>
  <c r="H231" i="5" s="1"/>
  <c r="D231" i="5"/>
  <c r="B231" i="5"/>
  <c r="D230" i="5"/>
  <c r="E230" i="5" s="1"/>
  <c r="F230" i="5" s="1"/>
  <c r="G230" i="5" s="1"/>
  <c r="H230" i="5" s="1"/>
  <c r="I230" i="5" s="1"/>
  <c r="J230" i="5" s="1"/>
  <c r="K230" i="5" s="1"/>
  <c r="L230" i="5" s="1"/>
  <c r="M230" i="5" s="1"/>
  <c r="N230" i="5" s="1"/>
  <c r="O230" i="5" s="1"/>
  <c r="P230" i="5" s="1"/>
  <c r="B230" i="5"/>
  <c r="D229" i="5"/>
  <c r="B229" i="5"/>
  <c r="B235" i="5" s="1"/>
  <c r="AG227" i="5"/>
  <c r="AF227" i="5"/>
  <c r="AE227" i="5"/>
  <c r="AD227" i="5"/>
  <c r="AC227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B227" i="5"/>
  <c r="AI120" i="5"/>
  <c r="AH120" i="5"/>
  <c r="AI119" i="5"/>
  <c r="AH119" i="5"/>
  <c r="AI118" i="5"/>
  <c r="AH118" i="5"/>
  <c r="AI117" i="5"/>
  <c r="AH117" i="5"/>
  <c r="AI116" i="5"/>
  <c r="AH116" i="5"/>
  <c r="AI115" i="5"/>
  <c r="AH115" i="5"/>
  <c r="AI114" i="5"/>
  <c r="AH114" i="5"/>
  <c r="AI113" i="5"/>
  <c r="AH113" i="5"/>
  <c r="AI112" i="5"/>
  <c r="AH112" i="5"/>
  <c r="AI111" i="5"/>
  <c r="AH111" i="5"/>
  <c r="AF110" i="5"/>
  <c r="AE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D110" i="5"/>
  <c r="C110" i="5"/>
  <c r="AI109" i="5"/>
  <c r="AH109" i="5"/>
  <c r="AI108" i="5"/>
  <c r="AH108" i="5"/>
  <c r="AI107" i="5"/>
  <c r="AH107" i="5"/>
  <c r="AI106" i="5"/>
  <c r="AH106" i="5"/>
  <c r="AI105" i="5"/>
  <c r="AH105" i="5"/>
  <c r="AI104" i="5"/>
  <c r="AH104" i="5"/>
  <c r="AI103" i="5"/>
  <c r="AH103" i="5"/>
  <c r="AI102" i="5"/>
  <c r="AH102" i="5"/>
  <c r="AI101" i="5"/>
  <c r="AH101" i="5"/>
  <c r="Q100" i="5"/>
  <c r="AI99" i="5"/>
  <c r="AH99" i="5"/>
  <c r="AI98" i="5"/>
  <c r="AH98" i="5"/>
  <c r="AI97" i="5"/>
  <c r="AH97" i="5"/>
  <c r="AI96" i="5"/>
  <c r="AH96" i="5"/>
  <c r="AI95" i="5"/>
  <c r="AH95" i="5"/>
  <c r="AI94" i="5"/>
  <c r="AH94" i="5"/>
  <c r="AI93" i="5"/>
  <c r="AH93" i="5"/>
  <c r="AI90" i="5"/>
  <c r="AH90" i="5"/>
  <c r="AI88" i="5"/>
  <c r="AH88" i="5"/>
  <c r="AG88" i="5"/>
  <c r="AI87" i="5"/>
  <c r="AH87" i="5"/>
  <c r="AI86" i="5"/>
  <c r="AH86" i="5"/>
  <c r="AI85" i="5"/>
  <c r="AH85" i="5"/>
  <c r="AN84" i="5"/>
  <c r="AG84" i="5"/>
  <c r="AF84" i="5"/>
  <c r="AF100" i="5" s="1"/>
  <c r="AE84" i="5"/>
  <c r="AE100" i="5" s="1"/>
  <c r="AD84" i="5"/>
  <c r="AD100" i="5" s="1"/>
  <c r="AC84" i="5"/>
  <c r="AB5" i="5" s="1"/>
  <c r="AB84" i="5"/>
  <c r="AB100" i="5" s="1"/>
  <c r="AA84" i="5"/>
  <c r="Z5" i="5" s="1"/>
  <c r="Z84" i="5"/>
  <c r="Z100" i="5" s="1"/>
  <c r="Y84" i="5"/>
  <c r="Y100" i="5" s="1"/>
  <c r="X84" i="5"/>
  <c r="X100" i="5" s="1"/>
  <c r="W84" i="5"/>
  <c r="W100" i="5" s="1"/>
  <c r="V84" i="5"/>
  <c r="V100" i="5" s="1"/>
  <c r="U84" i="5"/>
  <c r="U100" i="5" s="1"/>
  <c r="T84" i="5"/>
  <c r="T100" i="5" s="1"/>
  <c r="S84" i="5"/>
  <c r="S100" i="5" s="1"/>
  <c r="R84" i="5"/>
  <c r="R100" i="5" s="1"/>
  <c r="Q84" i="5"/>
  <c r="P84" i="5"/>
  <c r="P100" i="5" s="1"/>
  <c r="N5" i="5"/>
  <c r="N84" i="5"/>
  <c r="N100" i="5" s="1"/>
  <c r="M84" i="5"/>
  <c r="M100" i="5" s="1"/>
  <c r="L84" i="5"/>
  <c r="L100" i="5" s="1"/>
  <c r="K84" i="5"/>
  <c r="J5" i="5" s="1"/>
  <c r="J84" i="5"/>
  <c r="J100" i="5" s="1"/>
  <c r="I84" i="5"/>
  <c r="I100" i="5" s="1"/>
  <c r="H84" i="5"/>
  <c r="H100" i="5" s="1"/>
  <c r="G84" i="5"/>
  <c r="G100" i="5" s="1"/>
  <c r="E84" i="5"/>
  <c r="E100" i="5" s="1"/>
  <c r="D84" i="5"/>
  <c r="D100" i="5" s="1"/>
  <c r="C84" i="5"/>
  <c r="C100" i="5" s="1"/>
  <c r="B84" i="5"/>
  <c r="B100" i="5" s="1"/>
  <c r="AI83" i="5"/>
  <c r="AH83" i="5"/>
  <c r="AN82" i="5"/>
  <c r="AI82" i="5"/>
  <c r="AH82" i="5"/>
  <c r="AN81" i="5"/>
  <c r="AI81" i="5"/>
  <c r="AH81" i="5"/>
  <c r="AI80" i="5"/>
  <c r="AH80" i="5"/>
  <c r="AI79" i="5"/>
  <c r="AH79" i="5"/>
  <c r="AI78" i="5"/>
  <c r="AH78" i="5"/>
  <c r="AI77" i="5"/>
  <c r="AH77" i="5"/>
  <c r="AI76" i="5"/>
  <c r="AH76" i="5"/>
  <c r="AI75" i="5"/>
  <c r="AH75" i="5"/>
  <c r="AI74" i="5"/>
  <c r="AH74" i="5"/>
  <c r="AI73" i="5"/>
  <c r="AH73" i="5"/>
  <c r="AG72" i="5"/>
  <c r="AG4" i="5" s="1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B72" i="5"/>
  <c r="AI71" i="5"/>
  <c r="AH71" i="5"/>
  <c r="AI70" i="5"/>
  <c r="AH70" i="5"/>
  <c r="AI69" i="5"/>
  <c r="AH69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I67" i="5"/>
  <c r="AH67" i="5"/>
  <c r="AG67" i="5"/>
  <c r="AG68" i="5" s="1"/>
  <c r="AG3" i="5" s="1"/>
  <c r="AI66" i="5"/>
  <c r="AH66" i="5"/>
  <c r="AI65" i="5"/>
  <c r="AH65" i="5"/>
  <c r="AI64" i="5"/>
  <c r="AH64" i="5"/>
  <c r="AI63" i="5"/>
  <c r="AH63" i="5"/>
  <c r="AI62" i="5"/>
  <c r="AH62" i="5"/>
  <c r="AI61" i="5"/>
  <c r="AH61" i="5"/>
  <c r="AI60" i="5"/>
  <c r="AH60" i="5"/>
  <c r="AI59" i="5"/>
  <c r="AH59" i="5"/>
  <c r="AI58" i="5"/>
  <c r="AH58" i="5"/>
  <c r="AI57" i="5"/>
  <c r="AH57" i="5"/>
  <c r="AI56" i="5"/>
  <c r="AH56" i="5"/>
  <c r="AI55" i="5"/>
  <c r="AH55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I53" i="5"/>
  <c r="AH53" i="5"/>
  <c r="AI52" i="5"/>
  <c r="AH52" i="5"/>
  <c r="AI51" i="5"/>
  <c r="AH51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I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P5" i="5"/>
  <c r="K4" i="5"/>
  <c r="E4" i="5"/>
  <c r="H4" i="5" s="1"/>
  <c r="S246" i="5"/>
  <c r="AF50" i="4"/>
  <c r="AE89" i="5" l="1"/>
  <c r="AE91" i="5" s="1"/>
  <c r="AW249" i="5" s="1"/>
  <c r="AD5" i="5"/>
  <c r="AC100" i="5"/>
  <c r="AB89" i="5"/>
  <c r="AB91" i="5" s="1"/>
  <c r="AB7" i="5" s="1"/>
  <c r="X5" i="5"/>
  <c r="V5" i="5"/>
  <c r="W89" i="5"/>
  <c r="W91" i="5" s="1"/>
  <c r="W7" i="5" s="1"/>
  <c r="T5" i="5"/>
  <c r="T89" i="5"/>
  <c r="T91" i="5" s="1"/>
  <c r="T92" i="5" s="1"/>
  <c r="R5" i="5"/>
  <c r="AD89" i="5"/>
  <c r="AD91" i="5" s="1"/>
  <c r="AD92" i="5" s="1"/>
  <c r="AA100" i="5"/>
  <c r="Q89" i="5"/>
  <c r="Q91" i="5" s="1"/>
  <c r="Q7" i="5" s="1"/>
  <c r="Y89" i="5"/>
  <c r="Y91" i="5" s="1"/>
  <c r="Y92" i="5" s="1"/>
  <c r="AN83" i="5"/>
  <c r="D235" i="5"/>
  <c r="S89" i="5"/>
  <c r="S91" i="5" s="1"/>
  <c r="AK249" i="5" s="1"/>
  <c r="AA89" i="5"/>
  <c r="AA91" i="5" s="1"/>
  <c r="AA7" i="5" s="1"/>
  <c r="R89" i="5"/>
  <c r="R91" i="5" s="1"/>
  <c r="R92" i="5" s="1"/>
  <c r="Z89" i="5"/>
  <c r="Z91" i="5" s="1"/>
  <c r="Z7" i="5" s="1"/>
  <c r="B110" i="5"/>
  <c r="U89" i="5"/>
  <c r="U91" i="5" s="1"/>
  <c r="U7" i="5" s="1"/>
  <c r="AC89" i="5"/>
  <c r="AC91" i="5" s="1"/>
  <c r="AU249" i="5" s="1"/>
  <c r="P89" i="5"/>
  <c r="P91" i="5" s="1"/>
  <c r="P7" i="5" s="1"/>
  <c r="X89" i="5"/>
  <c r="X91" i="5" s="1"/>
  <c r="AP249" i="5" s="1"/>
  <c r="AF89" i="5"/>
  <c r="AF91" i="5" s="1"/>
  <c r="AF7" i="5" s="1"/>
  <c r="O100" i="5"/>
  <c r="O89" i="5"/>
  <c r="O91" i="5" s="1"/>
  <c r="AG249" i="5" s="1"/>
  <c r="L5" i="5"/>
  <c r="M89" i="5"/>
  <c r="M91" i="5" s="1"/>
  <c r="M92" i="5" s="1"/>
  <c r="AH72" i="5"/>
  <c r="L89" i="5"/>
  <c r="L91" i="5" s="1"/>
  <c r="L92" i="5" s="1"/>
  <c r="K100" i="5"/>
  <c r="K89" i="5"/>
  <c r="K91" i="5" s="1"/>
  <c r="K7" i="5" s="1"/>
  <c r="J89" i="5"/>
  <c r="J91" i="5" s="1"/>
  <c r="J92" i="5" s="1"/>
  <c r="H5" i="5"/>
  <c r="I89" i="5"/>
  <c r="I91" i="5" s="1"/>
  <c r="I7" i="5" s="1"/>
  <c r="G89" i="5"/>
  <c r="G91" i="5" s="1"/>
  <c r="Y249" i="5" s="1"/>
  <c r="F5" i="5"/>
  <c r="H89" i="5"/>
  <c r="H91" i="5" s="1"/>
  <c r="H7" i="5" s="1"/>
  <c r="AH68" i="5"/>
  <c r="D5" i="5"/>
  <c r="E89" i="5"/>
  <c r="E91" i="5" s="1"/>
  <c r="W249" i="5" s="1"/>
  <c r="D89" i="5"/>
  <c r="D91" i="5" s="1"/>
  <c r="D7" i="5" s="1"/>
  <c r="AH54" i="5"/>
  <c r="AH50" i="5"/>
  <c r="C89" i="5"/>
  <c r="C91" i="5" s="1"/>
  <c r="C92" i="5" s="1"/>
  <c r="B5" i="5"/>
  <c r="AF5" i="5"/>
  <c r="AI54" i="5"/>
  <c r="D246" i="5"/>
  <c r="X7" i="5"/>
  <c r="X92" i="5"/>
  <c r="AF92" i="5"/>
  <c r="AX249" i="5"/>
  <c r="AG89" i="5"/>
  <c r="AG91" i="5"/>
  <c r="J232" i="5"/>
  <c r="K232" i="5" s="1"/>
  <c r="L232" i="5" s="1"/>
  <c r="M232" i="5" s="1"/>
  <c r="N232" i="5" s="1"/>
  <c r="O232" i="5" s="1"/>
  <c r="P232" i="5" s="1"/>
  <c r="AE7" i="5"/>
  <c r="AE92" i="5"/>
  <c r="G5" i="5"/>
  <c r="O5" i="5"/>
  <c r="W5" i="5"/>
  <c r="AE5" i="5"/>
  <c r="AI68" i="5"/>
  <c r="E234" i="5"/>
  <c r="AH84" i="5"/>
  <c r="V89" i="5"/>
  <c r="V91" i="5" s="1"/>
  <c r="F89" i="5"/>
  <c r="F91" i="5" s="1"/>
  <c r="N89" i="5"/>
  <c r="N91" i="5" s="1"/>
  <c r="I5" i="5"/>
  <c r="Q5" i="5"/>
  <c r="Y5" i="5"/>
  <c r="AI84" i="5"/>
  <c r="E229" i="5"/>
  <c r="AI50" i="5"/>
  <c r="AG2" i="5"/>
  <c r="AG6" i="5" s="1"/>
  <c r="C5" i="5"/>
  <c r="K5" i="5"/>
  <c r="S5" i="5"/>
  <c r="AA5" i="5"/>
  <c r="B89" i="5"/>
  <c r="AI72" i="5"/>
  <c r="E5" i="5"/>
  <c r="M5" i="5"/>
  <c r="U5" i="5"/>
  <c r="AC5" i="5"/>
  <c r="AD7" i="5" l="1"/>
  <c r="AV249" i="5"/>
  <c r="AC92" i="5"/>
  <c r="AT249" i="5"/>
  <c r="AB92" i="5"/>
  <c r="AS249" i="5"/>
  <c r="AA92" i="5"/>
  <c r="AR249" i="5"/>
  <c r="Z92" i="5"/>
  <c r="Y7" i="5"/>
  <c r="W92" i="5"/>
  <c r="AO249" i="5"/>
  <c r="AM249" i="5"/>
  <c r="U92" i="5"/>
  <c r="T7" i="5"/>
  <c r="AL249" i="5"/>
  <c r="S7" i="5"/>
  <c r="S92" i="5"/>
  <c r="AI249" i="5"/>
  <c r="Q92" i="5"/>
  <c r="R7" i="5"/>
  <c r="AJ249" i="5"/>
  <c r="P92" i="5"/>
  <c r="AH249" i="5"/>
  <c r="AQ249" i="5"/>
  <c r="AC7" i="5"/>
  <c r="AH100" i="5"/>
  <c r="O92" i="5"/>
  <c r="O7" i="5"/>
  <c r="AI100" i="5"/>
  <c r="AB249" i="5"/>
  <c r="J7" i="5"/>
  <c r="AC249" i="5"/>
  <c r="K92" i="5"/>
  <c r="M7" i="5"/>
  <c r="AE249" i="5"/>
  <c r="V249" i="5"/>
  <c r="L7" i="5"/>
  <c r="AD249" i="5"/>
  <c r="AA249" i="5"/>
  <c r="I92" i="5"/>
  <c r="G92" i="5"/>
  <c r="G7" i="5"/>
  <c r="H92" i="5"/>
  <c r="Z249" i="5"/>
  <c r="E92" i="5"/>
  <c r="E7" i="5"/>
  <c r="C7" i="5"/>
  <c r="D92" i="5"/>
  <c r="U249" i="5"/>
  <c r="AF249" i="5"/>
  <c r="N7" i="5"/>
  <c r="N92" i="5"/>
  <c r="B244" i="5"/>
  <c r="X249" i="5"/>
  <c r="F7" i="5"/>
  <c r="F92" i="5"/>
  <c r="C244" i="5"/>
  <c r="D270" i="5"/>
  <c r="F234" i="5"/>
  <c r="F229" i="5"/>
  <c r="E110" i="5"/>
  <c r="E235" i="5"/>
  <c r="AN249" i="5"/>
  <c r="V7" i="5"/>
  <c r="V92" i="5"/>
  <c r="AI89" i="5"/>
  <c r="AH89" i="5"/>
  <c r="B91" i="5"/>
  <c r="AA113" i="4"/>
  <c r="AA110" i="4"/>
  <c r="AA99" i="4"/>
  <c r="AA88" i="4"/>
  <c r="AA84" i="4"/>
  <c r="AA100" i="4" s="1"/>
  <c r="AA72" i="4"/>
  <c r="AA68" i="4"/>
  <c r="AA54" i="4"/>
  <c r="AA50" i="4"/>
  <c r="Z113" i="4"/>
  <c r="Z72" i="4"/>
  <c r="Y113" i="4"/>
  <c r="X113" i="4"/>
  <c r="W113" i="4"/>
  <c r="V113" i="4"/>
  <c r="U113" i="4"/>
  <c r="T113" i="4"/>
  <c r="S113" i="4"/>
  <c r="K6" i="5" l="1"/>
  <c r="B7" i="5"/>
  <c r="A7" i="5" s="1"/>
  <c r="B92" i="5"/>
  <c r="AI91" i="5"/>
  <c r="AH91" i="5"/>
  <c r="T249" i="5"/>
  <c r="E270" i="5"/>
  <c r="G234" i="5"/>
  <c r="G229" i="5"/>
  <c r="F110" i="5"/>
  <c r="F235" i="5"/>
  <c r="AA89" i="4"/>
  <c r="AA91" i="4" s="1"/>
  <c r="AA92" i="4" s="1"/>
  <c r="AA109" i="4" s="1"/>
  <c r="AI92" i="5" l="1"/>
  <c r="AH92" i="5"/>
  <c r="H229" i="5"/>
  <c r="G110" i="5"/>
  <c r="G235" i="5"/>
  <c r="F270" i="5"/>
  <c r="H234" i="5"/>
  <c r="I229" i="5" l="1"/>
  <c r="H110" i="5"/>
  <c r="H235" i="5"/>
  <c r="G270" i="5"/>
  <c r="I234" i="5"/>
  <c r="H270" i="5" l="1"/>
  <c r="J234" i="5"/>
  <c r="I110" i="5"/>
  <c r="J229" i="5"/>
  <c r="J110" i="5" l="1"/>
  <c r="K229" i="5"/>
  <c r="K234" i="5"/>
  <c r="I270" i="5"/>
  <c r="J270" i="5" l="1"/>
  <c r="L234" i="5"/>
  <c r="K110" i="5"/>
  <c r="L229" i="5"/>
  <c r="M229" i="5" l="1"/>
  <c r="L110" i="5"/>
  <c r="K270" i="5"/>
  <c r="M234" i="5"/>
  <c r="L270" i="5" l="1"/>
  <c r="N234" i="5"/>
  <c r="N229" i="5"/>
  <c r="M110" i="5"/>
  <c r="O229" i="5" l="1"/>
  <c r="N110" i="5"/>
  <c r="M270" i="5"/>
  <c r="O234" i="5"/>
  <c r="N270" i="5" l="1"/>
  <c r="P234" i="5"/>
  <c r="O270" i="5" s="1"/>
  <c r="P229" i="5"/>
  <c r="O110" i="5"/>
  <c r="AH110" i="5" l="1"/>
  <c r="AI110" i="5"/>
  <c r="B84" i="4" l="1"/>
  <c r="B100" i="4" s="1"/>
  <c r="B72" i="4"/>
  <c r="B68" i="4"/>
  <c r="B54" i="4"/>
  <c r="B50" i="4"/>
  <c r="AF274" i="4"/>
  <c r="AE274" i="4"/>
  <c r="AD274" i="4"/>
  <c r="AC274" i="4"/>
  <c r="AB274" i="4"/>
  <c r="AA274" i="4"/>
  <c r="Z274" i="4"/>
  <c r="Y274" i="4"/>
  <c r="X274" i="4"/>
  <c r="W274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A274" i="4"/>
  <c r="AF273" i="4"/>
  <c r="AE273" i="4"/>
  <c r="AD273" i="4"/>
  <c r="AC273" i="4"/>
  <c r="AB273" i="4"/>
  <c r="AA273" i="4"/>
  <c r="Z273" i="4"/>
  <c r="Y273" i="4"/>
  <c r="X273" i="4"/>
  <c r="W273" i="4"/>
  <c r="V273" i="4"/>
  <c r="U273" i="4"/>
  <c r="T273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A273" i="4"/>
  <c r="AF272" i="4"/>
  <c r="AE272" i="4"/>
  <c r="AD272" i="4"/>
  <c r="AC272" i="4"/>
  <c r="AB272" i="4"/>
  <c r="AA272" i="4"/>
  <c r="Z272" i="4"/>
  <c r="Y272" i="4"/>
  <c r="X272" i="4"/>
  <c r="W272" i="4"/>
  <c r="V272" i="4"/>
  <c r="U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A272" i="4"/>
  <c r="AF271" i="4"/>
  <c r="AE271" i="4"/>
  <c r="AD271" i="4"/>
  <c r="AC271" i="4"/>
  <c r="AB271" i="4"/>
  <c r="AA271" i="4"/>
  <c r="Z271" i="4"/>
  <c r="Y271" i="4"/>
  <c r="X271" i="4"/>
  <c r="W271" i="4"/>
  <c r="V271" i="4"/>
  <c r="U271" i="4"/>
  <c r="T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A271" i="4"/>
  <c r="AE270" i="4"/>
  <c r="AD270" i="4"/>
  <c r="AC270" i="4"/>
  <c r="AB270" i="4"/>
  <c r="AA270" i="4"/>
  <c r="Z270" i="4"/>
  <c r="Y270" i="4"/>
  <c r="X270" i="4"/>
  <c r="W270" i="4"/>
  <c r="V270" i="4"/>
  <c r="U270" i="4"/>
  <c r="T270" i="4"/>
  <c r="S270" i="4"/>
  <c r="R270" i="4"/>
  <c r="Q270" i="4"/>
  <c r="P270" i="4"/>
  <c r="B270" i="4"/>
  <c r="S245" i="4"/>
  <c r="AG235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C235" i="4"/>
  <c r="D234" i="4"/>
  <c r="B234" i="4"/>
  <c r="AF270" i="4" s="1"/>
  <c r="D233" i="4"/>
  <c r="E233" i="4" s="1"/>
  <c r="F233" i="4" s="1"/>
  <c r="G233" i="4" s="1"/>
  <c r="H233" i="4" s="1"/>
  <c r="I233" i="4" s="1"/>
  <c r="J233" i="4" s="1"/>
  <c r="K233" i="4" s="1"/>
  <c r="L233" i="4" s="1"/>
  <c r="M233" i="4" s="1"/>
  <c r="N233" i="4" s="1"/>
  <c r="O233" i="4" s="1"/>
  <c r="P233" i="4" s="1"/>
  <c r="B233" i="4"/>
  <c r="D232" i="4"/>
  <c r="E232" i="4" s="1"/>
  <c r="F232" i="4" s="1"/>
  <c r="G232" i="4" s="1"/>
  <c r="H232" i="4" s="1"/>
  <c r="I232" i="4" s="1"/>
  <c r="B232" i="4"/>
  <c r="D231" i="4"/>
  <c r="E231" i="4" s="1"/>
  <c r="F231" i="4" s="1"/>
  <c r="G231" i="4" s="1"/>
  <c r="H231" i="4" s="1"/>
  <c r="B231" i="4"/>
  <c r="D230" i="4"/>
  <c r="B230" i="4"/>
  <c r="E229" i="4"/>
  <c r="F229" i="4" s="1"/>
  <c r="G229" i="4" s="1"/>
  <c r="H229" i="4" s="1"/>
  <c r="D229" i="4"/>
  <c r="B229" i="4"/>
  <c r="B110" i="4" s="1"/>
  <c r="AG227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AI120" i="4"/>
  <c r="AH120" i="4"/>
  <c r="AI119" i="4"/>
  <c r="AH119" i="4"/>
  <c r="AI118" i="4"/>
  <c r="AH118" i="4"/>
  <c r="AI117" i="4"/>
  <c r="AH117" i="4"/>
  <c r="AI116" i="4"/>
  <c r="AH116" i="4"/>
  <c r="AI115" i="4"/>
  <c r="AH115" i="4"/>
  <c r="AI114" i="4"/>
  <c r="AH114" i="4"/>
  <c r="AI113" i="4"/>
  <c r="AH113" i="4"/>
  <c r="AI112" i="4"/>
  <c r="AH112" i="4"/>
  <c r="AI111" i="4"/>
  <c r="AH111" i="4"/>
  <c r="AF110" i="4"/>
  <c r="AE110" i="4"/>
  <c r="AC110" i="4"/>
  <c r="AB110" i="4"/>
  <c r="Z110" i="4"/>
  <c r="Y110" i="4"/>
  <c r="X110" i="4"/>
  <c r="W110" i="4"/>
  <c r="V110" i="4"/>
  <c r="U110" i="4"/>
  <c r="T110" i="4"/>
  <c r="S110" i="4"/>
  <c r="R110" i="4"/>
  <c r="Q110" i="4"/>
  <c r="C110" i="4"/>
  <c r="AI109" i="4"/>
  <c r="AH109" i="4"/>
  <c r="AI108" i="4"/>
  <c r="AH108" i="4"/>
  <c r="AI107" i="4"/>
  <c r="AH107" i="4"/>
  <c r="AI106" i="4"/>
  <c r="AH106" i="4"/>
  <c r="AI105" i="4"/>
  <c r="AH105" i="4"/>
  <c r="AI104" i="4"/>
  <c r="AH104" i="4"/>
  <c r="AI103" i="4"/>
  <c r="AH103" i="4"/>
  <c r="AI102" i="4"/>
  <c r="AH102" i="4"/>
  <c r="AI101" i="4"/>
  <c r="AH101" i="4"/>
  <c r="AI99" i="4"/>
  <c r="AH99" i="4"/>
  <c r="AI98" i="4"/>
  <c r="AH98" i="4"/>
  <c r="AI97" i="4"/>
  <c r="AH97" i="4"/>
  <c r="AI96" i="4"/>
  <c r="AH96" i="4"/>
  <c r="AI95" i="4"/>
  <c r="AH95" i="4"/>
  <c r="AI94" i="4"/>
  <c r="AH94" i="4"/>
  <c r="AI93" i="4"/>
  <c r="AH93" i="4"/>
  <c r="AI90" i="4"/>
  <c r="AH90" i="4"/>
  <c r="AI88" i="4"/>
  <c r="AH88" i="4"/>
  <c r="AG88" i="4"/>
  <c r="AI87" i="4"/>
  <c r="AH87" i="4"/>
  <c r="AI86" i="4"/>
  <c r="AH86" i="4"/>
  <c r="AI85" i="4"/>
  <c r="AH85" i="4"/>
  <c r="AN84" i="4"/>
  <c r="AG84" i="4"/>
  <c r="AF84" i="4"/>
  <c r="AE84" i="4"/>
  <c r="AE100" i="4" s="1"/>
  <c r="AD84" i="4"/>
  <c r="AD100" i="4" s="1"/>
  <c r="AC84" i="4"/>
  <c r="AC100" i="4" s="1"/>
  <c r="AB84" i="4"/>
  <c r="AB100" i="4" s="1"/>
  <c r="Z84" i="4"/>
  <c r="Z100" i="4" s="1"/>
  <c r="Y84" i="4"/>
  <c r="Y100" i="4" s="1"/>
  <c r="X84" i="4"/>
  <c r="W84" i="4"/>
  <c r="V5" i="4" s="1"/>
  <c r="V84" i="4"/>
  <c r="U5" i="4" s="1"/>
  <c r="U84" i="4"/>
  <c r="U100" i="4" s="1"/>
  <c r="T84" i="4"/>
  <c r="T100" i="4" s="1"/>
  <c r="S84" i="4"/>
  <c r="S100" i="4" s="1"/>
  <c r="R84" i="4"/>
  <c r="R100" i="4" s="1"/>
  <c r="Q84" i="4"/>
  <c r="Q100" i="4" s="1"/>
  <c r="P84" i="4"/>
  <c r="O84" i="4"/>
  <c r="N5" i="4" s="1"/>
  <c r="N84" i="4"/>
  <c r="M5" i="4" s="1"/>
  <c r="M84" i="4"/>
  <c r="M100" i="4" s="1"/>
  <c r="L84" i="4"/>
  <c r="L100" i="4" s="1"/>
  <c r="K84" i="4"/>
  <c r="K100" i="4" s="1"/>
  <c r="J84" i="4"/>
  <c r="J100" i="4" s="1"/>
  <c r="I84" i="4"/>
  <c r="I100" i="4" s="1"/>
  <c r="H84" i="4"/>
  <c r="G84" i="4"/>
  <c r="F5" i="4" s="1"/>
  <c r="F84" i="4"/>
  <c r="F100" i="4" s="1"/>
  <c r="E84" i="4"/>
  <c r="E100" i="4" s="1"/>
  <c r="D84" i="4"/>
  <c r="D100" i="4" s="1"/>
  <c r="C84" i="4"/>
  <c r="C100" i="4" s="1"/>
  <c r="AI83" i="4"/>
  <c r="AH83" i="4"/>
  <c r="AN82" i="4"/>
  <c r="AI82" i="4"/>
  <c r="AH82" i="4"/>
  <c r="AN81" i="4"/>
  <c r="AN83" i="4" s="1"/>
  <c r="AI81" i="4"/>
  <c r="AH81" i="4"/>
  <c r="AI80" i="4"/>
  <c r="AH80" i="4"/>
  <c r="AI79" i="4"/>
  <c r="AH79" i="4"/>
  <c r="AI78" i="4"/>
  <c r="AH78" i="4"/>
  <c r="AI77" i="4"/>
  <c r="AH77" i="4"/>
  <c r="AI76" i="4"/>
  <c r="AH76" i="4"/>
  <c r="AI75" i="4"/>
  <c r="AH75" i="4"/>
  <c r="AI74" i="4"/>
  <c r="AH74" i="4"/>
  <c r="AI73" i="4"/>
  <c r="AH73" i="4"/>
  <c r="AG72" i="4"/>
  <c r="AF72" i="4"/>
  <c r="AE72" i="4"/>
  <c r="AD72" i="4"/>
  <c r="AC72" i="4"/>
  <c r="AB72" i="4"/>
  <c r="Y72" i="4"/>
  <c r="X72" i="4"/>
  <c r="V72" i="4"/>
  <c r="U72" i="4"/>
  <c r="T72" i="4"/>
  <c r="R72" i="4"/>
  <c r="Q72" i="4"/>
  <c r="P72" i="4"/>
  <c r="O72" i="4"/>
  <c r="N72" i="4"/>
  <c r="M72" i="4"/>
  <c r="L72" i="4"/>
  <c r="AI71" i="4"/>
  <c r="AH71" i="4"/>
  <c r="AI70" i="4"/>
  <c r="AH70" i="4"/>
  <c r="AI69" i="4"/>
  <c r="AH69" i="4"/>
  <c r="AF68" i="4"/>
  <c r="AE68" i="4"/>
  <c r="AD68" i="4"/>
  <c r="AC68" i="4"/>
  <c r="AB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AI67" i="4"/>
  <c r="AH67" i="4"/>
  <c r="AG67" i="4"/>
  <c r="AG68" i="4" s="1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I56" i="4"/>
  <c r="AH56" i="4"/>
  <c r="AI55" i="4"/>
  <c r="AH55" i="4"/>
  <c r="AG54" i="4"/>
  <c r="AF54" i="4"/>
  <c r="AE54" i="4"/>
  <c r="AD54" i="4"/>
  <c r="AC54" i="4"/>
  <c r="AB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AI53" i="4"/>
  <c r="AH53" i="4"/>
  <c r="AI52" i="4"/>
  <c r="AH52" i="4"/>
  <c r="AI51" i="4"/>
  <c r="AH51" i="4"/>
  <c r="AG50" i="4"/>
  <c r="AG2" i="4" s="1"/>
  <c r="AE50" i="4"/>
  <c r="AD50" i="4"/>
  <c r="AC50" i="4"/>
  <c r="AB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Z5" i="4"/>
  <c r="K5" i="4"/>
  <c r="AG4" i="4"/>
  <c r="K4" i="4"/>
  <c r="E4" i="4"/>
  <c r="H4" i="4" s="1"/>
  <c r="AA84" i="3"/>
  <c r="AB84" i="3"/>
  <c r="AC84" i="3"/>
  <c r="AD84" i="3"/>
  <c r="AE84" i="3"/>
  <c r="AA110" i="3"/>
  <c r="AA99" i="3"/>
  <c r="AA88" i="3"/>
  <c r="AA100" i="3"/>
  <c r="AA72" i="3"/>
  <c r="AA68" i="3"/>
  <c r="AA54" i="3"/>
  <c r="AA50" i="3"/>
  <c r="AD5" i="4" l="1"/>
  <c r="AC5" i="4"/>
  <c r="AB89" i="4"/>
  <c r="AB91" i="4" s="1"/>
  <c r="AB92" i="4" s="1"/>
  <c r="Y5" i="4"/>
  <c r="AA5" i="4"/>
  <c r="Z89" i="4"/>
  <c r="Z91" i="4" s="1"/>
  <c r="Z92" i="4" s="1"/>
  <c r="AF89" i="4"/>
  <c r="AF91" i="4" s="1"/>
  <c r="AF7" i="4" s="1"/>
  <c r="AC89" i="4"/>
  <c r="AC91" i="4" s="1"/>
  <c r="AU249" i="4" s="1"/>
  <c r="AD89" i="4"/>
  <c r="AD91" i="4" s="1"/>
  <c r="AD92" i="4" s="1"/>
  <c r="Y89" i="4"/>
  <c r="Y91" i="4" s="1"/>
  <c r="Y92" i="4" s="1"/>
  <c r="W100" i="4"/>
  <c r="V100" i="4"/>
  <c r="V89" i="4"/>
  <c r="V91" i="4" s="1"/>
  <c r="V92" i="4" s="1"/>
  <c r="U89" i="4"/>
  <c r="U91" i="4" s="1"/>
  <c r="U92" i="4" s="1"/>
  <c r="S5" i="4"/>
  <c r="T89" i="4"/>
  <c r="T91" i="4" s="1"/>
  <c r="T7" i="4" s="1"/>
  <c r="R5" i="4"/>
  <c r="Q5" i="4"/>
  <c r="AI72" i="4"/>
  <c r="R89" i="4"/>
  <c r="R91" i="4" s="1"/>
  <c r="R7" i="4" s="1"/>
  <c r="Q89" i="4"/>
  <c r="Q91" i="4" s="1"/>
  <c r="Q7" i="4" s="1"/>
  <c r="O100" i="4"/>
  <c r="N100" i="4"/>
  <c r="N89" i="4"/>
  <c r="N91" i="4" s="1"/>
  <c r="N92" i="4" s="1"/>
  <c r="AH72" i="4"/>
  <c r="M89" i="4"/>
  <c r="M91" i="4" s="1"/>
  <c r="M7" i="4" s="1"/>
  <c r="L89" i="4"/>
  <c r="L91" i="4" s="1"/>
  <c r="AD249" i="4" s="1"/>
  <c r="I5" i="4"/>
  <c r="J5" i="4"/>
  <c r="K89" i="4"/>
  <c r="K91" i="4" s="1"/>
  <c r="AC249" i="4" s="1"/>
  <c r="J89" i="4"/>
  <c r="J91" i="4" s="1"/>
  <c r="J92" i="4" s="1"/>
  <c r="I89" i="4"/>
  <c r="I91" i="4" s="1"/>
  <c r="I7" i="4" s="1"/>
  <c r="H89" i="4"/>
  <c r="H91" i="4" s="1"/>
  <c r="H7" i="4" s="1"/>
  <c r="G100" i="4"/>
  <c r="E5" i="4"/>
  <c r="F89" i="4"/>
  <c r="F91" i="4" s="1"/>
  <c r="F92" i="4" s="1"/>
  <c r="AI54" i="4"/>
  <c r="E89" i="4"/>
  <c r="E91" i="4" s="1"/>
  <c r="E92" i="4" s="1"/>
  <c r="C5" i="4"/>
  <c r="D89" i="4"/>
  <c r="D91" i="4" s="1"/>
  <c r="V249" i="4" s="1"/>
  <c r="AI68" i="4"/>
  <c r="B5" i="4"/>
  <c r="AH68" i="4"/>
  <c r="C89" i="4"/>
  <c r="C91" i="4" s="1"/>
  <c r="C7" i="4" s="1"/>
  <c r="B89" i="4"/>
  <c r="B91" i="4" s="1"/>
  <c r="B92" i="4" s="1"/>
  <c r="AF5" i="4"/>
  <c r="P100" i="4"/>
  <c r="O5" i="4"/>
  <c r="C270" i="4"/>
  <c r="E234" i="4"/>
  <c r="W5" i="4"/>
  <c r="X100" i="4"/>
  <c r="J232" i="4"/>
  <c r="K232" i="4" s="1"/>
  <c r="L232" i="4" s="1"/>
  <c r="M232" i="4" s="1"/>
  <c r="N232" i="4" s="1"/>
  <c r="O232" i="4" s="1"/>
  <c r="P232" i="4" s="1"/>
  <c r="X89" i="4"/>
  <c r="X91" i="4" s="1"/>
  <c r="AE5" i="4"/>
  <c r="AF100" i="4"/>
  <c r="AG91" i="4"/>
  <c r="D235" i="4"/>
  <c r="E230" i="4"/>
  <c r="I229" i="4"/>
  <c r="P89" i="4"/>
  <c r="P91" i="4" s="1"/>
  <c r="AG3" i="4"/>
  <c r="AG6" i="4" s="1"/>
  <c r="AG89" i="4"/>
  <c r="G5" i="4"/>
  <c r="H100" i="4"/>
  <c r="S89" i="4"/>
  <c r="S91" i="4" s="1"/>
  <c r="D246" i="4"/>
  <c r="S246" i="4"/>
  <c r="K7" i="4"/>
  <c r="F7" i="4"/>
  <c r="L92" i="4"/>
  <c r="G89" i="4"/>
  <c r="G91" i="4" s="1"/>
  <c r="O89" i="4"/>
  <c r="O91" i="4" s="1"/>
  <c r="W89" i="4"/>
  <c r="W91" i="4" s="1"/>
  <c r="AE89" i="4"/>
  <c r="AE91" i="4" s="1"/>
  <c r="D110" i="4"/>
  <c r="H5" i="4"/>
  <c r="P5" i="4"/>
  <c r="X5" i="4"/>
  <c r="AH84" i="4"/>
  <c r="AH50" i="4"/>
  <c r="AH54" i="4"/>
  <c r="AI84" i="4"/>
  <c r="AI50" i="4"/>
  <c r="B235" i="4"/>
  <c r="D5" i="4"/>
  <c r="L5" i="4"/>
  <c r="T5" i="4"/>
  <c r="AB5" i="4"/>
  <c r="AA89" i="3"/>
  <c r="AA91" i="3" s="1"/>
  <c r="AA92" i="3" s="1"/>
  <c r="AA109" i="3" s="1"/>
  <c r="AB249" i="4" l="1"/>
  <c r="AF92" i="4"/>
  <c r="AX249" i="4"/>
  <c r="AV249" i="4"/>
  <c r="AD7" i="4"/>
  <c r="AT249" i="4"/>
  <c r="AB7" i="4"/>
  <c r="AC92" i="4"/>
  <c r="AC7" i="4"/>
  <c r="Z7" i="4"/>
  <c r="AR249" i="4"/>
  <c r="Y7" i="4"/>
  <c r="AQ249" i="4"/>
  <c r="X249" i="4"/>
  <c r="V7" i="4"/>
  <c r="AN249" i="4"/>
  <c r="U7" i="4"/>
  <c r="AM249" i="4"/>
  <c r="AL249" i="4"/>
  <c r="T92" i="4"/>
  <c r="Q92" i="4"/>
  <c r="AJ249" i="4"/>
  <c r="R92" i="4"/>
  <c r="AI249" i="4"/>
  <c r="AF249" i="4"/>
  <c r="AE249" i="4"/>
  <c r="M92" i="4"/>
  <c r="N7" i="4"/>
  <c r="L7" i="4"/>
  <c r="K92" i="4"/>
  <c r="J7" i="4"/>
  <c r="AA249" i="4"/>
  <c r="I92" i="4"/>
  <c r="Z249" i="4"/>
  <c r="H92" i="4"/>
  <c r="E7" i="4"/>
  <c r="AH100" i="4"/>
  <c r="W249" i="4"/>
  <c r="D7" i="4"/>
  <c r="D92" i="4"/>
  <c r="U249" i="4"/>
  <c r="C92" i="4"/>
  <c r="AW249" i="4"/>
  <c r="AE7" i="4"/>
  <c r="AE92" i="4"/>
  <c r="AI100" i="4"/>
  <c r="AO249" i="4"/>
  <c r="W7" i="4"/>
  <c r="W92" i="4"/>
  <c r="AH249" i="4"/>
  <c r="P7" i="4"/>
  <c r="P92" i="4"/>
  <c r="E235" i="4"/>
  <c r="F230" i="4"/>
  <c r="D270" i="4"/>
  <c r="F234" i="4"/>
  <c r="E110" i="4"/>
  <c r="AG249" i="4"/>
  <c r="O7" i="4"/>
  <c r="O92" i="4"/>
  <c r="AI89" i="4"/>
  <c r="AH89" i="4"/>
  <c r="AS249" i="4"/>
  <c r="AA7" i="4"/>
  <c r="X7" i="4"/>
  <c r="X92" i="4"/>
  <c r="AP249" i="4"/>
  <c r="Y249" i="4"/>
  <c r="C244" i="4"/>
  <c r="B244" i="4"/>
  <c r="G7" i="4"/>
  <c r="G92" i="4"/>
  <c r="S92" i="4"/>
  <c r="AK249" i="4"/>
  <c r="S7" i="4"/>
  <c r="J229" i="4"/>
  <c r="K229" i="4" l="1"/>
  <c r="K6" i="4"/>
  <c r="E270" i="4"/>
  <c r="G234" i="4"/>
  <c r="F110" i="4"/>
  <c r="B7" i="4"/>
  <c r="A7" i="4" s="1"/>
  <c r="AI91" i="4"/>
  <c r="T249" i="4"/>
  <c r="AH91" i="4"/>
  <c r="G230" i="4"/>
  <c r="F235" i="4"/>
  <c r="F270" i="4" l="1"/>
  <c r="H234" i="4"/>
  <c r="G110" i="4"/>
  <c r="H230" i="4"/>
  <c r="G235" i="4"/>
  <c r="L229" i="4"/>
  <c r="AI92" i="4"/>
  <c r="AH92" i="4"/>
  <c r="G270" i="4" l="1"/>
  <c r="I234" i="4"/>
  <c r="H110" i="4"/>
  <c r="I230" i="4"/>
  <c r="H235" i="4"/>
  <c r="M229" i="4"/>
  <c r="N229" i="4" l="1"/>
  <c r="J230" i="4"/>
  <c r="H270" i="4"/>
  <c r="J234" i="4"/>
  <c r="I110" i="4"/>
  <c r="K234" i="4" l="1"/>
  <c r="I270" i="4"/>
  <c r="J110" i="4"/>
  <c r="K230" i="4"/>
  <c r="O229" i="4"/>
  <c r="P229" i="4" l="1"/>
  <c r="L230" i="4"/>
  <c r="J270" i="4"/>
  <c r="L234" i="4"/>
  <c r="K110" i="4"/>
  <c r="K270" i="4" l="1"/>
  <c r="M234" i="4"/>
  <c r="L110" i="4"/>
  <c r="M230" i="4"/>
  <c r="N230" i="4" l="1"/>
  <c r="L270" i="4"/>
  <c r="N234" i="4"/>
  <c r="M110" i="4"/>
  <c r="M270" i="4" l="1"/>
  <c r="O234" i="4"/>
  <c r="N110" i="4"/>
  <c r="O230" i="4"/>
  <c r="P230" i="4" l="1"/>
  <c r="N270" i="4"/>
  <c r="P234" i="4"/>
  <c r="O270" i="4" s="1"/>
  <c r="O110" i="4"/>
  <c r="AI110" i="4" l="1"/>
  <c r="AH110" i="4"/>
  <c r="Z50" i="3" l="1"/>
  <c r="T113" i="3"/>
  <c r="S75" i="3"/>
  <c r="R50" i="3"/>
  <c r="R54" i="3"/>
  <c r="Q49" i="3"/>
  <c r="P49" i="3"/>
  <c r="O49" i="3"/>
  <c r="N49" i="3"/>
  <c r="M49" i="3"/>
  <c r="L49" i="3"/>
  <c r="AI105" i="3"/>
  <c r="B72" i="3"/>
  <c r="C72" i="3"/>
  <c r="D72" i="3"/>
  <c r="E72" i="3"/>
  <c r="F72" i="3"/>
  <c r="G72" i="3"/>
  <c r="H72" i="3"/>
  <c r="I72" i="3"/>
  <c r="J72" i="3"/>
  <c r="K72" i="3"/>
  <c r="AF274" i="3"/>
  <c r="AE274" i="3"/>
  <c r="AD274" i="3"/>
  <c r="AC274" i="3"/>
  <c r="AB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A274" i="3"/>
  <c r="AF273" i="3"/>
  <c r="AE273" i="3"/>
  <c r="AD273" i="3"/>
  <c r="AC273" i="3"/>
  <c r="AB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A273" i="3"/>
  <c r="AF272" i="3"/>
  <c r="AE272" i="3"/>
  <c r="AD272" i="3"/>
  <c r="AC272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A272" i="3"/>
  <c r="AF271" i="3"/>
  <c r="AE271" i="3"/>
  <c r="AD271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A271" i="3"/>
  <c r="AE270" i="3"/>
  <c r="AD270" i="3"/>
  <c r="AC270" i="3"/>
  <c r="AB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B270" i="3"/>
  <c r="S24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C235" i="3"/>
  <c r="D234" i="3"/>
  <c r="C270" i="3" s="1"/>
  <c r="B234" i="3"/>
  <c r="AF270" i="3" s="1"/>
  <c r="F233" i="3"/>
  <c r="G233" i="3" s="1"/>
  <c r="H233" i="3" s="1"/>
  <c r="I233" i="3" s="1"/>
  <c r="J233" i="3" s="1"/>
  <c r="K233" i="3" s="1"/>
  <c r="L233" i="3" s="1"/>
  <c r="M233" i="3" s="1"/>
  <c r="N233" i="3" s="1"/>
  <c r="O233" i="3" s="1"/>
  <c r="P233" i="3" s="1"/>
  <c r="E233" i="3"/>
  <c r="D233" i="3"/>
  <c r="B233" i="3"/>
  <c r="D232" i="3"/>
  <c r="E232" i="3" s="1"/>
  <c r="F232" i="3" s="1"/>
  <c r="G232" i="3" s="1"/>
  <c r="H232" i="3" s="1"/>
  <c r="I232" i="3" s="1"/>
  <c r="B232" i="3"/>
  <c r="F231" i="3"/>
  <c r="G231" i="3" s="1"/>
  <c r="H231" i="3" s="1"/>
  <c r="E231" i="3"/>
  <c r="D231" i="3"/>
  <c r="B231" i="3"/>
  <c r="D230" i="3"/>
  <c r="D235" i="3" s="1"/>
  <c r="B230" i="3"/>
  <c r="F229" i="3"/>
  <c r="G229" i="3" s="1"/>
  <c r="E229" i="3"/>
  <c r="D229" i="3"/>
  <c r="B229" i="3"/>
  <c r="B235" i="3" s="1"/>
  <c r="AG227" i="3"/>
  <c r="AF227" i="3"/>
  <c r="AE227" i="3"/>
  <c r="AD227" i="3"/>
  <c r="AC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AI120" i="3"/>
  <c r="AH120" i="3"/>
  <c r="AI119" i="3"/>
  <c r="AH119" i="3"/>
  <c r="AI118" i="3"/>
  <c r="AH118" i="3"/>
  <c r="AI117" i="3"/>
  <c r="AH117" i="3"/>
  <c r="AI116" i="3"/>
  <c r="AH116" i="3"/>
  <c r="AI115" i="3"/>
  <c r="AH115" i="3"/>
  <c r="AI114" i="3"/>
  <c r="AH114" i="3"/>
  <c r="AI113" i="3"/>
  <c r="AH113" i="3"/>
  <c r="AI112" i="3"/>
  <c r="AH112" i="3"/>
  <c r="AI111" i="3"/>
  <c r="AH111" i="3"/>
  <c r="AF110" i="3"/>
  <c r="AE110" i="3"/>
  <c r="AC110" i="3"/>
  <c r="AB110" i="3"/>
  <c r="Z110" i="3"/>
  <c r="Y110" i="3"/>
  <c r="X110" i="3"/>
  <c r="W110" i="3"/>
  <c r="V110" i="3"/>
  <c r="U110" i="3"/>
  <c r="T110" i="3"/>
  <c r="S110" i="3"/>
  <c r="R110" i="3"/>
  <c r="Q110" i="3"/>
  <c r="D110" i="3"/>
  <c r="C110" i="3"/>
  <c r="B110" i="3"/>
  <c r="AI109" i="3"/>
  <c r="AH109" i="3"/>
  <c r="AI108" i="3"/>
  <c r="AH108" i="3"/>
  <c r="AI107" i="3"/>
  <c r="AH107" i="3"/>
  <c r="AI106" i="3"/>
  <c r="AH106" i="3"/>
  <c r="AH105" i="3"/>
  <c r="AI104" i="3"/>
  <c r="AH104" i="3"/>
  <c r="AI103" i="3"/>
  <c r="AH103" i="3"/>
  <c r="AI102" i="3"/>
  <c r="AH102" i="3"/>
  <c r="AI101" i="3"/>
  <c r="AH101" i="3"/>
  <c r="AE100" i="3"/>
  <c r="O100" i="3"/>
  <c r="AI99" i="3"/>
  <c r="AH99" i="3"/>
  <c r="AI98" i="3"/>
  <c r="AH98" i="3"/>
  <c r="AI97" i="3"/>
  <c r="AH97" i="3"/>
  <c r="AI96" i="3"/>
  <c r="AH96" i="3"/>
  <c r="AI95" i="3"/>
  <c r="AH95" i="3"/>
  <c r="AI94" i="3"/>
  <c r="AH94" i="3"/>
  <c r="AI93" i="3"/>
  <c r="AH93" i="3"/>
  <c r="AI90" i="3"/>
  <c r="AH90" i="3"/>
  <c r="AI88" i="3"/>
  <c r="AH88" i="3"/>
  <c r="AG88" i="3"/>
  <c r="AI87" i="3"/>
  <c r="AH87" i="3"/>
  <c r="AI86" i="3"/>
  <c r="AH86" i="3"/>
  <c r="AI85" i="3"/>
  <c r="AH85" i="3"/>
  <c r="AN84" i="3"/>
  <c r="AG84" i="3"/>
  <c r="AF84" i="3"/>
  <c r="AD100" i="3"/>
  <c r="AC100" i="3"/>
  <c r="AB100" i="3"/>
  <c r="Z84" i="3"/>
  <c r="Z100" i="3" s="1"/>
  <c r="Y84" i="3"/>
  <c r="Y100" i="3" s="1"/>
  <c r="X84" i="3"/>
  <c r="W84" i="3"/>
  <c r="V5" i="3" s="1"/>
  <c r="V84" i="3"/>
  <c r="V100" i="3" s="1"/>
  <c r="U84" i="3"/>
  <c r="U100" i="3" s="1"/>
  <c r="T84" i="3"/>
  <c r="T100" i="3" s="1"/>
  <c r="S84" i="3"/>
  <c r="S100" i="3" s="1"/>
  <c r="R84" i="3"/>
  <c r="R100" i="3" s="1"/>
  <c r="Q84" i="3"/>
  <c r="Q100" i="3" s="1"/>
  <c r="P84" i="3"/>
  <c r="O84" i="3"/>
  <c r="N84" i="3"/>
  <c r="N100" i="3" s="1"/>
  <c r="M84" i="3"/>
  <c r="M100" i="3" s="1"/>
  <c r="L84" i="3"/>
  <c r="L100" i="3" s="1"/>
  <c r="K84" i="3"/>
  <c r="K100" i="3" s="1"/>
  <c r="J84" i="3"/>
  <c r="J100" i="3" s="1"/>
  <c r="I84" i="3"/>
  <c r="I100" i="3" s="1"/>
  <c r="H84" i="3"/>
  <c r="G84" i="3"/>
  <c r="G100" i="3" s="1"/>
  <c r="F84" i="3"/>
  <c r="F100" i="3" s="1"/>
  <c r="E84" i="3"/>
  <c r="E100" i="3" s="1"/>
  <c r="D84" i="3"/>
  <c r="D100" i="3" s="1"/>
  <c r="C84" i="3"/>
  <c r="C100" i="3" s="1"/>
  <c r="B84" i="3"/>
  <c r="B100" i="3" s="1"/>
  <c r="AI83" i="3"/>
  <c r="AH83" i="3"/>
  <c r="AN82" i="3"/>
  <c r="AI82" i="3"/>
  <c r="AH82" i="3"/>
  <c r="AN81" i="3"/>
  <c r="AN83" i="3" s="1"/>
  <c r="AI81" i="3"/>
  <c r="AH81" i="3"/>
  <c r="AI80" i="3"/>
  <c r="AH80" i="3"/>
  <c r="AI79" i="3"/>
  <c r="AH79" i="3"/>
  <c r="AI78" i="3"/>
  <c r="AH78" i="3"/>
  <c r="AI77" i="3"/>
  <c r="AH77" i="3"/>
  <c r="AI76" i="3"/>
  <c r="AH76" i="3"/>
  <c r="AI75" i="3"/>
  <c r="AH75" i="3"/>
  <c r="AI74" i="3"/>
  <c r="AH74" i="3"/>
  <c r="AI73" i="3"/>
  <c r="AH73" i="3"/>
  <c r="AG72" i="3"/>
  <c r="AF72" i="3"/>
  <c r="AE72" i="3"/>
  <c r="AD72" i="3"/>
  <c r="AC72" i="3"/>
  <c r="AB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AI71" i="3"/>
  <c r="AH71" i="3"/>
  <c r="AI70" i="3"/>
  <c r="AH70" i="3"/>
  <c r="AI69" i="3"/>
  <c r="AH69" i="3"/>
  <c r="AG68" i="3"/>
  <c r="AF68" i="3"/>
  <c r="AE68" i="3"/>
  <c r="AD68" i="3"/>
  <c r="AC68" i="3"/>
  <c r="AB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I67" i="3"/>
  <c r="AH67" i="3"/>
  <c r="AG67" i="3"/>
  <c r="AI66" i="3"/>
  <c r="AH66" i="3"/>
  <c r="AI65" i="3"/>
  <c r="AH65" i="3"/>
  <c r="AI64" i="3"/>
  <c r="AH64" i="3"/>
  <c r="AI63" i="3"/>
  <c r="AH63" i="3"/>
  <c r="AI62" i="3"/>
  <c r="AH62" i="3"/>
  <c r="AI61" i="3"/>
  <c r="AH61" i="3"/>
  <c r="AI60" i="3"/>
  <c r="AH60" i="3"/>
  <c r="AI59" i="3"/>
  <c r="AH59" i="3"/>
  <c r="AI58" i="3"/>
  <c r="AH58" i="3"/>
  <c r="AI57" i="3"/>
  <c r="AH57" i="3"/>
  <c r="AI56" i="3"/>
  <c r="AH56" i="3"/>
  <c r="AI55" i="3"/>
  <c r="AH55" i="3"/>
  <c r="AG54" i="3"/>
  <c r="AF54" i="3"/>
  <c r="AE54" i="3"/>
  <c r="AD54" i="3"/>
  <c r="AC54" i="3"/>
  <c r="AB54" i="3"/>
  <c r="Z54" i="3"/>
  <c r="Y54" i="3"/>
  <c r="X54" i="3"/>
  <c r="W54" i="3"/>
  <c r="V54" i="3"/>
  <c r="U54" i="3"/>
  <c r="T54" i="3"/>
  <c r="S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I53" i="3"/>
  <c r="AH53" i="3"/>
  <c r="AI52" i="3"/>
  <c r="AH52" i="3"/>
  <c r="AI51" i="3"/>
  <c r="AH51" i="3"/>
  <c r="AG50" i="3"/>
  <c r="AG89" i="3" s="1"/>
  <c r="AF50" i="3"/>
  <c r="AE50" i="3"/>
  <c r="AE89" i="3" s="1"/>
  <c r="AE91" i="3" s="1"/>
  <c r="AD50" i="3"/>
  <c r="AD89" i="3" s="1"/>
  <c r="AD91" i="3" s="1"/>
  <c r="AC50" i="3"/>
  <c r="AB50" i="3"/>
  <c r="Y50" i="3"/>
  <c r="X50" i="3"/>
  <c r="W50" i="3"/>
  <c r="V50" i="3"/>
  <c r="U50" i="3"/>
  <c r="T50" i="3"/>
  <c r="S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I49" i="3"/>
  <c r="AH49" i="3"/>
  <c r="AI48" i="3"/>
  <c r="AH48" i="3"/>
  <c r="AI47" i="3"/>
  <c r="AH47" i="3"/>
  <c r="AI46" i="3"/>
  <c r="AH46" i="3"/>
  <c r="AI45" i="3"/>
  <c r="AH45" i="3"/>
  <c r="AI44" i="3"/>
  <c r="AH44" i="3"/>
  <c r="AI43" i="3"/>
  <c r="AH43" i="3"/>
  <c r="AI42" i="3"/>
  <c r="AH42" i="3"/>
  <c r="AI41" i="3"/>
  <c r="AH41" i="3"/>
  <c r="AI40" i="3"/>
  <c r="AH40" i="3"/>
  <c r="AI39" i="3"/>
  <c r="AH39" i="3"/>
  <c r="AI38" i="3"/>
  <c r="AH38" i="3"/>
  <c r="AI37" i="3"/>
  <c r="AH37" i="3"/>
  <c r="AI36" i="3"/>
  <c r="AH36" i="3"/>
  <c r="AI35" i="3"/>
  <c r="AH35" i="3"/>
  <c r="AI34" i="3"/>
  <c r="AH34" i="3"/>
  <c r="AI33" i="3"/>
  <c r="AH33" i="3"/>
  <c r="AI32" i="3"/>
  <c r="AH32" i="3"/>
  <c r="AI31" i="3"/>
  <c r="AH31" i="3"/>
  <c r="AI30" i="3"/>
  <c r="AH30" i="3"/>
  <c r="AI29" i="3"/>
  <c r="AH29" i="3"/>
  <c r="AI28" i="3"/>
  <c r="AH28" i="3"/>
  <c r="AI27" i="3"/>
  <c r="AH27" i="3"/>
  <c r="AI26" i="3"/>
  <c r="AH26" i="3"/>
  <c r="AI25" i="3"/>
  <c r="AH25" i="3"/>
  <c r="AI24" i="3"/>
  <c r="AH24" i="3"/>
  <c r="AI23" i="3"/>
  <c r="AH23" i="3"/>
  <c r="AI22" i="3"/>
  <c r="AH22" i="3"/>
  <c r="AI21" i="3"/>
  <c r="AH21" i="3"/>
  <c r="AI20" i="3"/>
  <c r="AH20" i="3"/>
  <c r="AI19" i="3"/>
  <c r="AH19" i="3"/>
  <c r="AI18" i="3"/>
  <c r="AH18" i="3"/>
  <c r="AI17" i="3"/>
  <c r="AH17" i="3"/>
  <c r="AI16" i="3"/>
  <c r="AH16" i="3"/>
  <c r="AI15" i="3"/>
  <c r="AH15" i="3"/>
  <c r="AI14" i="3"/>
  <c r="AH14" i="3"/>
  <c r="AI13" i="3"/>
  <c r="AH13" i="3"/>
  <c r="AI12" i="3"/>
  <c r="AI11" i="3"/>
  <c r="AH11" i="3"/>
  <c r="AF5" i="3"/>
  <c r="AD5" i="3"/>
  <c r="AC5" i="3"/>
  <c r="Z5" i="3"/>
  <c r="X5" i="3"/>
  <c r="N5" i="3"/>
  <c r="AG4" i="3"/>
  <c r="K4" i="3"/>
  <c r="E4" i="3"/>
  <c r="H4" i="3" s="1"/>
  <c r="S246" i="3"/>
  <c r="AG3" i="3"/>
  <c r="AG6" i="3" s="1"/>
  <c r="AG2" i="3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273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271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B270" i="2"/>
  <c r="S245" i="2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C235" i="2"/>
  <c r="E234" i="2"/>
  <c r="D234" i="2"/>
  <c r="C270" i="2" s="1"/>
  <c r="B234" i="2"/>
  <c r="AF270" i="2" s="1"/>
  <c r="K233" i="2"/>
  <c r="L233" i="2" s="1"/>
  <c r="M233" i="2" s="1"/>
  <c r="N233" i="2" s="1"/>
  <c r="O233" i="2" s="1"/>
  <c r="P233" i="2" s="1"/>
  <c r="E233" i="2"/>
  <c r="F233" i="2" s="1"/>
  <c r="G233" i="2" s="1"/>
  <c r="H233" i="2" s="1"/>
  <c r="I233" i="2" s="1"/>
  <c r="J233" i="2" s="1"/>
  <c r="D233" i="2"/>
  <c r="B233" i="2"/>
  <c r="F232" i="2"/>
  <c r="G232" i="2" s="1"/>
  <c r="H232" i="2" s="1"/>
  <c r="I232" i="2" s="1"/>
  <c r="E232" i="2"/>
  <c r="D232" i="2"/>
  <c r="B232" i="2"/>
  <c r="D231" i="2"/>
  <c r="D235" i="2" s="1"/>
  <c r="B231" i="2"/>
  <c r="M230" i="2"/>
  <c r="N230" i="2" s="1"/>
  <c r="O230" i="2" s="1"/>
  <c r="P230" i="2" s="1"/>
  <c r="E230" i="2"/>
  <c r="F230" i="2" s="1"/>
  <c r="G230" i="2" s="1"/>
  <c r="H230" i="2" s="1"/>
  <c r="I230" i="2" s="1"/>
  <c r="J230" i="2" s="1"/>
  <c r="K230" i="2" s="1"/>
  <c r="L230" i="2" s="1"/>
  <c r="D230" i="2"/>
  <c r="B230" i="2"/>
  <c r="E229" i="2"/>
  <c r="F229" i="2" s="1"/>
  <c r="D229" i="2"/>
  <c r="B229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I120" i="2"/>
  <c r="AH120" i="2"/>
  <c r="AI119" i="2"/>
  <c r="AH119" i="2"/>
  <c r="AI118" i="2"/>
  <c r="AH118" i="2"/>
  <c r="AI117" i="2"/>
  <c r="AH117" i="2"/>
  <c r="AI116" i="2"/>
  <c r="AH116" i="2"/>
  <c r="AI115" i="2"/>
  <c r="AH115" i="2"/>
  <c r="AI114" i="2"/>
  <c r="AH114" i="2"/>
  <c r="AI113" i="2"/>
  <c r="AH113" i="2"/>
  <c r="AI112" i="2"/>
  <c r="AH112" i="2"/>
  <c r="AI111" i="2"/>
  <c r="AH111" i="2"/>
  <c r="AF110" i="2"/>
  <c r="AE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E110" i="2"/>
  <c r="D110" i="2"/>
  <c r="C110" i="2"/>
  <c r="AI109" i="2"/>
  <c r="AH109" i="2"/>
  <c r="AI108" i="2"/>
  <c r="AH108" i="2"/>
  <c r="AI107" i="2"/>
  <c r="AH107" i="2"/>
  <c r="AI106" i="2"/>
  <c r="AH106" i="2"/>
  <c r="AI105" i="2"/>
  <c r="AH105" i="2"/>
  <c r="AI104" i="2"/>
  <c r="AH104" i="2"/>
  <c r="AI103" i="2"/>
  <c r="AH103" i="2"/>
  <c r="AI102" i="2"/>
  <c r="AH102" i="2"/>
  <c r="AI101" i="2"/>
  <c r="AH101" i="2"/>
  <c r="AF100" i="2"/>
  <c r="X100" i="2"/>
  <c r="P100" i="2"/>
  <c r="H100" i="2"/>
  <c r="AI99" i="2"/>
  <c r="AH99" i="2"/>
  <c r="AI98" i="2"/>
  <c r="AH98" i="2"/>
  <c r="AI97" i="2"/>
  <c r="AH97" i="2"/>
  <c r="AI96" i="2"/>
  <c r="AH96" i="2"/>
  <c r="AI95" i="2"/>
  <c r="AH95" i="2"/>
  <c r="AI94" i="2"/>
  <c r="AH94" i="2"/>
  <c r="AI93" i="2"/>
  <c r="AH93" i="2"/>
  <c r="Y91" i="2"/>
  <c r="AI90" i="2"/>
  <c r="AH90" i="2"/>
  <c r="AC89" i="2"/>
  <c r="AC91" i="2" s="1"/>
  <c r="U89" i="2"/>
  <c r="U91" i="2" s="1"/>
  <c r="M89" i="2"/>
  <c r="M91" i="2" s="1"/>
  <c r="E89" i="2"/>
  <c r="E91" i="2" s="1"/>
  <c r="E7" i="2" s="1"/>
  <c r="AI88" i="2"/>
  <c r="AH88" i="2"/>
  <c r="AG88" i="2"/>
  <c r="AI87" i="2"/>
  <c r="AH87" i="2"/>
  <c r="AI86" i="2"/>
  <c r="AH86" i="2"/>
  <c r="AI85" i="2"/>
  <c r="AH85" i="2"/>
  <c r="AN84" i="2"/>
  <c r="AG84" i="2"/>
  <c r="AG91" i="2" s="1"/>
  <c r="AF84" i="2"/>
  <c r="AE84" i="2"/>
  <c r="AE100" i="2" s="1"/>
  <c r="AD84" i="2"/>
  <c r="AD100" i="2" s="1"/>
  <c r="AC84" i="2"/>
  <c r="AC100" i="2" s="1"/>
  <c r="AB84" i="2"/>
  <c r="AB100" i="2" s="1"/>
  <c r="AA84" i="2"/>
  <c r="AA100" i="2" s="1"/>
  <c r="Z84" i="2"/>
  <c r="Z100" i="2" s="1"/>
  <c r="Y84" i="2"/>
  <c r="X84" i="2"/>
  <c r="W84" i="2"/>
  <c r="W100" i="2" s="1"/>
  <c r="V84" i="2"/>
  <c r="V100" i="2" s="1"/>
  <c r="U84" i="2"/>
  <c r="U100" i="2" s="1"/>
  <c r="T84" i="2"/>
  <c r="T100" i="2" s="1"/>
  <c r="S84" i="2"/>
  <c r="S100" i="2" s="1"/>
  <c r="R84" i="2"/>
  <c r="R100" i="2" s="1"/>
  <c r="Q84" i="2"/>
  <c r="P84" i="2"/>
  <c r="O84" i="2"/>
  <c r="O100" i="2" s="1"/>
  <c r="N84" i="2"/>
  <c r="N100" i="2" s="1"/>
  <c r="M84" i="2"/>
  <c r="M100" i="2" s="1"/>
  <c r="L84" i="2"/>
  <c r="L100" i="2" s="1"/>
  <c r="K84" i="2"/>
  <c r="K100" i="2" s="1"/>
  <c r="J84" i="2"/>
  <c r="J100" i="2" s="1"/>
  <c r="I84" i="2"/>
  <c r="H84" i="2"/>
  <c r="G84" i="2"/>
  <c r="G100" i="2" s="1"/>
  <c r="F84" i="2"/>
  <c r="F100" i="2" s="1"/>
  <c r="E84" i="2"/>
  <c r="E100" i="2" s="1"/>
  <c r="D84" i="2"/>
  <c r="D100" i="2" s="1"/>
  <c r="C84" i="2"/>
  <c r="C100" i="2" s="1"/>
  <c r="B84" i="2"/>
  <c r="B100" i="2" s="1"/>
  <c r="AN83" i="2"/>
  <c r="AI83" i="2"/>
  <c r="AH83" i="2"/>
  <c r="AN82" i="2"/>
  <c r="AI82" i="2"/>
  <c r="AH82" i="2"/>
  <c r="AN81" i="2"/>
  <c r="AI81" i="2"/>
  <c r="AH81" i="2"/>
  <c r="AI80" i="2"/>
  <c r="AH80" i="2"/>
  <c r="AI79" i="2"/>
  <c r="AH79" i="2"/>
  <c r="AI78" i="2"/>
  <c r="AH78" i="2"/>
  <c r="AI77" i="2"/>
  <c r="AH77" i="2"/>
  <c r="AI76" i="2"/>
  <c r="AH76" i="2"/>
  <c r="AI75" i="2"/>
  <c r="AH75" i="2"/>
  <c r="AI74" i="2"/>
  <c r="AH74" i="2"/>
  <c r="AI73" i="2"/>
  <c r="AH73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B72" i="2"/>
  <c r="AI71" i="2"/>
  <c r="AH71" i="2"/>
  <c r="AI70" i="2"/>
  <c r="AH70" i="2"/>
  <c r="AI69" i="2"/>
  <c r="AH69" i="2"/>
  <c r="AI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H68" i="2" s="1"/>
  <c r="AI67" i="2"/>
  <c r="AH67" i="2"/>
  <c r="AG67" i="2"/>
  <c r="AG68" i="2" s="1"/>
  <c r="AG3" i="2" s="1"/>
  <c r="AI66" i="2"/>
  <c r="AH66" i="2"/>
  <c r="AI65" i="2"/>
  <c r="AH65" i="2"/>
  <c r="AI64" i="2"/>
  <c r="AH64" i="2"/>
  <c r="AI63" i="2"/>
  <c r="AH63" i="2"/>
  <c r="AI62" i="2"/>
  <c r="AH62" i="2"/>
  <c r="AI61" i="2"/>
  <c r="AH61" i="2"/>
  <c r="AI60" i="2"/>
  <c r="AH60" i="2"/>
  <c r="AI59" i="2"/>
  <c r="AH59" i="2"/>
  <c r="AI58" i="2"/>
  <c r="AH58" i="2"/>
  <c r="AI57" i="2"/>
  <c r="AH57" i="2"/>
  <c r="AI56" i="2"/>
  <c r="AH56" i="2"/>
  <c r="AI55" i="2"/>
  <c r="AH55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I53" i="2"/>
  <c r="AH53" i="2"/>
  <c r="AI52" i="2"/>
  <c r="AH52" i="2"/>
  <c r="AI51" i="2"/>
  <c r="AH51" i="2"/>
  <c r="AG50" i="2"/>
  <c r="AF50" i="2"/>
  <c r="AE50" i="2"/>
  <c r="AE89" i="2" s="1"/>
  <c r="AE91" i="2" s="1"/>
  <c r="AE92" i="2" s="1"/>
  <c r="AD50" i="2"/>
  <c r="AD89" i="2" s="1"/>
  <c r="AD91" i="2" s="1"/>
  <c r="AC50" i="2"/>
  <c r="AB50" i="2"/>
  <c r="AA50" i="2"/>
  <c r="AA89" i="2" s="1"/>
  <c r="AA91" i="2" s="1"/>
  <c r="Z50" i="2"/>
  <c r="Z89" i="2" s="1"/>
  <c r="Z91" i="2" s="1"/>
  <c r="Y50" i="2"/>
  <c r="Y89" i="2" s="1"/>
  <c r="X50" i="2"/>
  <c r="W50" i="2"/>
  <c r="W89" i="2" s="1"/>
  <c r="W91" i="2" s="1"/>
  <c r="V50" i="2"/>
  <c r="V89" i="2" s="1"/>
  <c r="V91" i="2" s="1"/>
  <c r="U50" i="2"/>
  <c r="T50" i="2"/>
  <c r="S50" i="2"/>
  <c r="S89" i="2" s="1"/>
  <c r="S91" i="2" s="1"/>
  <c r="R50" i="2"/>
  <c r="R89" i="2" s="1"/>
  <c r="R91" i="2" s="1"/>
  <c r="Q50" i="2"/>
  <c r="Q89" i="2" s="1"/>
  <c r="Q91" i="2" s="1"/>
  <c r="P50" i="2"/>
  <c r="O50" i="2"/>
  <c r="O89" i="2" s="1"/>
  <c r="O91" i="2" s="1"/>
  <c r="N50" i="2"/>
  <c r="N89" i="2" s="1"/>
  <c r="N91" i="2" s="1"/>
  <c r="M50" i="2"/>
  <c r="L50" i="2"/>
  <c r="K50" i="2"/>
  <c r="K89" i="2" s="1"/>
  <c r="K91" i="2" s="1"/>
  <c r="J50" i="2"/>
  <c r="J89" i="2" s="1"/>
  <c r="J91" i="2" s="1"/>
  <c r="I50" i="2"/>
  <c r="I89" i="2" s="1"/>
  <c r="I91" i="2" s="1"/>
  <c r="H50" i="2"/>
  <c r="G50" i="2"/>
  <c r="G89" i="2" s="1"/>
  <c r="G91" i="2" s="1"/>
  <c r="F50" i="2"/>
  <c r="F89" i="2" s="1"/>
  <c r="F91" i="2" s="1"/>
  <c r="E50" i="2"/>
  <c r="D50" i="2"/>
  <c r="D89" i="2" s="1"/>
  <c r="D91" i="2" s="1"/>
  <c r="C50" i="2"/>
  <c r="C89" i="2" s="1"/>
  <c r="C91" i="2" s="1"/>
  <c r="B50" i="2"/>
  <c r="B89" i="2" s="1"/>
  <c r="AI49" i="2"/>
  <c r="AH49" i="2"/>
  <c r="AI48" i="2"/>
  <c r="AH48" i="2"/>
  <c r="AI47" i="2"/>
  <c r="AH47" i="2"/>
  <c r="AI46" i="2"/>
  <c r="AH46" i="2"/>
  <c r="AI45" i="2"/>
  <c r="AH45" i="2"/>
  <c r="AI44" i="2"/>
  <c r="AH44" i="2"/>
  <c r="AI43" i="2"/>
  <c r="AH43" i="2"/>
  <c r="AI42" i="2"/>
  <c r="AH42" i="2"/>
  <c r="AI41" i="2"/>
  <c r="AH41" i="2"/>
  <c r="AI40" i="2"/>
  <c r="AH40" i="2"/>
  <c r="AI39" i="2"/>
  <c r="AH39" i="2"/>
  <c r="AI38" i="2"/>
  <c r="AH38" i="2"/>
  <c r="AI37" i="2"/>
  <c r="AH37" i="2"/>
  <c r="AI36" i="2"/>
  <c r="AH36" i="2"/>
  <c r="AI35" i="2"/>
  <c r="AH35" i="2"/>
  <c r="AI34" i="2"/>
  <c r="AH34" i="2"/>
  <c r="AI33" i="2"/>
  <c r="AH33" i="2"/>
  <c r="AI32" i="2"/>
  <c r="AH32" i="2"/>
  <c r="AI31" i="2"/>
  <c r="AH31" i="2"/>
  <c r="AI30" i="2"/>
  <c r="AH30" i="2"/>
  <c r="AI29" i="2"/>
  <c r="AH29" i="2"/>
  <c r="AI28" i="2"/>
  <c r="AH28" i="2"/>
  <c r="AI27" i="2"/>
  <c r="AH27" i="2"/>
  <c r="AI26" i="2"/>
  <c r="AH26" i="2"/>
  <c r="AI25" i="2"/>
  <c r="AH25" i="2"/>
  <c r="AI24" i="2"/>
  <c r="AH24" i="2"/>
  <c r="AI23" i="2"/>
  <c r="AH23" i="2"/>
  <c r="AI22" i="2"/>
  <c r="AH22" i="2"/>
  <c r="AI21" i="2"/>
  <c r="AH21" i="2"/>
  <c r="AI20" i="2"/>
  <c r="AH20" i="2"/>
  <c r="AI19" i="2"/>
  <c r="AH19" i="2"/>
  <c r="AI18" i="2"/>
  <c r="AH18" i="2"/>
  <c r="AI17" i="2"/>
  <c r="AH17" i="2"/>
  <c r="AI16" i="2"/>
  <c r="AH16" i="2"/>
  <c r="AI15" i="2"/>
  <c r="AH15" i="2"/>
  <c r="AI14" i="2"/>
  <c r="AH14" i="2"/>
  <c r="AI13" i="2"/>
  <c r="AH13" i="2"/>
  <c r="AI12" i="2"/>
  <c r="AH12" i="2"/>
  <c r="AI11" i="2"/>
  <c r="AH11" i="2"/>
  <c r="AC7" i="2"/>
  <c r="U7" i="2"/>
  <c r="M7" i="2"/>
  <c r="AF5" i="2"/>
  <c r="AE5" i="2"/>
  <c r="AD5" i="2"/>
  <c r="AC5" i="2"/>
  <c r="AB5" i="2"/>
  <c r="AA5" i="2"/>
  <c r="Z5" i="2"/>
  <c r="Y5" i="2"/>
  <c r="W5" i="2"/>
  <c r="V5" i="2"/>
  <c r="U5" i="2"/>
  <c r="T5" i="2"/>
  <c r="S5" i="2"/>
  <c r="R5" i="2"/>
  <c r="Q5" i="2"/>
  <c r="O5" i="2"/>
  <c r="N5" i="2"/>
  <c r="M5" i="2"/>
  <c r="L5" i="2"/>
  <c r="K5" i="2"/>
  <c r="J5" i="2"/>
  <c r="I5" i="2"/>
  <c r="G5" i="2"/>
  <c r="F5" i="2"/>
  <c r="E5" i="2"/>
  <c r="D5" i="2"/>
  <c r="C5" i="2"/>
  <c r="B5" i="2"/>
  <c r="AG4" i="2"/>
  <c r="K4" i="2"/>
  <c r="E4" i="2"/>
  <c r="H4" i="2" s="1"/>
  <c r="D246" i="2"/>
  <c r="AG2" i="2"/>
  <c r="AG6" i="2" s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B270" i="1"/>
  <c r="V249" i="1"/>
  <c r="S245" i="1"/>
  <c r="AG235" i="1"/>
  <c r="AG67" i="1" s="1"/>
  <c r="AG68" i="1" s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C235" i="1"/>
  <c r="D234" i="1"/>
  <c r="C270" i="1" s="1"/>
  <c r="B234" i="1"/>
  <c r="AF270" i="1" s="1"/>
  <c r="N233" i="1"/>
  <c r="O233" i="1" s="1"/>
  <c r="P233" i="1" s="1"/>
  <c r="F233" i="1"/>
  <c r="G233" i="1" s="1"/>
  <c r="H233" i="1" s="1"/>
  <c r="I233" i="1" s="1"/>
  <c r="J233" i="1" s="1"/>
  <c r="K233" i="1" s="1"/>
  <c r="L233" i="1" s="1"/>
  <c r="M233" i="1" s="1"/>
  <c r="E233" i="1"/>
  <c r="D233" i="1"/>
  <c r="B233" i="1"/>
  <c r="D232" i="1"/>
  <c r="E232" i="1" s="1"/>
  <c r="F232" i="1" s="1"/>
  <c r="G232" i="1" s="1"/>
  <c r="H232" i="1" s="1"/>
  <c r="I232" i="1" s="1"/>
  <c r="B232" i="1"/>
  <c r="D231" i="1"/>
  <c r="E231" i="1" s="1"/>
  <c r="F231" i="1" s="1"/>
  <c r="G231" i="1" s="1"/>
  <c r="H231" i="1" s="1"/>
  <c r="B231" i="1"/>
  <c r="P230" i="1"/>
  <c r="H230" i="1"/>
  <c r="I230" i="1" s="1"/>
  <c r="J230" i="1" s="1"/>
  <c r="K230" i="1" s="1"/>
  <c r="L230" i="1" s="1"/>
  <c r="M230" i="1" s="1"/>
  <c r="N230" i="1" s="1"/>
  <c r="O230" i="1" s="1"/>
  <c r="E230" i="1"/>
  <c r="F230" i="1" s="1"/>
  <c r="G230" i="1" s="1"/>
  <c r="D230" i="1"/>
  <c r="D235" i="1" s="1"/>
  <c r="B230" i="1"/>
  <c r="F229" i="1"/>
  <c r="E229" i="1"/>
  <c r="D229" i="1"/>
  <c r="B229" i="1"/>
  <c r="B235" i="1" s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I120" i="1"/>
  <c r="AH120" i="1"/>
  <c r="AI119" i="1"/>
  <c r="AH119" i="1"/>
  <c r="AI118" i="1"/>
  <c r="AH118" i="1"/>
  <c r="AI117" i="1"/>
  <c r="AH117" i="1"/>
  <c r="AI116" i="1"/>
  <c r="AH116" i="1"/>
  <c r="AI115" i="1"/>
  <c r="AH115" i="1"/>
  <c r="AI114" i="1"/>
  <c r="AH114" i="1"/>
  <c r="AD113" i="1"/>
  <c r="AC113" i="1"/>
  <c r="AB113" i="1"/>
  <c r="AB110" i="1" s="1"/>
  <c r="D113" i="1"/>
  <c r="C113" i="1"/>
  <c r="C110" i="1" s="1"/>
  <c r="B113" i="1"/>
  <c r="AI112" i="1"/>
  <c r="AH112" i="1"/>
  <c r="AI111" i="1"/>
  <c r="AH111" i="1"/>
  <c r="AF110" i="1"/>
  <c r="AE110" i="1"/>
  <c r="AC110" i="1"/>
  <c r="AA110" i="1"/>
  <c r="Z110" i="1"/>
  <c r="Y110" i="1"/>
  <c r="X110" i="1"/>
  <c r="W110" i="1"/>
  <c r="V110" i="1"/>
  <c r="U110" i="1"/>
  <c r="T110" i="1"/>
  <c r="S110" i="1"/>
  <c r="R110" i="1"/>
  <c r="Q110" i="1"/>
  <c r="D110" i="1"/>
  <c r="B110" i="1"/>
  <c r="AI109" i="1"/>
  <c r="AH109" i="1"/>
  <c r="AI108" i="1"/>
  <c r="AH108" i="1"/>
  <c r="AI107" i="1"/>
  <c r="AH107" i="1"/>
  <c r="AI106" i="1"/>
  <c r="AH106" i="1"/>
  <c r="AI105" i="1"/>
  <c r="AH105" i="1"/>
  <c r="AI104" i="1"/>
  <c r="AH104" i="1"/>
  <c r="AI103" i="1"/>
  <c r="AH103" i="1"/>
  <c r="AI102" i="1"/>
  <c r="AH102" i="1"/>
  <c r="AI101" i="1"/>
  <c r="AH101" i="1"/>
  <c r="Q100" i="1"/>
  <c r="I100" i="1"/>
  <c r="AI99" i="1"/>
  <c r="AH99" i="1"/>
  <c r="AI98" i="1"/>
  <c r="AH98" i="1"/>
  <c r="AI97" i="1"/>
  <c r="AH97" i="1"/>
  <c r="AI96" i="1"/>
  <c r="AH96" i="1"/>
  <c r="AI95" i="1"/>
  <c r="AH95" i="1"/>
  <c r="AI94" i="1"/>
  <c r="AH94" i="1"/>
  <c r="AI93" i="1"/>
  <c r="AH93" i="1"/>
  <c r="AI90" i="1"/>
  <c r="AH90" i="1"/>
  <c r="V89" i="1"/>
  <c r="V91" i="1" s="1"/>
  <c r="AI88" i="1"/>
  <c r="AH88" i="1"/>
  <c r="AG88" i="1"/>
  <c r="AI87" i="1"/>
  <c r="AH87" i="1"/>
  <c r="AI86" i="1"/>
  <c r="AH86" i="1"/>
  <c r="AI85" i="1"/>
  <c r="AH85" i="1"/>
  <c r="AN84" i="1"/>
  <c r="AG84" i="1"/>
  <c r="AF84" i="1"/>
  <c r="AF100" i="1" s="1"/>
  <c r="AE84" i="1"/>
  <c r="AE100" i="1" s="1"/>
  <c r="AD84" i="1"/>
  <c r="AD100" i="1" s="1"/>
  <c r="AC84" i="1"/>
  <c r="AC100" i="1" s="1"/>
  <c r="AB84" i="1"/>
  <c r="AB100" i="1" s="1"/>
  <c r="AA84" i="1"/>
  <c r="AA100" i="1" s="1"/>
  <c r="Z84" i="1"/>
  <c r="Z100" i="1" s="1"/>
  <c r="Y84" i="1"/>
  <c r="Y100" i="1" s="1"/>
  <c r="X84" i="1"/>
  <c r="X100" i="1" s="1"/>
  <c r="W84" i="1"/>
  <c r="W100" i="1" s="1"/>
  <c r="V84" i="1"/>
  <c r="V100" i="1" s="1"/>
  <c r="U84" i="1"/>
  <c r="U100" i="1" s="1"/>
  <c r="T84" i="1"/>
  <c r="T100" i="1" s="1"/>
  <c r="S84" i="1"/>
  <c r="S100" i="1" s="1"/>
  <c r="R84" i="1"/>
  <c r="R100" i="1" s="1"/>
  <c r="Q84" i="1"/>
  <c r="P84" i="1"/>
  <c r="P100" i="1" s="1"/>
  <c r="O84" i="1"/>
  <c r="O100" i="1" s="1"/>
  <c r="N84" i="1"/>
  <c r="N100" i="1" s="1"/>
  <c r="M84" i="1"/>
  <c r="M100" i="1" s="1"/>
  <c r="L84" i="1"/>
  <c r="L100" i="1" s="1"/>
  <c r="K84" i="1"/>
  <c r="K100" i="1" s="1"/>
  <c r="J84" i="1"/>
  <c r="J100" i="1" s="1"/>
  <c r="I84" i="1"/>
  <c r="H84" i="1"/>
  <c r="H100" i="1" s="1"/>
  <c r="G84" i="1"/>
  <c r="G100" i="1" s="1"/>
  <c r="F84" i="1"/>
  <c r="F100" i="1" s="1"/>
  <c r="E84" i="1"/>
  <c r="E100" i="1" s="1"/>
  <c r="D84" i="1"/>
  <c r="D100" i="1" s="1"/>
  <c r="C84" i="1"/>
  <c r="C100" i="1" s="1"/>
  <c r="B84" i="1"/>
  <c r="AN83" i="1"/>
  <c r="AI83" i="1"/>
  <c r="AH83" i="1"/>
  <c r="AN82" i="1"/>
  <c r="AI82" i="1"/>
  <c r="AH82" i="1"/>
  <c r="AN81" i="1"/>
  <c r="AI81" i="1"/>
  <c r="AH81" i="1"/>
  <c r="AI80" i="1"/>
  <c r="AH80" i="1"/>
  <c r="AI79" i="1"/>
  <c r="AH79" i="1"/>
  <c r="AI78" i="1"/>
  <c r="AH78" i="1"/>
  <c r="AI77" i="1"/>
  <c r="AH77" i="1"/>
  <c r="AI76" i="1"/>
  <c r="AH76" i="1"/>
  <c r="AI75" i="1"/>
  <c r="AH75" i="1"/>
  <c r="AI74" i="1"/>
  <c r="AH74" i="1"/>
  <c r="AI73" i="1"/>
  <c r="AH73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AI72" i="1" s="1"/>
  <c r="C72" i="1"/>
  <c r="B72" i="1"/>
  <c r="AI71" i="1"/>
  <c r="AH71" i="1"/>
  <c r="AI70" i="1"/>
  <c r="AH70" i="1"/>
  <c r="AI69" i="1"/>
  <c r="AH69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AI68" i="1" s="1"/>
  <c r="B68" i="1"/>
  <c r="AH68" i="1" s="1"/>
  <c r="AK67" i="1"/>
  <c r="AI67" i="1"/>
  <c r="AH67" i="1"/>
  <c r="AI66" i="1"/>
  <c r="AH66" i="1"/>
  <c r="AI65" i="1"/>
  <c r="AH65" i="1"/>
  <c r="AI64" i="1"/>
  <c r="AH64" i="1"/>
  <c r="AI63" i="1"/>
  <c r="AH63" i="1"/>
  <c r="AI62" i="1"/>
  <c r="AH62" i="1"/>
  <c r="AI61" i="1"/>
  <c r="AH61" i="1"/>
  <c r="AI60" i="1"/>
  <c r="AH60" i="1"/>
  <c r="AI59" i="1"/>
  <c r="AH59" i="1"/>
  <c r="AI58" i="1"/>
  <c r="AH58" i="1"/>
  <c r="AI57" i="1"/>
  <c r="AH57" i="1"/>
  <c r="AI56" i="1"/>
  <c r="AH56" i="1"/>
  <c r="AI55" i="1"/>
  <c r="AH55" i="1"/>
  <c r="AK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I54" i="1" s="1"/>
  <c r="AI53" i="1"/>
  <c r="AH53" i="1"/>
  <c r="AI52" i="1"/>
  <c r="AH52" i="1"/>
  <c r="AI51" i="1"/>
  <c r="AH51" i="1"/>
  <c r="AG50" i="1"/>
  <c r="AG89" i="1" s="1"/>
  <c r="AF50" i="1"/>
  <c r="AF89" i="1" s="1"/>
  <c r="AF91" i="1" s="1"/>
  <c r="AX249" i="1" s="1"/>
  <c r="AE50" i="1"/>
  <c r="AE89" i="1" s="1"/>
  <c r="AE91" i="1" s="1"/>
  <c r="AD50" i="1"/>
  <c r="AD89" i="1" s="1"/>
  <c r="AD91" i="1" s="1"/>
  <c r="AC50" i="1"/>
  <c r="AC89" i="1" s="1"/>
  <c r="AC91" i="1" s="1"/>
  <c r="AC7" i="1" s="1"/>
  <c r="AB50" i="1"/>
  <c r="AA50" i="1"/>
  <c r="Z50" i="1"/>
  <c r="Y50" i="1"/>
  <c r="Y89" i="1" s="1"/>
  <c r="Y91" i="1" s="1"/>
  <c r="X50" i="1"/>
  <c r="X89" i="1" s="1"/>
  <c r="X91" i="1" s="1"/>
  <c r="AP249" i="1" s="1"/>
  <c r="W50" i="1"/>
  <c r="W89" i="1" s="1"/>
  <c r="W91" i="1" s="1"/>
  <c r="V50" i="1"/>
  <c r="U50" i="1"/>
  <c r="U89" i="1" s="1"/>
  <c r="U91" i="1" s="1"/>
  <c r="T50" i="1"/>
  <c r="S50" i="1"/>
  <c r="R50" i="1"/>
  <c r="Q50" i="1"/>
  <c r="Q89" i="1" s="1"/>
  <c r="Q91" i="1" s="1"/>
  <c r="P50" i="1"/>
  <c r="P89" i="1" s="1"/>
  <c r="P91" i="1" s="1"/>
  <c r="AH249" i="1" s="1"/>
  <c r="O50" i="1"/>
  <c r="O89" i="1" s="1"/>
  <c r="O91" i="1" s="1"/>
  <c r="N50" i="1"/>
  <c r="N89" i="1" s="1"/>
  <c r="N91" i="1" s="1"/>
  <c r="M50" i="1"/>
  <c r="M89" i="1" s="1"/>
  <c r="M91" i="1" s="1"/>
  <c r="M7" i="1" s="1"/>
  <c r="L50" i="1"/>
  <c r="K50" i="1"/>
  <c r="J50" i="1"/>
  <c r="I50" i="1"/>
  <c r="I89" i="1" s="1"/>
  <c r="I91" i="1" s="1"/>
  <c r="H50" i="1"/>
  <c r="H89" i="1" s="1"/>
  <c r="H91" i="1" s="1"/>
  <c r="Z249" i="1" s="1"/>
  <c r="G50" i="1"/>
  <c r="G89" i="1" s="1"/>
  <c r="G91" i="1" s="1"/>
  <c r="F50" i="1"/>
  <c r="F89" i="1" s="1"/>
  <c r="F91" i="1" s="1"/>
  <c r="E50" i="1"/>
  <c r="D50" i="1"/>
  <c r="D89" i="1" s="1"/>
  <c r="D91" i="1" s="1"/>
  <c r="D92" i="1" s="1"/>
  <c r="C50" i="1"/>
  <c r="B50" i="1"/>
  <c r="AK49" i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I42" i="1"/>
  <c r="AH42" i="1"/>
  <c r="AI41" i="1"/>
  <c r="AH41" i="1"/>
  <c r="AI40" i="1"/>
  <c r="AH40" i="1"/>
  <c r="AI39" i="1"/>
  <c r="AH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E7" i="1"/>
  <c r="W7" i="1"/>
  <c r="O7" i="1"/>
  <c r="G7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G4" i="1"/>
  <c r="K4" i="1"/>
  <c r="E4" i="1"/>
  <c r="H4" i="1" s="1"/>
  <c r="B4" i="1"/>
  <c r="AG3" i="1"/>
  <c r="AB5" i="3" l="1"/>
  <c r="AC89" i="3"/>
  <c r="AC91" i="3" s="1"/>
  <c r="AC92" i="3" s="1"/>
  <c r="AB89" i="3"/>
  <c r="AB91" i="3" s="1"/>
  <c r="AB92" i="3" s="1"/>
  <c r="Y5" i="3"/>
  <c r="Z89" i="3"/>
  <c r="Z91" i="3" s="1"/>
  <c r="Z7" i="3" s="1"/>
  <c r="Y89" i="3"/>
  <c r="Y91" i="3" s="1"/>
  <c r="AQ249" i="3" s="1"/>
  <c r="W100" i="3"/>
  <c r="W89" i="3"/>
  <c r="W91" i="3" s="1"/>
  <c r="AO249" i="3" s="1"/>
  <c r="V89" i="3"/>
  <c r="V91" i="3" s="1"/>
  <c r="U5" i="3"/>
  <c r="B89" i="3"/>
  <c r="X89" i="3"/>
  <c r="X91" i="3" s="1"/>
  <c r="AF89" i="3"/>
  <c r="AF91" i="3" s="1"/>
  <c r="AF7" i="3" s="1"/>
  <c r="AG91" i="3"/>
  <c r="T5" i="3"/>
  <c r="U89" i="3"/>
  <c r="U91" i="3" s="1"/>
  <c r="AM249" i="3" s="1"/>
  <c r="T89" i="3"/>
  <c r="T91" i="3" s="1"/>
  <c r="T92" i="3" s="1"/>
  <c r="R5" i="3"/>
  <c r="S89" i="3"/>
  <c r="S91" i="3" s="1"/>
  <c r="R89" i="3"/>
  <c r="R91" i="3" s="1"/>
  <c r="Q5" i="3"/>
  <c r="P5" i="3"/>
  <c r="Q89" i="3"/>
  <c r="Q91" i="3" s="1"/>
  <c r="P89" i="3"/>
  <c r="P91" i="3" s="1"/>
  <c r="O89" i="3"/>
  <c r="O91" i="3" s="1"/>
  <c r="AG249" i="3" s="1"/>
  <c r="M5" i="3"/>
  <c r="N89" i="3"/>
  <c r="N91" i="3" s="1"/>
  <c r="L5" i="3"/>
  <c r="M89" i="3"/>
  <c r="M91" i="3" s="1"/>
  <c r="M92" i="3" s="1"/>
  <c r="L89" i="3"/>
  <c r="L91" i="3" s="1"/>
  <c r="J5" i="3"/>
  <c r="K89" i="3"/>
  <c r="K91" i="3" s="1"/>
  <c r="K7" i="3" s="1"/>
  <c r="I5" i="3"/>
  <c r="J89" i="3"/>
  <c r="J91" i="3" s="1"/>
  <c r="J7" i="3" s="1"/>
  <c r="H5" i="3"/>
  <c r="F5" i="3"/>
  <c r="AH72" i="3"/>
  <c r="E5" i="3"/>
  <c r="G89" i="3"/>
  <c r="G91" i="3" s="1"/>
  <c r="Y249" i="3" s="1"/>
  <c r="H89" i="3"/>
  <c r="H91" i="3" s="1"/>
  <c r="Z249" i="3" s="1"/>
  <c r="I89" i="3"/>
  <c r="I91" i="3" s="1"/>
  <c r="I92" i="3" s="1"/>
  <c r="F89" i="3"/>
  <c r="F91" i="3" s="1"/>
  <c r="F92" i="3" s="1"/>
  <c r="D5" i="3"/>
  <c r="E89" i="3"/>
  <c r="E91" i="3" s="1"/>
  <c r="E92" i="3" s="1"/>
  <c r="D89" i="3"/>
  <c r="D91" i="3" s="1"/>
  <c r="D7" i="3" s="1"/>
  <c r="AI54" i="3"/>
  <c r="B5" i="3"/>
  <c r="C89" i="3"/>
  <c r="C91" i="3" s="1"/>
  <c r="U249" i="3" s="1"/>
  <c r="AH68" i="3"/>
  <c r="AH54" i="3"/>
  <c r="D246" i="3"/>
  <c r="X7" i="3"/>
  <c r="AP249" i="3"/>
  <c r="X92" i="3"/>
  <c r="U92" i="3"/>
  <c r="U7" i="3"/>
  <c r="AC7" i="3"/>
  <c r="AB7" i="3"/>
  <c r="AD92" i="3"/>
  <c r="AV249" i="3"/>
  <c r="AD7" i="3"/>
  <c r="AF92" i="3"/>
  <c r="AX249" i="3"/>
  <c r="W7" i="3"/>
  <c r="W92" i="3"/>
  <c r="AW249" i="3"/>
  <c r="AE7" i="3"/>
  <c r="AE92" i="3"/>
  <c r="J232" i="3"/>
  <c r="K232" i="3" s="1"/>
  <c r="L232" i="3" s="1"/>
  <c r="M232" i="3" s="1"/>
  <c r="N232" i="3" s="1"/>
  <c r="O232" i="3" s="1"/>
  <c r="P232" i="3" s="1"/>
  <c r="AN249" i="3"/>
  <c r="V7" i="3"/>
  <c r="V92" i="3"/>
  <c r="P7" i="3"/>
  <c r="P92" i="3"/>
  <c r="AH249" i="3"/>
  <c r="Q7" i="3"/>
  <c r="Q92" i="3"/>
  <c r="AI249" i="3"/>
  <c r="H229" i="3"/>
  <c r="B91" i="3"/>
  <c r="R7" i="3"/>
  <c r="R92" i="3"/>
  <c r="AJ249" i="3"/>
  <c r="AR249" i="3"/>
  <c r="AF249" i="3"/>
  <c r="N7" i="3"/>
  <c r="N92" i="3"/>
  <c r="Y7" i="3"/>
  <c r="Y92" i="3"/>
  <c r="S7" i="3"/>
  <c r="S92" i="3"/>
  <c r="AK249" i="3"/>
  <c r="AA7" i="3"/>
  <c r="AS249" i="3"/>
  <c r="L92" i="3"/>
  <c r="L7" i="3"/>
  <c r="AD249" i="3"/>
  <c r="AL249" i="3"/>
  <c r="AI72" i="3"/>
  <c r="G5" i="3"/>
  <c r="O5" i="3"/>
  <c r="W5" i="3"/>
  <c r="AE5" i="3"/>
  <c r="AI68" i="3"/>
  <c r="H100" i="3"/>
  <c r="P100" i="3"/>
  <c r="X100" i="3"/>
  <c r="AF100" i="3"/>
  <c r="E230" i="3"/>
  <c r="E234" i="3"/>
  <c r="AH84" i="3"/>
  <c r="AH50" i="3"/>
  <c r="AI84" i="3"/>
  <c r="AI50" i="3"/>
  <c r="C5" i="3"/>
  <c r="K5" i="3"/>
  <c r="S5" i="3"/>
  <c r="AA5" i="3"/>
  <c r="S246" i="2"/>
  <c r="J232" i="2"/>
  <c r="K232" i="2" s="1"/>
  <c r="L232" i="2" s="1"/>
  <c r="M232" i="2" s="1"/>
  <c r="N232" i="2" s="1"/>
  <c r="O232" i="2" s="1"/>
  <c r="P232" i="2" s="1"/>
  <c r="I7" i="2"/>
  <c r="I92" i="2"/>
  <c r="AA249" i="2"/>
  <c r="Q7" i="2"/>
  <c r="Q92" i="2"/>
  <c r="AI249" i="2"/>
  <c r="F92" i="1"/>
  <c r="X249" i="1"/>
  <c r="F7" i="1"/>
  <c r="AD92" i="1"/>
  <c r="AV249" i="1"/>
  <c r="AD7" i="1"/>
  <c r="N92" i="1"/>
  <c r="AF249" i="1"/>
  <c r="N7" i="1"/>
  <c r="U92" i="1"/>
  <c r="AM249" i="1"/>
  <c r="D7" i="1"/>
  <c r="AH72" i="1"/>
  <c r="H92" i="1"/>
  <c r="J232" i="1"/>
  <c r="K232" i="1" s="1"/>
  <c r="L232" i="1" s="1"/>
  <c r="M232" i="1" s="1"/>
  <c r="N232" i="1" s="1"/>
  <c r="O232" i="1" s="1"/>
  <c r="P232" i="1" s="1"/>
  <c r="H89" i="2"/>
  <c r="H91" i="2" s="1"/>
  <c r="P89" i="2"/>
  <c r="P91" i="2" s="1"/>
  <c r="X89" i="2"/>
  <c r="X91" i="2" s="1"/>
  <c r="AF89" i="2"/>
  <c r="AF91" i="2" s="1"/>
  <c r="AI54" i="2"/>
  <c r="I100" i="2"/>
  <c r="AH100" i="2" s="1"/>
  <c r="H5" i="2"/>
  <c r="Q100" i="2"/>
  <c r="P5" i="2"/>
  <c r="Y100" i="2"/>
  <c r="X5" i="2"/>
  <c r="AG249" i="2"/>
  <c r="O7" i="2"/>
  <c r="U7" i="1"/>
  <c r="Y249" i="1"/>
  <c r="G92" i="1"/>
  <c r="AG249" i="1"/>
  <c r="O92" i="1"/>
  <c r="AO249" i="1"/>
  <c r="W92" i="1"/>
  <c r="AW249" i="1"/>
  <c r="AE92" i="1"/>
  <c r="P92" i="1"/>
  <c r="AG89" i="2"/>
  <c r="AH72" i="2"/>
  <c r="AO249" i="2"/>
  <c r="W7" i="2"/>
  <c r="B100" i="1"/>
  <c r="AI84" i="1"/>
  <c r="AH84" i="1"/>
  <c r="AG91" i="1"/>
  <c r="X92" i="1"/>
  <c r="B91" i="2"/>
  <c r="J7" i="2"/>
  <c r="J92" i="2"/>
  <c r="AB249" i="2"/>
  <c r="R7" i="2"/>
  <c r="R92" i="2"/>
  <c r="AJ249" i="2"/>
  <c r="Z7" i="2"/>
  <c r="Z92" i="2"/>
  <c r="AR249" i="2"/>
  <c r="M92" i="1"/>
  <c r="AE249" i="1"/>
  <c r="V92" i="1"/>
  <c r="AN249" i="1"/>
  <c r="AW249" i="2"/>
  <c r="AE7" i="2"/>
  <c r="V7" i="1"/>
  <c r="AA249" i="1"/>
  <c r="I92" i="1"/>
  <c r="AF92" i="1"/>
  <c r="C7" i="2"/>
  <c r="C92" i="2"/>
  <c r="U249" i="2"/>
  <c r="K7" i="2"/>
  <c r="K92" i="2"/>
  <c r="AC249" i="2"/>
  <c r="S7" i="2"/>
  <c r="S92" i="2"/>
  <c r="AK249" i="2"/>
  <c r="AA7" i="2"/>
  <c r="AA92" i="2"/>
  <c r="AS249" i="2"/>
  <c r="E92" i="2"/>
  <c r="W249" i="2"/>
  <c r="Y7" i="2"/>
  <c r="Y92" i="2"/>
  <c r="D270" i="2"/>
  <c r="F234" i="2"/>
  <c r="AC92" i="1"/>
  <c r="AU249" i="1"/>
  <c r="Y249" i="2"/>
  <c r="G7" i="2"/>
  <c r="W92" i="2"/>
  <c r="AI249" i="1"/>
  <c r="Q92" i="1"/>
  <c r="H7" i="1"/>
  <c r="P7" i="1"/>
  <c r="X7" i="1"/>
  <c r="AF7" i="1"/>
  <c r="B89" i="1"/>
  <c r="J89" i="1"/>
  <c r="J91" i="1" s="1"/>
  <c r="R89" i="1"/>
  <c r="R91" i="1" s="1"/>
  <c r="Z89" i="1"/>
  <c r="Z91" i="1" s="1"/>
  <c r="AH50" i="1"/>
  <c r="AH54" i="1"/>
  <c r="D92" i="2"/>
  <c r="V249" i="2"/>
  <c r="D7" i="2"/>
  <c r="L89" i="2"/>
  <c r="L91" i="2" s="1"/>
  <c r="T89" i="2"/>
  <c r="T91" i="2" s="1"/>
  <c r="AB89" i="2"/>
  <c r="AB91" i="2" s="1"/>
  <c r="M92" i="2"/>
  <c r="AE249" i="2"/>
  <c r="B110" i="2"/>
  <c r="B235" i="2"/>
  <c r="AQ249" i="1"/>
  <c r="Y92" i="1"/>
  <c r="AG2" i="1"/>
  <c r="AG6" i="1" s="1"/>
  <c r="I7" i="1"/>
  <c r="Q7" i="1"/>
  <c r="Y7" i="1"/>
  <c r="C89" i="1"/>
  <c r="C91" i="1" s="1"/>
  <c r="K89" i="1"/>
  <c r="K91" i="1" s="1"/>
  <c r="S89" i="1"/>
  <c r="S91" i="1" s="1"/>
  <c r="AA89" i="1"/>
  <c r="AA91" i="1" s="1"/>
  <c r="AI50" i="1"/>
  <c r="G229" i="1"/>
  <c r="U92" i="2"/>
  <c r="AM249" i="2"/>
  <c r="G92" i="2"/>
  <c r="AQ249" i="2"/>
  <c r="S246" i="1"/>
  <c r="D246" i="1"/>
  <c r="E89" i="1"/>
  <c r="E91" i="1" s="1"/>
  <c r="L89" i="1"/>
  <c r="L91" i="1" s="1"/>
  <c r="T89" i="1"/>
  <c r="T91" i="1" s="1"/>
  <c r="AB89" i="1"/>
  <c r="AB91" i="1" s="1"/>
  <c r="AI113" i="1"/>
  <c r="X249" i="2"/>
  <c r="F7" i="2"/>
  <c r="F92" i="2"/>
  <c r="AF249" i="2"/>
  <c r="N7" i="2"/>
  <c r="N92" i="2"/>
  <c r="AN249" i="2"/>
  <c r="V7" i="2"/>
  <c r="V92" i="2"/>
  <c r="AV249" i="2"/>
  <c r="AD7" i="2"/>
  <c r="AD92" i="2"/>
  <c r="AC92" i="2"/>
  <c r="AU249" i="2"/>
  <c r="O92" i="2"/>
  <c r="G229" i="2"/>
  <c r="F110" i="2"/>
  <c r="F235" i="2"/>
  <c r="AI72" i="2"/>
  <c r="AH84" i="2"/>
  <c r="AH50" i="2"/>
  <c r="AH54" i="2"/>
  <c r="AI84" i="2"/>
  <c r="AI50" i="2"/>
  <c r="AH113" i="1"/>
  <c r="E234" i="1"/>
  <c r="E231" i="2"/>
  <c r="F231" i="2" s="1"/>
  <c r="G231" i="2" s="1"/>
  <c r="H231" i="2" s="1"/>
  <c r="AT249" i="3" l="1"/>
  <c r="Z92" i="3"/>
  <c r="AU249" i="3"/>
  <c r="AI100" i="3"/>
  <c r="T7" i="3"/>
  <c r="J92" i="3"/>
  <c r="O92" i="3"/>
  <c r="O7" i="3"/>
  <c r="M7" i="3"/>
  <c r="AE249" i="3"/>
  <c r="AC249" i="3"/>
  <c r="K92" i="3"/>
  <c r="AB249" i="3"/>
  <c r="C92" i="3"/>
  <c r="C7" i="3"/>
  <c r="I7" i="3"/>
  <c r="AA249" i="3"/>
  <c r="H92" i="3"/>
  <c r="H7" i="3"/>
  <c r="G92" i="3"/>
  <c r="G7" i="3"/>
  <c r="B244" i="3"/>
  <c r="C244" i="3"/>
  <c r="AI89" i="3"/>
  <c r="F7" i="3"/>
  <c r="X249" i="3"/>
  <c r="AH89" i="3"/>
  <c r="V249" i="3"/>
  <c r="D92" i="3"/>
  <c r="E7" i="3"/>
  <c r="W249" i="3"/>
  <c r="I229" i="3"/>
  <c r="B7" i="3"/>
  <c r="B92" i="3"/>
  <c r="AI91" i="3"/>
  <c r="T249" i="3"/>
  <c r="AH91" i="3"/>
  <c r="E235" i="3"/>
  <c r="F230" i="3"/>
  <c r="AH100" i="3"/>
  <c r="D270" i="3"/>
  <c r="F234" i="3"/>
  <c r="E110" i="3"/>
  <c r="F234" i="1"/>
  <c r="D270" i="1"/>
  <c r="E110" i="1"/>
  <c r="T92" i="2"/>
  <c r="AL249" i="2"/>
  <c r="T7" i="2"/>
  <c r="AI89" i="2"/>
  <c r="E235" i="2"/>
  <c r="E92" i="1"/>
  <c r="W249" i="1"/>
  <c r="E7" i="1"/>
  <c r="AB92" i="2"/>
  <c r="AT249" i="2"/>
  <c r="AB7" i="2"/>
  <c r="AH89" i="2"/>
  <c r="AA92" i="1"/>
  <c r="AS249" i="1"/>
  <c r="AA7" i="1"/>
  <c r="L92" i="2"/>
  <c r="AD249" i="2"/>
  <c r="L7" i="2"/>
  <c r="AJ249" i="1"/>
  <c r="R92" i="1"/>
  <c r="R7" i="1"/>
  <c r="E270" i="2"/>
  <c r="G234" i="2"/>
  <c r="AI100" i="2"/>
  <c r="S92" i="1"/>
  <c r="AK249" i="1"/>
  <c r="S7" i="1"/>
  <c r="AB249" i="1"/>
  <c r="J92" i="1"/>
  <c r="J7" i="1"/>
  <c r="AF7" i="2"/>
  <c r="AF92" i="2"/>
  <c r="AX249" i="2"/>
  <c r="H229" i="2"/>
  <c r="G110" i="2"/>
  <c r="G235" i="2"/>
  <c r="K92" i="1"/>
  <c r="AC249" i="1"/>
  <c r="K7" i="1"/>
  <c r="AI89" i="1"/>
  <c r="AH89" i="1"/>
  <c r="B91" i="1"/>
  <c r="X7" i="2"/>
  <c r="X92" i="2"/>
  <c r="AP249" i="2"/>
  <c r="AB92" i="1"/>
  <c r="AT249" i="1"/>
  <c r="AB7" i="1"/>
  <c r="C92" i="1"/>
  <c r="U249" i="1"/>
  <c r="C7" i="1"/>
  <c r="B244" i="2"/>
  <c r="B244" i="1"/>
  <c r="P7" i="2"/>
  <c r="P92" i="2"/>
  <c r="AH249" i="2"/>
  <c r="T92" i="1"/>
  <c r="AL249" i="1"/>
  <c r="T7" i="1"/>
  <c r="E235" i="1"/>
  <c r="C244" i="2"/>
  <c r="AI100" i="1"/>
  <c r="AH100" i="1"/>
  <c r="C244" i="1"/>
  <c r="H7" i="2"/>
  <c r="H92" i="2"/>
  <c r="Z249" i="2"/>
  <c r="AR249" i="1"/>
  <c r="Z92" i="1"/>
  <c r="Z7" i="1"/>
  <c r="L92" i="1"/>
  <c r="AD249" i="1"/>
  <c r="L7" i="1"/>
  <c r="H229" i="1"/>
  <c r="B7" i="2"/>
  <c r="B92" i="2"/>
  <c r="AI91" i="2"/>
  <c r="T249" i="2"/>
  <c r="AH91" i="2"/>
  <c r="K6" i="3" l="1"/>
  <c r="A7" i="3"/>
  <c r="E270" i="3"/>
  <c r="G234" i="3"/>
  <c r="F110" i="3"/>
  <c r="AI92" i="3"/>
  <c r="AH92" i="3"/>
  <c r="G230" i="3"/>
  <c r="F235" i="3"/>
  <c r="J229" i="3"/>
  <c r="I229" i="1"/>
  <c r="T249" i="1"/>
  <c r="B92" i="1"/>
  <c r="AI91" i="1"/>
  <c r="B7" i="1"/>
  <c r="A7" i="1" s="1"/>
  <c r="AH91" i="1"/>
  <c r="I229" i="2"/>
  <c r="H110" i="2"/>
  <c r="AI92" i="2"/>
  <c r="AH92" i="2"/>
  <c r="A7" i="2"/>
  <c r="K6" i="1"/>
  <c r="F270" i="2"/>
  <c r="H234" i="2"/>
  <c r="K6" i="2"/>
  <c r="G234" i="1"/>
  <c r="E270" i="1"/>
  <c r="F110" i="1"/>
  <c r="F235" i="1"/>
  <c r="F270" i="3" l="1"/>
  <c r="H234" i="3"/>
  <c r="G110" i="3"/>
  <c r="K229" i="3"/>
  <c r="H230" i="3"/>
  <c r="G235" i="3"/>
  <c r="AI92" i="1"/>
  <c r="AH92" i="1"/>
  <c r="G270" i="2"/>
  <c r="I234" i="2"/>
  <c r="H235" i="2"/>
  <c r="J229" i="2"/>
  <c r="J229" i="1"/>
  <c r="F270" i="1"/>
  <c r="H234" i="1"/>
  <c r="G110" i="1"/>
  <c r="G235" i="1"/>
  <c r="I230" i="3" l="1"/>
  <c r="H235" i="3"/>
  <c r="L229" i="3"/>
  <c r="G270" i="3"/>
  <c r="I234" i="3"/>
  <c r="H110" i="3"/>
  <c r="G270" i="1"/>
  <c r="I234" i="1"/>
  <c r="H110" i="1"/>
  <c r="H235" i="1"/>
  <c r="H270" i="2"/>
  <c r="J234" i="2"/>
  <c r="K229" i="1"/>
  <c r="J110" i="2"/>
  <c r="K229" i="2"/>
  <c r="I110" i="2"/>
  <c r="M229" i="3" l="1"/>
  <c r="H270" i="3"/>
  <c r="J234" i="3"/>
  <c r="I110" i="3"/>
  <c r="J230" i="3"/>
  <c r="L229" i="1"/>
  <c r="K234" i="2"/>
  <c r="I270" i="2"/>
  <c r="H270" i="1"/>
  <c r="J234" i="1"/>
  <c r="I110" i="1"/>
  <c r="K110" i="2"/>
  <c r="L229" i="2"/>
  <c r="K230" i="3" l="1"/>
  <c r="K234" i="3"/>
  <c r="I270" i="3"/>
  <c r="J110" i="3"/>
  <c r="N229" i="3"/>
  <c r="I270" i="1"/>
  <c r="K234" i="1"/>
  <c r="J110" i="1"/>
  <c r="M229" i="2"/>
  <c r="L110" i="2"/>
  <c r="L234" i="2"/>
  <c r="J270" i="2"/>
  <c r="M229" i="1"/>
  <c r="O229" i="3" l="1"/>
  <c r="L234" i="3"/>
  <c r="J270" i="3"/>
  <c r="K110" i="3"/>
  <c r="L230" i="3"/>
  <c r="J270" i="1"/>
  <c r="L234" i="1"/>
  <c r="K110" i="1"/>
  <c r="N229" i="2"/>
  <c r="M110" i="2"/>
  <c r="K270" i="2"/>
  <c r="M234" i="2"/>
  <c r="N229" i="1"/>
  <c r="M230" i="3" l="1"/>
  <c r="K270" i="3"/>
  <c r="M234" i="3"/>
  <c r="L110" i="3"/>
  <c r="P229" i="3"/>
  <c r="L270" i="2"/>
  <c r="N234" i="2"/>
  <c r="O229" i="2"/>
  <c r="N110" i="2"/>
  <c r="O229" i="1"/>
  <c r="K270" i="1"/>
  <c r="M234" i="1"/>
  <c r="L110" i="1"/>
  <c r="L270" i="3" l="1"/>
  <c r="N234" i="3"/>
  <c r="M110" i="3"/>
  <c r="N230" i="3"/>
  <c r="P229" i="1"/>
  <c r="M270" i="2"/>
  <c r="O234" i="2"/>
  <c r="P229" i="2"/>
  <c r="O110" i="2"/>
  <c r="N234" i="1"/>
  <c r="L270" i="1"/>
  <c r="M110" i="1"/>
  <c r="O230" i="3" l="1"/>
  <c r="M270" i="3"/>
  <c r="O234" i="3"/>
  <c r="N110" i="3"/>
  <c r="AH110" i="2"/>
  <c r="AI110" i="2"/>
  <c r="N270" i="2"/>
  <c r="P234" i="2"/>
  <c r="O270" i="2" s="1"/>
  <c r="O234" i="1"/>
  <c r="M270" i="1"/>
  <c r="N110" i="1"/>
  <c r="N270" i="3" l="1"/>
  <c r="P234" i="3"/>
  <c r="O270" i="3" s="1"/>
  <c r="O110" i="3"/>
  <c r="P230" i="3"/>
  <c r="N270" i="1"/>
  <c r="P234" i="1"/>
  <c r="O270" i="1" s="1"/>
  <c r="O110" i="1"/>
  <c r="AI110" i="3" l="1"/>
  <c r="AH110" i="3"/>
  <c r="AH110" i="1"/>
  <c r="AI110" i="1"/>
  <c r="P235" i="4" l="1"/>
  <c r="P231" i="4"/>
  <c r="P235" i="2"/>
  <c r="P231" i="2"/>
  <c r="J235" i="19"/>
  <c r="L235" i="13"/>
  <c r="J235" i="33"/>
  <c r="L235" i="19"/>
  <c r="L235" i="24"/>
  <c r="N235" i="36"/>
  <c r="J235" i="21"/>
  <c r="O235" i="29"/>
  <c r="N235" i="1"/>
  <c r="P235" i="5"/>
  <c r="P231" i="5"/>
  <c r="P235" i="14"/>
  <c r="P231" i="14"/>
  <c r="O235" i="27"/>
  <c r="J235" i="3"/>
  <c r="N235" i="9"/>
  <c r="K235" i="3"/>
  <c r="J235" i="16"/>
  <c r="L235" i="11"/>
  <c r="K235" i="25"/>
  <c r="J235" i="20"/>
  <c r="P235" i="10"/>
  <c r="P231" i="10"/>
  <c r="M235" i="7"/>
  <c r="N235" i="3"/>
  <c r="K235" i="37"/>
  <c r="M235" i="9"/>
  <c r="M235" i="11"/>
  <c r="P235" i="17"/>
  <c r="P231" i="17"/>
  <c r="M235" i="6"/>
  <c r="L235" i="6"/>
  <c r="O235" i="13"/>
  <c r="P235" i="18"/>
  <c r="P231" i="18"/>
  <c r="M235" i="14"/>
  <c r="O231" i="29"/>
  <c r="P231" i="29"/>
  <c r="P235" i="29"/>
  <c r="M235" i="1"/>
  <c r="N235" i="7"/>
  <c r="M235" i="22"/>
  <c r="J235" i="27"/>
  <c r="P235" i="37"/>
  <c r="P231" i="37"/>
  <c r="J235" i="17"/>
  <c r="O231" i="27"/>
  <c r="P231" i="27"/>
  <c r="P235" i="27"/>
  <c r="P235" i="35"/>
  <c r="P231" i="35"/>
  <c r="P235" i="32"/>
  <c r="P231" i="32"/>
  <c r="P235" i="25"/>
  <c r="P231" i="25"/>
  <c r="K235" i="11"/>
  <c r="K235" i="20"/>
  <c r="O231" i="10"/>
  <c r="O235" i="10"/>
  <c r="N235" i="4"/>
  <c r="M235" i="29"/>
  <c r="J235" i="37"/>
  <c r="J235" i="35"/>
  <c r="K235" i="13"/>
  <c r="K235" i="1"/>
  <c r="K235" i="9"/>
  <c r="L235" i="12"/>
  <c r="O231" i="17"/>
  <c r="O235" i="17"/>
  <c r="N235" i="22"/>
  <c r="M235" i="33"/>
  <c r="O231" i="13"/>
  <c r="P231" i="13"/>
  <c r="P235" i="13"/>
  <c r="O235" i="22"/>
  <c r="K235" i="35"/>
  <c r="O231" i="32"/>
  <c r="O235" i="32"/>
  <c r="L235" i="1"/>
  <c r="L235" i="18"/>
  <c r="K235" i="26"/>
  <c r="O231" i="25"/>
  <c r="O235" i="25"/>
  <c r="M235" i="36"/>
  <c r="L235" i="36"/>
  <c r="O235" i="33"/>
  <c r="K235" i="34"/>
  <c r="L235" i="29"/>
  <c r="O235" i="20"/>
  <c r="M235" i="2"/>
  <c r="P235" i="6"/>
  <c r="P231" i="6"/>
  <c r="P235" i="8"/>
  <c r="P231" i="8"/>
  <c r="M235" i="16"/>
  <c r="K235" i="6"/>
  <c r="J235" i="24"/>
  <c r="N231" i="17"/>
  <c r="N235" i="17"/>
  <c r="L235" i="20"/>
  <c r="N235" i="30"/>
  <c r="M235" i="3"/>
  <c r="L235" i="25"/>
  <c r="K235" i="36"/>
  <c r="K235" i="22"/>
  <c r="K235" i="12"/>
  <c r="J235" i="25"/>
  <c r="L235" i="21"/>
  <c r="N235" i="26"/>
  <c r="M231" i="22"/>
  <c r="N231" i="22"/>
  <c r="O231" i="22"/>
  <c r="P231" i="22"/>
  <c r="P235" i="22"/>
  <c r="P235" i="12"/>
  <c r="P231" i="12"/>
  <c r="N231" i="32"/>
  <c r="N235" i="32"/>
  <c r="O231" i="18"/>
  <c r="O235" i="18"/>
  <c r="J235" i="8"/>
  <c r="M235" i="26"/>
  <c r="P235" i="15"/>
  <c r="P231" i="15"/>
  <c r="N231" i="25"/>
  <c r="N235" i="25"/>
  <c r="K235" i="18"/>
  <c r="O231" i="20"/>
  <c r="P231" i="20"/>
  <c r="P235" i="20"/>
  <c r="K235" i="8"/>
  <c r="O231" i="33"/>
  <c r="P231" i="33"/>
  <c r="P235" i="33"/>
  <c r="O231" i="35"/>
  <c r="O235" i="35"/>
  <c r="K235" i="4"/>
  <c r="N231" i="20"/>
  <c r="N235" i="20"/>
  <c r="L235" i="2"/>
  <c r="P235" i="24"/>
  <c r="P231" i="24"/>
  <c r="L235" i="30"/>
  <c r="M235" i="5"/>
  <c r="L235" i="35"/>
  <c r="J235" i="12"/>
  <c r="O235" i="11"/>
  <c r="M235" i="8"/>
  <c r="J235" i="22"/>
  <c r="L235" i="33"/>
  <c r="J235" i="18"/>
  <c r="L235" i="7"/>
  <c r="N235" i="5"/>
  <c r="O235" i="30"/>
  <c r="K235" i="27"/>
  <c r="M235" i="18"/>
  <c r="O231" i="12"/>
  <c r="O235" i="12"/>
  <c r="N231" i="27"/>
  <c r="N235" i="27"/>
  <c r="M231" i="32"/>
  <c r="M235" i="32"/>
  <c r="P235" i="16"/>
  <c r="P231" i="16"/>
  <c r="L231" i="33"/>
  <c r="M231" i="33"/>
  <c r="N231" i="33"/>
  <c r="N235" i="33"/>
  <c r="O231" i="11"/>
  <c r="P231" i="11"/>
  <c r="P235" i="11"/>
  <c r="J235" i="2"/>
  <c r="K235" i="29"/>
  <c r="O235" i="3"/>
  <c r="O235" i="26"/>
  <c r="L235" i="16"/>
  <c r="M235" i="19"/>
  <c r="N231" i="35"/>
  <c r="N235" i="35"/>
  <c r="J235" i="29"/>
  <c r="L235" i="8"/>
  <c r="L235" i="10"/>
  <c r="N235" i="6"/>
  <c r="K231" i="6"/>
  <c r="L231" i="6"/>
  <c r="M231" i="6"/>
  <c r="N231" i="6"/>
  <c r="O231" i="6"/>
  <c r="O235" i="6"/>
  <c r="K235" i="30"/>
  <c r="O235" i="34"/>
  <c r="N231" i="13"/>
  <c r="N235" i="13"/>
  <c r="L235" i="3"/>
  <c r="L235" i="4"/>
  <c r="K235" i="7"/>
  <c r="O231" i="24"/>
  <c r="O235" i="24"/>
  <c r="N235" i="37"/>
  <c r="O231" i="15"/>
  <c r="O235" i="15"/>
  <c r="M235" i="30"/>
  <c r="K235" i="2"/>
  <c r="N235" i="2"/>
  <c r="N235" i="14"/>
  <c r="K231" i="30"/>
  <c r="L231" i="30"/>
  <c r="M231" i="30"/>
  <c r="N231" i="30"/>
  <c r="O231" i="30"/>
  <c r="P231" i="30"/>
  <c r="P235" i="30"/>
  <c r="N231" i="12"/>
  <c r="N235" i="12"/>
  <c r="M231" i="27"/>
  <c r="M235" i="27"/>
  <c r="O231" i="16"/>
  <c r="O235" i="16"/>
  <c r="I235" i="20"/>
  <c r="I231" i="20"/>
  <c r="J231" i="20"/>
  <c r="K231" i="20"/>
  <c r="L231" i="20"/>
  <c r="M231" i="20"/>
  <c r="M235" i="20"/>
  <c r="M235" i="10"/>
  <c r="J235" i="14"/>
  <c r="J235" i="15"/>
  <c r="P235" i="1"/>
  <c r="P231" i="1"/>
  <c r="L231" i="10"/>
  <c r="M231" i="10"/>
  <c r="N231" i="10"/>
  <c r="N235" i="10"/>
  <c r="I235" i="18"/>
  <c r="I231" i="18"/>
  <c r="J231" i="18"/>
  <c r="K231" i="18"/>
  <c r="L231" i="18"/>
  <c r="M231" i="18"/>
  <c r="N231" i="18"/>
  <c r="N235" i="18"/>
  <c r="I235" i="3"/>
  <c r="I231" i="3"/>
  <c r="J231" i="3"/>
  <c r="K231" i="3"/>
  <c r="L231" i="3"/>
  <c r="M231" i="3"/>
  <c r="N231" i="3"/>
  <c r="O231" i="3"/>
  <c r="P231" i="3"/>
  <c r="P235" i="3"/>
  <c r="N231" i="37"/>
  <c r="O231" i="37"/>
  <c r="O235" i="37"/>
  <c r="M231" i="26"/>
  <c r="N231" i="26"/>
  <c r="O231" i="26"/>
  <c r="P231" i="26"/>
  <c r="P235" i="26"/>
  <c r="K235" i="15"/>
  <c r="N235" i="8"/>
  <c r="O231" i="34"/>
  <c r="P231" i="34"/>
  <c r="P235" i="34"/>
  <c r="I235" i="35"/>
  <c r="I231" i="35"/>
  <c r="J231" i="35"/>
  <c r="K231" i="35"/>
  <c r="L231" i="35"/>
  <c r="M231" i="35"/>
  <c r="M235" i="35"/>
  <c r="L235" i="14"/>
  <c r="K235" i="5"/>
  <c r="I235" i="27"/>
  <c r="I231" i="27"/>
  <c r="J231" i="27"/>
  <c r="K231" i="27"/>
  <c r="L231" i="27"/>
  <c r="L235" i="27"/>
  <c r="J235" i="11"/>
  <c r="K231" i="10"/>
  <c r="K235" i="10"/>
  <c r="M235" i="4"/>
  <c r="N231" i="24"/>
  <c r="N235" i="24"/>
  <c r="P235" i="7"/>
  <c r="P231" i="7"/>
  <c r="J235" i="32"/>
  <c r="I235" i="29"/>
  <c r="I231" i="29"/>
  <c r="J231" i="29"/>
  <c r="K231" i="29"/>
  <c r="L231" i="29"/>
  <c r="M231" i="29"/>
  <c r="N231" i="29"/>
  <c r="N235" i="29"/>
  <c r="M231" i="17"/>
  <c r="M235" i="17"/>
  <c r="J235" i="7"/>
  <c r="K235" i="17"/>
  <c r="O235" i="19"/>
  <c r="K235" i="24"/>
  <c r="I235" i="25"/>
  <c r="I231" i="25"/>
  <c r="J231" i="25"/>
  <c r="K231" i="25"/>
  <c r="L231" i="25"/>
  <c r="M231" i="25"/>
  <c r="M235" i="25"/>
  <c r="J235" i="1"/>
  <c r="I235" i="30"/>
  <c r="I231" i="30"/>
  <c r="J231" i="30"/>
  <c r="J235" i="30"/>
  <c r="I235" i="12"/>
  <c r="I231" i="12"/>
  <c r="J231" i="12"/>
  <c r="K231" i="12"/>
  <c r="L231" i="12"/>
  <c r="M231" i="12"/>
  <c r="M235" i="12"/>
  <c r="I235" i="22"/>
  <c r="I231" i="22"/>
  <c r="J231" i="22"/>
  <c r="K231" i="22"/>
  <c r="L231" i="22"/>
  <c r="L235" i="22"/>
  <c r="L231" i="16"/>
  <c r="M231" i="16"/>
  <c r="N231" i="16"/>
  <c r="N235" i="16"/>
  <c r="M231" i="37"/>
  <c r="M235" i="37"/>
  <c r="I235" i="33"/>
  <c r="I231" i="33"/>
  <c r="J231" i="33"/>
  <c r="K231" i="33"/>
  <c r="K235" i="33"/>
  <c r="L235" i="15"/>
  <c r="L231" i="32"/>
  <c r="L235" i="32"/>
  <c r="I235" i="32"/>
  <c r="I231" i="32"/>
  <c r="J231" i="32"/>
  <c r="K231" i="32"/>
  <c r="K235" i="32"/>
  <c r="L235" i="34"/>
  <c r="O235" i="9"/>
  <c r="O235" i="21"/>
  <c r="K231" i="13"/>
  <c r="L231" i="13"/>
  <c r="M231" i="13"/>
  <c r="M235" i="13"/>
  <c r="I235" i="11"/>
  <c r="I231" i="11"/>
  <c r="J231" i="11"/>
  <c r="K231" i="11"/>
  <c r="L231" i="11"/>
  <c r="M231" i="11"/>
  <c r="N231" i="11"/>
  <c r="N235" i="11"/>
  <c r="J235" i="5"/>
  <c r="I235" i="13"/>
  <c r="I231" i="13"/>
  <c r="J231" i="13"/>
  <c r="J235" i="13"/>
  <c r="L235" i="5"/>
  <c r="I235" i="10"/>
  <c r="I231" i="10"/>
  <c r="J231" i="10"/>
  <c r="J235" i="10"/>
  <c r="M235" i="34"/>
  <c r="K235" i="21"/>
  <c r="I235" i="24"/>
  <c r="I231" i="24"/>
  <c r="J231" i="24"/>
  <c r="K231" i="24"/>
  <c r="L231" i="24"/>
  <c r="M231" i="24"/>
  <c r="M235" i="24"/>
  <c r="N235" i="21"/>
  <c r="J235" i="4"/>
  <c r="I235" i="7"/>
  <c r="I231" i="7"/>
  <c r="J231" i="7"/>
  <c r="K231" i="7"/>
  <c r="L231" i="7"/>
  <c r="M231" i="7"/>
  <c r="N231" i="7"/>
  <c r="O231" i="7"/>
  <c r="O235" i="7"/>
  <c r="N235" i="19"/>
  <c r="I235" i="16"/>
  <c r="I231" i="16"/>
  <c r="J231" i="16"/>
  <c r="K231" i="16"/>
  <c r="K235" i="16"/>
  <c r="I235" i="17"/>
  <c r="I231" i="17"/>
  <c r="J231" i="17"/>
  <c r="K231" i="17"/>
  <c r="L231" i="17"/>
  <c r="L235" i="17"/>
  <c r="I235" i="2"/>
  <c r="I231" i="2"/>
  <c r="J231" i="2"/>
  <c r="K231" i="2"/>
  <c r="L231" i="2"/>
  <c r="M231" i="2"/>
  <c r="N231" i="2"/>
  <c r="O231" i="2"/>
  <c r="O235" i="2"/>
  <c r="I235" i="4"/>
  <c r="I231" i="4"/>
  <c r="J231" i="4"/>
  <c r="K231" i="4"/>
  <c r="L231" i="4"/>
  <c r="M231" i="4"/>
  <c r="N231" i="4"/>
  <c r="O231" i="4"/>
  <c r="O235" i="4"/>
  <c r="I235" i="8"/>
  <c r="I231" i="8"/>
  <c r="J231" i="8"/>
  <c r="K231" i="8"/>
  <c r="L231" i="8"/>
  <c r="M231" i="8"/>
  <c r="N231" i="8"/>
  <c r="O231" i="8"/>
  <c r="O235" i="8"/>
  <c r="I235" i="37"/>
  <c r="I231" i="37"/>
  <c r="J231" i="37"/>
  <c r="K231" i="37"/>
  <c r="L231" i="37"/>
  <c r="L235" i="37"/>
  <c r="M235" i="15"/>
  <c r="L231" i="19"/>
  <c r="M231" i="19"/>
  <c r="N231" i="19"/>
  <c r="O231" i="19"/>
  <c r="P231" i="19"/>
  <c r="P235" i="19"/>
  <c r="J235" i="34"/>
  <c r="J235" i="26"/>
  <c r="O235" i="36"/>
  <c r="I235" i="34"/>
  <c r="I231" i="34"/>
  <c r="J231" i="34"/>
  <c r="K231" i="34"/>
  <c r="L231" i="34"/>
  <c r="M231" i="34"/>
  <c r="N231" i="34"/>
  <c r="N235" i="34"/>
  <c r="M235" i="21"/>
  <c r="I235" i="15"/>
  <c r="I231" i="15"/>
  <c r="J231" i="15"/>
  <c r="K231" i="15"/>
  <c r="L231" i="15"/>
  <c r="M231" i="15"/>
  <c r="N231" i="15"/>
  <c r="N235" i="15"/>
  <c r="K231" i="36"/>
  <c r="L231" i="36"/>
  <c r="M231" i="36"/>
  <c r="N231" i="36"/>
  <c r="O231" i="36"/>
  <c r="P231" i="36"/>
  <c r="P235" i="36"/>
  <c r="I235" i="26"/>
  <c r="I231" i="26"/>
  <c r="J231" i="26"/>
  <c r="K231" i="26"/>
  <c r="L231" i="26"/>
  <c r="L235" i="26"/>
  <c r="I235" i="6"/>
  <c r="I231" i="6"/>
  <c r="J231" i="6"/>
  <c r="J235" i="6"/>
  <c r="L235" i="9"/>
  <c r="I235" i="19"/>
  <c r="I231" i="19"/>
  <c r="J231" i="19"/>
  <c r="K231" i="19"/>
  <c r="K235" i="19"/>
  <c r="I235" i="1"/>
  <c r="I231" i="1"/>
  <c r="J231" i="1"/>
  <c r="K231" i="1"/>
  <c r="L231" i="1"/>
  <c r="M231" i="1"/>
  <c r="N231" i="1"/>
  <c r="O231" i="1"/>
  <c r="O235" i="1"/>
  <c r="I235" i="5"/>
  <c r="I231" i="5"/>
  <c r="J231" i="5"/>
  <c r="K231" i="5"/>
  <c r="L231" i="5"/>
  <c r="M231" i="5"/>
  <c r="N231" i="5"/>
  <c r="O231" i="5"/>
  <c r="O235" i="5"/>
  <c r="L231" i="14"/>
  <c r="M231" i="14"/>
  <c r="N231" i="14"/>
  <c r="O231" i="14"/>
  <c r="O235" i="14"/>
  <c r="I235" i="14"/>
  <c r="I231" i="14"/>
  <c r="J231" i="14"/>
  <c r="K231" i="14"/>
  <c r="K235" i="14"/>
  <c r="I235" i="36"/>
  <c r="I231" i="36"/>
  <c r="J231" i="36"/>
  <c r="J235" i="36"/>
  <c r="J235" i="9"/>
  <c r="I235" i="9"/>
  <c r="I231" i="9"/>
  <c r="J231" i="9"/>
  <c r="K231" i="9"/>
  <c r="L231" i="9"/>
  <c r="M231" i="9"/>
  <c r="N231" i="9"/>
  <c r="O231" i="9"/>
  <c r="P231" i="9"/>
  <c r="P235" i="9"/>
  <c r="I235" i="21"/>
  <c r="I231" i="21"/>
  <c r="J231" i="21"/>
  <c r="K231" i="21"/>
  <c r="L231" i="21"/>
  <c r="M231" i="21"/>
  <c r="N231" i="21"/>
  <c r="O231" i="21"/>
  <c r="P231" i="21"/>
  <c r="P235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57D016C-49C0-4784-9541-4302C0496AF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C0BA461-8555-49E8-8B58-CC06AED7A5A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6015C2D-9AAC-4B9D-9A8B-2D3104F9D0F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68610AA-A528-482A-A180-DDA72115EFE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177C297-9F27-45ED-8CC8-7C3FF9AD2C5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9C8A639-C190-4359-B233-EDF02D93645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E6E8A80-6A9A-464F-AB3A-E45CD2A0902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AE2FC5BB-98CD-4981-84AC-8CB79E880D2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D5F759B-7889-4267-8C59-4E8E1A27210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36A7361-F00B-4DEC-BD61-47CC1F6EEE4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77C88EA-7582-4EBA-8021-3C5A6044F24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651CDDD-DD75-4E79-AE58-BF5542ED8CE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84D7A92-792E-4C9F-B409-3B5FE2E7DCA2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1317B67-16DB-4146-A59F-CC67D296DF8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2F9DBE1-C3B2-4A96-9AD8-4A82A0201212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04B2107-B036-499C-8491-866E1435861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A3074406-F14B-4700-8144-9C4EE827540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5840928-0F23-4114-9B5C-14AF209A6C3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2DDA0FBD-1324-4DF9-AFD4-96710419D3A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2F15809C-C98D-45BA-B698-B3C1F52CF71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27BB031-3F91-4B8B-8B6A-02E685E0510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D503ECB-88FE-438B-84F0-D667D120093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2F96AEB1-9845-4374-ACB9-FFA7EB16BCC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8304EBB-D782-41C2-AC4C-56DC252CE02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B1A343E-B7C7-4E4D-B754-FE76B03E8E1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D71C20E-786D-49A3-ADC9-822A9CA775D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99FE0D2-9F22-4742-8BCC-56B387429F8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5963887-9C2C-4138-9B5B-B9EB8CA6E99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041B96D-38B3-4B67-97A1-ED42A76C60A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170BAF0-23E3-4E72-B27E-A5308F35551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4A272D6-8346-45C4-B772-25299CE6661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4DC05EBD-F34E-4078-9DA4-6C23470E521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A004DF80-BD1F-4BCE-96E0-BA5AC2C12BA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49382212-B615-4934-B039-DAFCBF007E9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<sst xmlns="http://schemas.openxmlformats.org/spreadsheetml/2006/main" count="9289" uniqueCount="301">
  <si>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</si>
  <si>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</si>
  <si>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</si>
  <si>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</si>
  <si>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</si>
  <si>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</si>
  <si>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</si>
  <si>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</si>
  <si>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</si>
  <si>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</si>
  <si>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</si>
  <si>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</si>
  <si>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</si>
  <si>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</si>
  <si>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</si>
  <si>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</si>
  <si>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</si>
  <si>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</si>
  <si>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</si>
  <si>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Solu Khola Dudhkoshi(86)</t>
  </si>
  <si>
    <t>S</t>
  </si>
  <si>
    <t>Super Dordi (54)</t>
  </si>
  <si>
    <t>Y</t>
  </si>
  <si>
    <t>Likhu-IV(52.4)</t>
  </si>
  <si>
    <t>Upper Marsyangdi "A"(50)</t>
  </si>
  <si>
    <t>T</t>
  </si>
  <si>
    <t>Upper Bhotekoshi Khola(45)</t>
  </si>
  <si>
    <t>E</t>
  </si>
  <si>
    <t>Super Madi ( 44 )</t>
  </si>
  <si>
    <t>M</t>
  </si>
  <si>
    <t>Mistri Khola(42)</t>
  </si>
  <si>
    <t>Upper Kalanga Gad(38.46)</t>
  </si>
  <si>
    <t>Upper Balefi (36)</t>
  </si>
  <si>
    <t>Nyadi(30)</t>
  </si>
  <si>
    <t>Likhu Khola A(29.04)</t>
  </si>
  <si>
    <t>Lower Likhu(28)</t>
  </si>
  <si>
    <t>U</t>
  </si>
  <si>
    <t>Dordi(27)</t>
  </si>
  <si>
    <t>R</t>
  </si>
  <si>
    <t>Upper Madi(25)</t>
  </si>
  <si>
    <t>B</t>
  </si>
  <si>
    <t>Kabeli B-1(25)</t>
  </si>
  <si>
    <t>Singati Khola(25)</t>
  </si>
  <si>
    <t>Upper Dordi (25)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</si>
  <si>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</si>
  <si>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</si>
  <si>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</si>
  <si>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</si>
  <si>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</si>
  <si>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</si>
  <si>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Middle Modi (18)</t>
  </si>
  <si>
    <t>Kalanga Gad(15.33)</t>
  </si>
  <si>
    <t>Hewa Khola A(14.9)</t>
  </si>
  <si>
    <t>Thapa Khola(13.6)</t>
  </si>
  <si>
    <t>Madkyu Khola(13)</t>
  </si>
  <si>
    <t>Dordi12)</t>
  </si>
  <si>
    <t>Jhimruk Khola(12)</t>
  </si>
  <si>
    <t>Upper Khimti(12)</t>
  </si>
  <si>
    <t>Upper Mai Khola (12)</t>
  </si>
  <si>
    <t>Namarjun Madi(11.88)</t>
  </si>
  <si>
    <t>Lower Khare(11)</t>
  </si>
  <si>
    <t>Lower Modi 1(10)</t>
  </si>
  <si>
    <t>Makari Gad(10.0)</t>
  </si>
  <si>
    <t>Mithila Solar PV Electric Project(10)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</si>
  <si>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</si>
  <si>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</si>
  <si>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</si>
  <si>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</si>
  <si>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</si>
  <si>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</si>
  <si>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</si>
  <si>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</si>
  <si>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</si>
  <si>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</si>
  <si>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</si>
  <si>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</si>
  <si>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</si>
  <si>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</si>
  <si>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</si>
  <si>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</si>
  <si>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</si>
  <si>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</si>
  <si>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</si>
  <si>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</si>
  <si>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</si>
  <si>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</si>
  <si>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</si>
  <si>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</si>
  <si>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</si>
  <si>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</si>
  <si>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</si>
  <si>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</si>
  <si>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</si>
  <si>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</si>
  <si>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</si>
  <si>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</si>
  <si>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 xml:space="preserve">UTK Discharge Test </t>
  </si>
  <si>
    <t>JALESHWOR(33kV)</t>
  </si>
  <si>
    <t>RAJBIRAJ(33kV)</t>
  </si>
  <si>
    <t>Line1</t>
  </si>
  <si>
    <t>RAXAUL(33kV)</t>
  </si>
  <si>
    <t>Line 2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</si>
  <si>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</si>
  <si>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</si>
  <si>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</si>
  <si>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</si>
  <si>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</si>
  <si>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</si>
  <si>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</si>
  <si>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</si>
  <si>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</si>
  <si>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</si>
  <si>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</si>
  <si>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</si>
  <si>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</si>
  <si>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</si>
  <si>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</si>
  <si>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</si>
  <si>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</si>
  <si>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</si>
  <si>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</si>
  <si>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</si>
  <si>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</si>
  <si>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</si>
  <si>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</si>
  <si>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/>
  </si>
  <si>
    <t>Kathmandu Load</t>
  </si>
  <si>
    <t>MRS-SYU</t>
  </si>
  <si>
    <t>NMRS-MATA</t>
  </si>
  <si>
    <t>KL2-MATA</t>
  </si>
  <si>
    <t>KL1-SYU</t>
  </si>
  <si>
    <t>KHIMTI-LAMOSAGU</t>
  </si>
  <si>
    <t>DHALKE-CHAPUR I</t>
  </si>
  <si>
    <t>NBHARATPUR-BARDGHAT</t>
  </si>
  <si>
    <t>DAMAK-DUHABI</t>
  </si>
  <si>
    <t>Hetauda-Kamane</t>
  </si>
  <si>
    <t>DHALKE-MIRCHAIYA</t>
  </si>
  <si>
    <t>Others IPP Detail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</si>
  <si>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</si>
  <si>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</si>
  <si>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</si>
  <si>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</si>
  <si>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</si>
  <si>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</si>
  <si>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</si>
  <si>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</si>
  <si>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</si>
  <si>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</si>
  <si>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</si>
  <si>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</si>
  <si>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</si>
  <si>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</si>
  <si>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</si>
  <si>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</si>
  <si>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</si>
  <si>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</si>
  <si>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</si>
  <si>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</si>
  <si>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</si>
  <si>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</si>
  <si>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</si>
  <si>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</si>
  <si>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</si>
  <si>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</si>
  <si>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</si>
  <si>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</si>
  <si>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</si>
  <si>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</si>
  <si>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</si>
  <si>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</si>
  <si>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</si>
  <si>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</si>
  <si>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</si>
  <si>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</si>
  <si>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</si>
  <si>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</si>
  <si>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</si>
  <si>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</si>
  <si>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</si>
  <si>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</si>
  <si>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</si>
  <si>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</si>
  <si>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</si>
  <si>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</si>
  <si>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</si>
  <si>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</si>
  <si>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</si>
  <si>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</si>
  <si>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</si>
  <si>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</si>
  <si>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</si>
  <si>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</si>
  <si>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</si>
  <si>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</si>
  <si>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</si>
  <si>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</si>
  <si>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</si>
  <si>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</si>
  <si>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</si>
  <si>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</si>
  <si>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</si>
  <si>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</si>
  <si>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</si>
  <si>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</si>
  <si>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</si>
  <si>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</si>
  <si>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</si>
  <si>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</si>
  <si>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</si>
  <si>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</si>
  <si>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</si>
  <si>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</si>
  <si>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</si>
  <si>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</si>
  <si>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</si>
  <si>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</si>
  <si>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</si>
  <si>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</si>
  <si>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</si>
  <si>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</si>
  <si>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</si>
  <si>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</si>
  <si>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</si>
  <si>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</si>
  <si>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</si>
  <si>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</si>
  <si>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</si>
  <si>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</si>
  <si>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</si>
  <si>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</si>
  <si>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</si>
  <si>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</si>
  <si>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</si>
  <si>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</si>
  <si>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</si>
  <si>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</si>
  <si>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</si>
  <si>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</si>
  <si>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</si>
  <si>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</si>
  <si>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</si>
  <si>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</si>
  <si>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</si>
  <si>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</si>
  <si>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</si>
  <si>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</si>
  <si>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</si>
  <si>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</si>
  <si>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</si>
  <si>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</si>
  <si>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</si>
  <si>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</si>
  <si>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</si>
  <si>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</si>
  <si>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</si>
  <si>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</si>
  <si>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</si>
  <si>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</si>
  <si>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</si>
  <si>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</si>
  <si>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</si>
  <si>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</si>
  <si>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</si>
  <si>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</si>
  <si>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</si>
  <si>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</si>
  <si>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 xml:space="preserve">  </t>
  </si>
  <si>
    <t>D</t>
  </si>
  <si>
    <t xml:space="preserve"> </t>
  </si>
  <si>
    <t>I</t>
  </si>
  <si>
    <t xml:space="preserve">                                                                                                                  </t>
  </si>
  <si>
    <t>20.1.</t>
  </si>
  <si>
    <t>DHALKE-MIRCHAIYA I</t>
  </si>
  <si>
    <t>s</t>
  </si>
  <si>
    <t>t</t>
  </si>
  <si>
    <t>e</t>
  </si>
  <si>
    <t>d</t>
  </si>
  <si>
    <t>i</t>
  </si>
  <si>
    <t>u</t>
  </si>
  <si>
    <t>r</t>
  </si>
  <si>
    <t>b</t>
  </si>
  <si>
    <t xml:space="preserve">y </t>
  </si>
  <si>
    <t xml:space="preserve">s </t>
  </si>
  <si>
    <t xml:space="preserve">m </t>
  </si>
  <si>
    <t>Hetauda-Kamane/Hetauda-Pathlaiya</t>
  </si>
  <si>
    <t>62..6</t>
  </si>
  <si>
    <t>60..9</t>
  </si>
  <si>
    <t>PN</t>
  </si>
  <si>
    <t>l</t>
  </si>
  <si>
    <t>NEA</t>
  </si>
  <si>
    <t>NEA SUBS</t>
  </si>
  <si>
    <t>IMP</t>
  </si>
  <si>
    <t>EXP</t>
  </si>
  <si>
    <t>INT</t>
  </si>
  <si>
    <t>nePAL</t>
  </si>
  <si>
    <t>nep load</t>
  </si>
  <si>
    <t xml:space="preserve">sys </t>
  </si>
  <si>
    <t>disturbed</t>
  </si>
  <si>
    <t xml:space="preserve">Partial </t>
  </si>
  <si>
    <t xml:space="preserve">system </t>
  </si>
  <si>
    <t>collapse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</si>
</sst>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11"/>
      <name val="Times New Roman"/>
      <family val="1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/>
  </cellStyleXfs>
  <cellXfs count="207">
    <xf numFmtId="0" fontId="0" fillId="0" borderId="0" xfId="0"/>
    <xf numFmtId="164" fontId="1" fillId="0" borderId="0" xfId="2"/>
    <xf numFmtId="164" fontId="1" fillId="0" borderId="0" xfId="2" applyProtection="1">
      <protection locked="0"/>
    </xf>
    <xf numFmtId="164" fontId="6" fillId="0" borderId="0" xfId="2" applyFont="1" applyAlignment="1">
      <alignment vertical="center"/>
    </xf>
    <xf numFmtId="164" fontId="7" fillId="0" borderId="2" xfId="2" applyFont="1" applyBorder="1" applyAlignment="1">
      <alignment vertical="center"/>
    </xf>
    <xf numFmtId="164" fontId="7" fillId="0" borderId="4" xfId="2" applyFont="1" applyBorder="1" applyAlignment="1">
      <alignment vertical="center"/>
    </xf>
    <xf numFmtId="164" fontId="4" fillId="0" borderId="6" xfId="2" applyFont="1" applyBorder="1" applyAlignment="1">
      <alignment horizontal="center" vertical="center"/>
    </xf>
    <xf numFmtId="164" fontId="4" fillId="0" borderId="6" xfId="2" applyFont="1" applyBorder="1" applyAlignment="1">
      <alignment vertical="center"/>
    </xf>
    <xf numFmtId="164" fontId="4" fillId="0" borderId="0" xfId="2" applyFont="1" applyAlignment="1">
      <alignment vertical="center"/>
    </xf>
    <xf numFmtId="14" fontId="8" fillId="0" borderId="0" xfId="2" applyNumberFormat="1" applyFont="1" applyAlignment="1">
      <alignment vertical="center"/>
    </xf>
    <xf numFmtId="43" fontId="9" fillId="3" borderId="0" xfId="1" applyFont="1" applyFill="1" applyAlignment="1">
      <alignment horizontal="center"/>
    </xf>
    <xf numFmtId="164" fontId="9" fillId="3" borderId="0" xfId="2" applyFont="1" applyFill="1"/>
    <xf numFmtId="164" fontId="1" fillId="3" borderId="0" xfId="2" applyFill="1"/>
    <xf numFmtId="164" fontId="10" fillId="0" borderId="0" xfId="2" applyFont="1" applyAlignment="1">
      <alignment horizontal="center" vertical="center"/>
    </xf>
    <xf numFmtId="164" fontId="11" fillId="0" borderId="0" xfId="2" applyFont="1"/>
    <xf numFmtId="164" fontId="12" fillId="0" borderId="0" xfId="2" applyFont="1" applyAlignment="1">
      <alignment vertical="center"/>
    </xf>
    <xf numFmtId="164" fontId="7" fillId="0" borderId="8" xfId="2" applyFont="1" applyBorder="1" applyAlignment="1">
      <alignment vertical="center"/>
    </xf>
    <xf numFmtId="164" fontId="7" fillId="0" borderId="10" xfId="2" applyFont="1" applyBorder="1" applyAlignment="1">
      <alignment vertical="center"/>
    </xf>
    <xf numFmtId="164" fontId="1" fillId="0" borderId="6" xfId="2" applyBorder="1" applyAlignment="1">
      <alignment horizontal="center" vertical="center"/>
    </xf>
    <xf numFmtId="164" fontId="3" fillId="0" borderId="0" xfId="2" applyFont="1" applyAlignment="1">
      <alignment horizontal="center" vertical="center"/>
    </xf>
    <xf numFmtId="164" fontId="3" fillId="0" borderId="0" xfId="2" applyFont="1" applyAlignment="1">
      <alignment vertical="center"/>
    </xf>
    <xf numFmtId="164" fontId="12" fillId="0" borderId="0" xfId="2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1" fillId="0" borderId="0" xfId="2" applyNumberFormat="1" applyAlignment="1">
      <alignment horizontal="center" vertical="center"/>
    </xf>
    <xf numFmtId="165" fontId="14" fillId="0" borderId="0" xfId="2" applyNumberFormat="1" applyFont="1"/>
    <xf numFmtId="164" fontId="15" fillId="4" borderId="0" xfId="2" applyFont="1" applyFill="1" applyAlignment="1">
      <alignment horizontal="right" vertical="center"/>
    </xf>
    <xf numFmtId="164" fontId="16" fillId="0" borderId="0" xfId="2" applyFont="1" applyAlignment="1">
      <alignment vertical="center"/>
    </xf>
    <xf numFmtId="164" fontId="17" fillId="0" borderId="0" xfId="2" applyFont="1" applyAlignment="1">
      <alignment vertical="center"/>
    </xf>
    <xf numFmtId="164" fontId="1" fillId="0" borderId="0" xfId="2" applyAlignment="1">
      <alignment horizontal="center" vertical="center"/>
    </xf>
    <xf numFmtId="164" fontId="15" fillId="4" borderId="0" xfId="2" applyFont="1" applyFill="1" applyAlignment="1">
      <alignment vertical="center"/>
    </xf>
    <xf numFmtId="166" fontId="1" fillId="5" borderId="0" xfId="2" applyNumberFormat="1" applyFill="1"/>
    <xf numFmtId="164" fontId="1" fillId="5" borderId="0" xfId="2" applyFill="1"/>
    <xf numFmtId="164" fontId="15" fillId="4" borderId="0" xfId="2" applyFont="1" applyFill="1" applyAlignment="1">
      <alignment horizontal="left" vertical="center"/>
    </xf>
    <xf numFmtId="164" fontId="18" fillId="3" borderId="0" xfId="2" applyFont="1" applyFill="1"/>
    <xf numFmtId="164" fontId="19" fillId="0" borderId="0" xfId="2" applyFont="1" applyAlignment="1">
      <alignment horizontal="left" vertical="center"/>
    </xf>
    <xf numFmtId="1" fontId="20" fillId="0" borderId="0" xfId="2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164" fontId="2" fillId="0" borderId="0" xfId="2" applyFont="1"/>
    <xf numFmtId="164" fontId="12" fillId="0" borderId="12" xfId="2" applyFont="1" applyBorder="1" applyAlignment="1">
      <alignment vertical="center"/>
    </xf>
    <xf numFmtId="2" fontId="12" fillId="6" borderId="16" xfId="2" applyNumberFormat="1" applyFont="1" applyFill="1" applyBorder="1" applyAlignment="1">
      <alignment horizontal="center" vertical="center"/>
    </xf>
    <xf numFmtId="164" fontId="18" fillId="0" borderId="0" xfId="2" applyFont="1" applyAlignment="1">
      <alignment horizontal="center"/>
    </xf>
    <xf numFmtId="164" fontId="18" fillId="0" borderId="0" xfId="2" applyFont="1"/>
    <xf numFmtId="164" fontId="18" fillId="0" borderId="0" xfId="2" applyFont="1" applyAlignment="1">
      <alignment horizontal="left"/>
    </xf>
    <xf numFmtId="164" fontId="1" fillId="0" borderId="0" xfId="2" applyAlignment="1">
      <alignment horizontal="center"/>
    </xf>
    <xf numFmtId="164" fontId="12" fillId="0" borderId="24" xfId="2" applyFont="1" applyBorder="1" applyAlignment="1">
      <alignment horizontal="right" vertical="center"/>
    </xf>
    <xf numFmtId="166" fontId="12" fillId="0" borderId="25" xfId="2" applyNumberFormat="1" applyFont="1" applyBorder="1" applyAlignment="1" applyProtection="1">
      <alignment horizontal="center" vertical="center"/>
      <protection locked="0"/>
    </xf>
    <xf numFmtId="169" fontId="12" fillId="0" borderId="25" xfId="2" applyNumberFormat="1" applyFont="1" applyBorder="1" applyAlignment="1" applyProtection="1">
      <alignment horizontal="center" vertical="center"/>
      <protection locked="0"/>
    </xf>
    <xf numFmtId="166" fontId="1" fillId="0" borderId="0" xfId="2" applyNumberFormat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169" fontId="12" fillId="0" borderId="26" xfId="2" applyNumberFormat="1" applyFont="1" applyBorder="1" applyAlignment="1" applyProtection="1">
      <alignment horizontal="center" vertical="center"/>
      <protection locked="0"/>
    </xf>
    <xf numFmtId="166" fontId="12" fillId="9" borderId="25" xfId="2" applyNumberFormat="1" applyFont="1" applyFill="1" applyBorder="1" applyAlignment="1" applyProtection="1">
      <alignment horizontal="center" vertical="center"/>
      <protection locked="0"/>
    </xf>
    <xf numFmtId="169" fontId="25" fillId="0" borderId="27" xfId="2" applyNumberFormat="1" applyFont="1" applyBorder="1" applyAlignment="1">
      <alignment horizontal="center" vertical="center"/>
    </xf>
    <xf numFmtId="2" fontId="25" fillId="0" borderId="27" xfId="2" applyNumberFormat="1" applyFont="1" applyBorder="1" applyAlignment="1">
      <alignment horizontal="center" vertical="center"/>
    </xf>
    <xf numFmtId="164" fontId="12" fillId="0" borderId="28" xfId="2" applyFont="1" applyBorder="1" applyAlignment="1">
      <alignment horizontal="right" vertical="center"/>
    </xf>
    <xf numFmtId="169" fontId="25" fillId="0" borderId="29" xfId="2" applyNumberFormat="1" applyFont="1" applyBorder="1" applyAlignment="1">
      <alignment horizontal="center" vertical="center"/>
    </xf>
    <xf numFmtId="164" fontId="26" fillId="0" borderId="28" xfId="2" applyFont="1" applyBorder="1" applyAlignment="1">
      <alignment horizontal="right" vertical="center"/>
    </xf>
    <xf numFmtId="166" fontId="12" fillId="10" borderId="6" xfId="2" applyNumberFormat="1" applyFont="1" applyFill="1" applyBorder="1" applyAlignment="1" applyProtection="1">
      <alignment horizontal="center" vertical="center"/>
      <protection locked="0"/>
    </xf>
    <xf numFmtId="164" fontId="16" fillId="0" borderId="24" xfId="2" applyFont="1" applyBorder="1" applyAlignment="1">
      <alignment horizontal="right" vertical="center"/>
    </xf>
    <xf numFmtId="164" fontId="16" fillId="0" borderId="30" xfId="2" applyFont="1" applyBorder="1" applyAlignment="1">
      <alignment horizontal="left" vertical="center"/>
    </xf>
    <xf numFmtId="166" fontId="16" fillId="0" borderId="31" xfId="2" applyNumberFormat="1" applyFont="1" applyBorder="1" applyAlignment="1">
      <alignment horizontal="center" vertical="center"/>
    </xf>
    <xf numFmtId="169" fontId="16" fillId="0" borderId="31" xfId="2" applyNumberFormat="1" applyFont="1" applyBorder="1" applyAlignment="1">
      <alignment horizontal="center" vertical="center"/>
    </xf>
    <xf numFmtId="164" fontId="12" fillId="0" borderId="32" xfId="2" applyFont="1" applyBorder="1" applyAlignment="1">
      <alignment horizontal="right" vertical="center"/>
    </xf>
    <xf numFmtId="166" fontId="12" fillId="11" borderId="25" xfId="2" applyNumberFormat="1" applyFont="1" applyFill="1" applyBorder="1" applyAlignment="1" applyProtection="1">
      <alignment horizontal="center" vertical="center"/>
      <protection locked="0"/>
    </xf>
    <xf numFmtId="164" fontId="12" fillId="0" borderId="3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 vertical="center"/>
      <protection locked="0"/>
    </xf>
    <xf numFmtId="164" fontId="12" fillId="0" borderId="34" xfId="2" applyFont="1" applyBorder="1" applyAlignment="1">
      <alignment horizontal="right" vertical="center"/>
    </xf>
    <xf numFmtId="166" fontId="12" fillId="0" borderId="18" xfId="2" applyNumberFormat="1" applyFont="1" applyBorder="1" applyAlignment="1" applyProtection="1">
      <alignment horizontal="center" vertical="center"/>
      <protection locked="0"/>
    </xf>
    <xf numFmtId="169" fontId="25" fillId="0" borderId="23" xfId="2" applyNumberFormat="1" applyFont="1" applyBorder="1" applyAlignment="1">
      <alignment horizontal="center" vertical="center"/>
    </xf>
    <xf numFmtId="164" fontId="16" fillId="0" borderId="35" xfId="2" applyFont="1" applyBorder="1" applyAlignment="1">
      <alignment horizontal="left" vertical="center"/>
    </xf>
    <xf numFmtId="164" fontId="27" fillId="0" borderId="0" xfId="2" applyFont="1"/>
    <xf numFmtId="164" fontId="12" fillId="0" borderId="36" xfId="2" applyFont="1" applyBorder="1" applyAlignment="1">
      <alignment horizontal="right" vertical="center"/>
    </xf>
    <xf numFmtId="2" fontId="26" fillId="0" borderId="37" xfId="2" applyNumberFormat="1" applyFont="1" applyBorder="1" applyAlignment="1">
      <alignment horizontal="center" vertical="center"/>
    </xf>
    <xf numFmtId="169" fontId="26" fillId="0" borderId="37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left" vertical="center"/>
    </xf>
    <xf numFmtId="20" fontId="1" fillId="0" borderId="0" xfId="2" applyNumberFormat="1"/>
    <xf numFmtId="169" fontId="12" fillId="0" borderId="29" xfId="2" applyNumberFormat="1" applyFont="1" applyBorder="1" applyAlignment="1">
      <alignment horizontal="center" vertical="center"/>
    </xf>
    <xf numFmtId="166" fontId="12" fillId="0" borderId="25" xfId="2" applyNumberFormat="1" applyFont="1" applyBorder="1" applyAlignment="1">
      <alignment horizontal="center" vertical="center"/>
    </xf>
    <xf numFmtId="166" fontId="12" fillId="0" borderId="6" xfId="2" applyNumberFormat="1" applyFont="1" applyBorder="1" applyAlignment="1">
      <alignment horizontal="center" vertical="center"/>
    </xf>
    <xf numFmtId="164" fontId="2" fillId="12" borderId="0" xfId="2" applyFont="1" applyFill="1"/>
    <xf numFmtId="20" fontId="1" fillId="0" borderId="39" xfId="2" applyNumberFormat="1" applyBorder="1"/>
    <xf numFmtId="166" fontId="12" fillId="0" borderId="2" xfId="2" applyNumberFormat="1" applyFont="1" applyBorder="1" applyAlignment="1" applyProtection="1">
      <alignment horizontal="center" vertical="center"/>
      <protection locked="0"/>
    </xf>
    <xf numFmtId="166" fontId="12" fillId="0" borderId="4" xfId="2" applyNumberFormat="1" applyFont="1" applyBorder="1" applyAlignment="1" applyProtection="1">
      <alignment horizontal="center" vertical="center"/>
      <protection locked="0"/>
    </xf>
    <xf numFmtId="164" fontId="0" fillId="0" borderId="5" xfId="2" applyFont="1" applyBorder="1"/>
    <xf numFmtId="166" fontId="12" fillId="0" borderId="40" xfId="2" applyNumberFormat="1" applyFont="1" applyBorder="1" applyAlignment="1" applyProtection="1">
      <alignment horizontal="center" vertical="center"/>
      <protection locked="0"/>
    </xf>
    <xf numFmtId="164" fontId="12" fillId="0" borderId="41" xfId="2" applyFont="1" applyBorder="1" applyAlignment="1">
      <alignment horizontal="right" vertical="center"/>
    </xf>
    <xf numFmtId="169" fontId="12" fillId="0" borderId="42" xfId="2" applyNumberFormat="1" applyFont="1" applyBorder="1" applyAlignment="1">
      <alignment horizontal="center" vertical="center"/>
    </xf>
    <xf numFmtId="164" fontId="1" fillId="0" borderId="5" xfId="2" applyBorder="1"/>
    <xf numFmtId="166" fontId="12" fillId="12" borderId="43" xfId="2" applyNumberFormat="1" applyFont="1" applyFill="1" applyBorder="1" applyAlignment="1" applyProtection="1">
      <alignment horizontal="center" vertical="center"/>
      <protection locked="0"/>
    </xf>
    <xf numFmtId="169" fontId="16" fillId="0" borderId="44" xfId="2" applyNumberFormat="1" applyFont="1" applyBorder="1" applyAlignment="1">
      <alignment horizontal="center" vertical="center"/>
    </xf>
    <xf numFmtId="166" fontId="12" fillId="0" borderId="45" xfId="2" applyNumberFormat="1" applyFont="1" applyBorder="1" applyAlignment="1">
      <alignment horizontal="center" vertical="center"/>
    </xf>
    <xf numFmtId="169" fontId="12" fillId="0" borderId="27" xfId="2" applyNumberFormat="1" applyFont="1" applyBorder="1" applyAlignment="1">
      <alignment horizontal="center" vertical="center"/>
    </xf>
    <xf numFmtId="164" fontId="1" fillId="0" borderId="48" xfId="2" applyBorder="1"/>
    <xf numFmtId="166" fontId="12" fillId="0" borderId="8" xfId="2" applyNumberFormat="1" applyFont="1" applyBorder="1" applyAlignment="1" applyProtection="1">
      <alignment horizontal="center" vertical="center"/>
      <protection locked="0"/>
    </xf>
    <xf numFmtId="166" fontId="12" fillId="0" borderId="10" xfId="2" applyNumberFormat="1" applyFont="1" applyBorder="1" applyAlignment="1" applyProtection="1">
      <alignment horizontal="center" vertical="center"/>
      <protection locked="0"/>
    </xf>
    <xf numFmtId="166" fontId="12" fillId="0" borderId="37" xfId="2" applyNumberFormat="1" applyFont="1" applyBorder="1" applyAlignment="1">
      <alignment horizontal="center" vertical="center"/>
    </xf>
    <xf numFmtId="1" fontId="16" fillId="0" borderId="31" xfId="2" applyNumberFormat="1" applyFont="1" applyBorder="1" applyAlignment="1">
      <alignment horizontal="center" vertical="center"/>
    </xf>
    <xf numFmtId="164" fontId="16" fillId="12" borderId="38" xfId="2" applyFont="1" applyFill="1" applyBorder="1" applyAlignment="1">
      <alignment vertical="center" wrapText="1"/>
    </xf>
    <xf numFmtId="166" fontId="12" fillId="0" borderId="31" xfId="2" applyNumberFormat="1" applyFont="1" applyBorder="1" applyAlignment="1" applyProtection="1">
      <alignment horizontal="center" vertical="center"/>
      <protection locked="0"/>
    </xf>
    <xf numFmtId="169" fontId="25" fillId="0" borderId="42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center" vertical="center"/>
    </xf>
    <xf numFmtId="164" fontId="12" fillId="0" borderId="49" xfId="2" applyFont="1" applyBorder="1" applyAlignment="1">
      <alignment horizontal="right" vertical="center"/>
    </xf>
    <xf numFmtId="2" fontId="12" fillId="0" borderId="2" xfId="2" applyNumberFormat="1" applyFont="1" applyBorder="1" applyAlignment="1" applyProtection="1">
      <alignment horizontal="center" vertical="center"/>
      <protection locked="0"/>
    </xf>
    <xf numFmtId="169" fontId="12" fillId="0" borderId="50" xfId="2" applyNumberFormat="1" applyFont="1" applyBorder="1" applyAlignment="1">
      <alignment horizontal="center" vertical="center"/>
    </xf>
    <xf numFmtId="164" fontId="12" fillId="0" borderId="51" xfId="2" applyFont="1" applyBorder="1" applyAlignment="1">
      <alignment horizontal="right" vertical="center"/>
    </xf>
    <xf numFmtId="169" fontId="12" fillId="0" borderId="52" xfId="2" applyNumberFormat="1" applyFont="1" applyBorder="1" applyAlignment="1">
      <alignment horizontal="center" vertical="center"/>
    </xf>
    <xf numFmtId="164" fontId="12" fillId="0" borderId="5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/>
      <protection locked="0"/>
    </xf>
    <xf numFmtId="169" fontId="12" fillId="0" borderId="52" xfId="2" applyNumberFormat="1" applyFont="1" applyBorder="1" applyAlignment="1">
      <alignment horizontal="center"/>
    </xf>
    <xf numFmtId="169" fontId="12" fillId="0" borderId="54" xfId="2" applyNumberFormat="1" applyFont="1" applyBorder="1" applyAlignment="1">
      <alignment horizontal="center" vertical="center"/>
    </xf>
    <xf numFmtId="164" fontId="16" fillId="0" borderId="0" xfId="2" applyFont="1" applyAlignment="1">
      <alignment horizontal="right" vertical="center"/>
    </xf>
    <xf numFmtId="164" fontId="12" fillId="0" borderId="1" xfId="2" applyFont="1" applyBorder="1" applyAlignment="1">
      <alignment vertical="center"/>
    </xf>
    <xf numFmtId="166" fontId="16" fillId="0" borderId="3" xfId="2" applyNumberFormat="1" applyFont="1" applyBorder="1" applyAlignment="1">
      <alignment horizontal="center" vertical="center"/>
    </xf>
    <xf numFmtId="169" fontId="1" fillId="0" borderId="0" xfId="2" applyNumberFormat="1"/>
    <xf numFmtId="166" fontId="12" fillId="0" borderId="55" xfId="2" applyNumberFormat="1" applyFont="1" applyBorder="1" applyAlignment="1" applyProtection="1">
      <alignment horizontal="center" vertical="center"/>
      <protection locked="0"/>
    </xf>
    <xf numFmtId="169" fontId="1" fillId="0" borderId="6" xfId="2" applyNumberFormat="1" applyBorder="1" applyAlignment="1">
      <alignment horizontal="center"/>
    </xf>
    <xf numFmtId="166" fontId="12" fillId="0" borderId="45" xfId="2" applyNumberFormat="1" applyFont="1" applyBorder="1" applyAlignment="1" applyProtection="1">
      <alignment horizontal="center" vertical="center"/>
      <protection locked="0"/>
    </xf>
    <xf numFmtId="164" fontId="12" fillId="0" borderId="56" xfId="2" applyFont="1" applyBorder="1" applyAlignment="1">
      <alignment horizontal="right" vertical="center"/>
    </xf>
    <xf numFmtId="166" fontId="12" fillId="0" borderId="57" xfId="2" applyNumberFormat="1" applyFont="1" applyBorder="1" applyAlignment="1" applyProtection="1">
      <alignment horizontal="center"/>
      <protection locked="0"/>
    </xf>
    <xf numFmtId="169" fontId="1" fillId="0" borderId="37" xfId="2" applyNumberFormat="1" applyBorder="1" applyAlignment="1">
      <alignment horizontal="center"/>
    </xf>
    <xf numFmtId="169" fontId="1" fillId="0" borderId="0" xfId="2" applyNumberFormat="1" applyAlignment="1">
      <alignment horizontal="center"/>
    </xf>
    <xf numFmtId="164" fontId="12" fillId="0" borderId="6" xfId="2" applyFont="1" applyBorder="1" applyAlignment="1">
      <alignment horizontal="right" vertical="center"/>
    </xf>
    <xf numFmtId="164" fontId="28" fillId="0" borderId="6" xfId="2" applyFont="1" applyBorder="1" applyAlignment="1">
      <alignment horizontal="right" vertical="center"/>
    </xf>
    <xf numFmtId="164" fontId="16" fillId="0" borderId="48" xfId="2" applyFont="1" applyBorder="1" applyAlignment="1">
      <alignment vertical="center"/>
    </xf>
    <xf numFmtId="164" fontId="1" fillId="0" borderId="58" xfId="2" applyBorder="1" applyAlignment="1">
      <alignment horizontal="center"/>
    </xf>
    <xf numFmtId="169" fontId="1" fillId="0" borderId="59" xfId="2" applyNumberFormat="1" applyBorder="1" applyAlignment="1">
      <alignment horizontal="center"/>
    </xf>
    <xf numFmtId="164" fontId="12" fillId="0" borderId="60" xfId="2" applyFont="1" applyBorder="1" applyAlignment="1">
      <alignment horizontal="right" vertical="center"/>
    </xf>
    <xf numFmtId="2" fontId="12" fillId="0" borderId="25" xfId="2" applyNumberFormat="1" applyFont="1" applyBorder="1" applyAlignment="1">
      <alignment horizontal="center" vertical="center"/>
    </xf>
    <xf numFmtId="2" fontId="12" fillId="0" borderId="25" xfId="2" applyNumberFormat="1" applyFont="1" applyBorder="1" applyAlignment="1" applyProtection="1">
      <alignment horizontal="center" vertical="center"/>
      <protection locked="0"/>
    </xf>
    <xf numFmtId="169" fontId="25" fillId="0" borderId="61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 applyProtection="1">
      <alignment horizontal="center" vertical="center"/>
      <protection locked="0"/>
    </xf>
    <xf numFmtId="169" fontId="25" fillId="0" borderId="40" xfId="2" applyNumberFormat="1" applyFont="1" applyBorder="1" applyAlignment="1">
      <alignment horizontal="center" vertical="center"/>
    </xf>
    <xf numFmtId="169" fontId="25" fillId="0" borderId="62" xfId="2" applyNumberFormat="1" applyFont="1" applyBorder="1" applyAlignment="1">
      <alignment horizontal="center" vertical="center"/>
    </xf>
    <xf numFmtId="2" fontId="12" fillId="0" borderId="37" xfId="2" applyNumberFormat="1" applyFont="1" applyBorder="1" applyAlignment="1">
      <alignment horizontal="center" vertical="center"/>
    </xf>
    <xf numFmtId="2" fontId="12" fillId="0" borderId="18" xfId="2" applyNumberFormat="1" applyFont="1" applyBorder="1" applyAlignment="1" applyProtection="1">
      <alignment horizontal="center" vertical="center"/>
      <protection locked="0"/>
    </xf>
    <xf numFmtId="164" fontId="12" fillId="0" borderId="35" xfId="2" applyFont="1" applyBorder="1" applyAlignment="1">
      <alignment vertical="center"/>
    </xf>
    <xf numFmtId="2" fontId="12" fillId="0" borderId="63" xfId="2" applyNumberFormat="1" applyFont="1" applyBorder="1" applyAlignment="1">
      <alignment horizontal="center" vertical="center"/>
    </xf>
    <xf numFmtId="2" fontId="12" fillId="0" borderId="31" xfId="2" applyNumberFormat="1" applyFont="1" applyBorder="1" applyAlignment="1">
      <alignment horizontal="center" vertical="center"/>
    </xf>
    <xf numFmtId="2" fontId="12" fillId="0" borderId="64" xfId="2" applyNumberFormat="1" applyFont="1" applyBorder="1" applyAlignment="1">
      <alignment horizontal="center" vertical="center"/>
    </xf>
    <xf numFmtId="169" fontId="25" fillId="0" borderId="35" xfId="2" applyNumberFormat="1" applyFont="1" applyBorder="1" applyAlignment="1">
      <alignment horizontal="center" vertical="center"/>
    </xf>
    <xf numFmtId="2" fontId="1" fillId="0" borderId="0" xfId="2" applyNumberFormat="1" applyAlignment="1">
      <alignment horizontal="center"/>
    </xf>
    <xf numFmtId="2" fontId="12" fillId="0" borderId="2" xfId="2" applyNumberFormat="1" applyFont="1" applyBorder="1" applyAlignment="1">
      <alignment horizontal="center" vertical="center"/>
    </xf>
    <xf numFmtId="169" fontId="29" fillId="0" borderId="4" xfId="2" applyNumberFormat="1" applyFont="1" applyBorder="1" applyAlignment="1">
      <alignment horizontal="center" vertical="center"/>
    </xf>
    <xf numFmtId="169" fontId="29" fillId="0" borderId="40" xfId="2" applyNumberFormat="1" applyFont="1" applyBorder="1" applyAlignment="1">
      <alignment horizontal="center" vertical="center"/>
    </xf>
    <xf numFmtId="169" fontId="29" fillId="0" borderId="62" xfId="2" applyNumberFormat="1" applyFont="1" applyBorder="1" applyAlignment="1">
      <alignment horizontal="center" vertical="center"/>
    </xf>
    <xf numFmtId="164" fontId="12" fillId="0" borderId="63" xfId="2" applyFont="1" applyBorder="1" applyAlignment="1">
      <alignment horizontal="right" vertical="center"/>
    </xf>
    <xf numFmtId="169" fontId="1" fillId="0" borderId="65" xfId="2" applyNumberFormat="1" applyBorder="1" applyAlignment="1">
      <alignment horizontal="center"/>
    </xf>
    <xf numFmtId="164" fontId="16" fillId="0" borderId="49" xfId="2" applyFont="1" applyBorder="1" applyAlignment="1">
      <alignment vertical="center"/>
    </xf>
    <xf numFmtId="2" fontId="30" fillId="0" borderId="2" xfId="2" applyNumberFormat="1" applyFont="1" applyBorder="1" applyAlignment="1">
      <alignment horizontal="center" vertical="center"/>
    </xf>
    <xf numFmtId="2" fontId="30" fillId="0" borderId="4" xfId="2" applyNumberFormat="1" applyFont="1" applyBorder="1" applyAlignment="1">
      <alignment horizontal="center" vertical="center"/>
    </xf>
    <xf numFmtId="164" fontId="16" fillId="0" borderId="60" xfId="2" applyFont="1" applyBorder="1" applyAlignment="1">
      <alignment vertical="center"/>
    </xf>
    <xf numFmtId="2" fontId="30" fillId="0" borderId="25" xfId="2" applyNumberFormat="1" applyFont="1" applyBorder="1" applyAlignment="1">
      <alignment horizontal="center" vertical="center"/>
    </xf>
    <xf numFmtId="2" fontId="30" fillId="0" borderId="61" xfId="2" applyNumberFormat="1" applyFont="1" applyBorder="1" applyAlignment="1">
      <alignment horizontal="center" vertical="center"/>
    </xf>
    <xf numFmtId="164" fontId="1" fillId="0" borderId="66" xfId="2" applyBorder="1" applyAlignment="1">
      <alignment horizontal="center"/>
    </xf>
    <xf numFmtId="164" fontId="16" fillId="0" borderId="51" xfId="2" applyFont="1" applyBorder="1" applyAlignment="1">
      <alignment vertical="center"/>
    </xf>
    <xf numFmtId="2" fontId="30" fillId="0" borderId="6" xfId="2" applyNumberFormat="1" applyFont="1" applyBorder="1" applyAlignment="1">
      <alignment horizontal="center" vertical="center"/>
    </xf>
    <xf numFmtId="2" fontId="30" fillId="0" borderId="40" xfId="2" applyNumberFormat="1" applyFont="1" applyBorder="1" applyAlignment="1">
      <alignment horizontal="center" vertical="center"/>
    </xf>
    <xf numFmtId="164" fontId="16" fillId="0" borderId="67" xfId="2" applyFont="1" applyBorder="1" applyAlignment="1">
      <alignment vertical="center"/>
    </xf>
    <xf numFmtId="2" fontId="30" fillId="0" borderId="8" xfId="2" applyNumberFormat="1" applyFont="1" applyBorder="1" applyAlignment="1">
      <alignment horizontal="center" vertical="center"/>
    </xf>
    <xf numFmtId="2" fontId="30" fillId="0" borderId="10" xfId="2" applyNumberFormat="1" applyFont="1" applyBorder="1" applyAlignment="1">
      <alignment horizontal="center" vertical="center"/>
    </xf>
    <xf numFmtId="164" fontId="12" fillId="13" borderId="6" xfId="2" applyFont="1" applyFill="1" applyBorder="1" applyAlignment="1">
      <alignment vertical="center"/>
    </xf>
    <xf numFmtId="1" fontId="1" fillId="13" borderId="6" xfId="2" applyNumberFormat="1" applyFill="1" applyBorder="1"/>
    <xf numFmtId="20" fontId="31" fillId="13" borderId="6" xfId="2" applyNumberFormat="1" applyFont="1" applyFill="1" applyBorder="1" applyAlignment="1">
      <alignment horizontal="center"/>
    </xf>
    <xf numFmtId="164" fontId="1" fillId="0" borderId="0" xfId="2" applyAlignment="1">
      <alignment horizontal="left"/>
    </xf>
    <xf numFmtId="164" fontId="32" fillId="15" borderId="0" xfId="2" applyFont="1" applyFill="1"/>
    <xf numFmtId="164" fontId="1" fillId="16" borderId="0" xfId="2" applyFill="1" applyProtection="1">
      <protection locked="0"/>
    </xf>
    <xf numFmtId="164" fontId="16" fillId="0" borderId="0" xfId="2" applyFont="1" applyAlignment="1">
      <alignment vertical="top" wrapText="1"/>
    </xf>
    <xf numFmtId="20" fontId="12" fillId="0" borderId="37" xfId="2" applyNumberFormat="1" applyFont="1" applyBorder="1" applyAlignment="1">
      <alignment vertical="center"/>
    </xf>
    <xf numFmtId="167" fontId="12" fillId="0" borderId="68" xfId="2" applyNumberFormat="1" applyFont="1" applyBorder="1" applyAlignment="1">
      <alignment vertical="center"/>
    </xf>
    <xf numFmtId="167" fontId="12" fillId="0" borderId="37" xfId="2" applyNumberFormat="1" applyFont="1" applyBorder="1" applyAlignment="1">
      <alignment vertical="center"/>
    </xf>
    <xf numFmtId="167" fontId="12" fillId="0" borderId="19" xfId="2" applyNumberFormat="1" applyFont="1" applyBorder="1" applyAlignment="1">
      <alignment vertical="center"/>
    </xf>
    <xf numFmtId="1" fontId="1" fillId="0" borderId="0" xfId="2" applyNumberFormat="1" applyAlignment="1">
      <alignment horizontal="center"/>
    </xf>
    <xf numFmtId="165" fontId="1" fillId="16" borderId="0" xfId="2" applyNumberFormat="1" applyFill="1" applyProtection="1">
      <protection locked="0"/>
    </xf>
    <xf numFmtId="164" fontId="1" fillId="0" borderId="6" xfId="2" applyBorder="1"/>
    <xf numFmtId="166" fontId="1" fillId="0" borderId="6" xfId="2" applyNumberFormat="1" applyBorder="1" applyAlignment="1">
      <alignment horizontal="center"/>
    </xf>
    <xf numFmtId="2" fontId="1" fillId="0" borderId="6" xfId="2" applyNumberFormat="1" applyBorder="1" applyAlignment="1">
      <alignment horizontal="center"/>
    </xf>
    <xf numFmtId="2" fontId="18" fillId="0" borderId="31" xfId="0" applyNumberFormat="1" applyFont="1" applyBorder="1"/>
    <xf numFmtId="166" fontId="12" fillId="0" borderId="26" xfId="2" applyNumberFormat="1" applyFont="1" applyBorder="1" applyAlignment="1" applyProtection="1">
      <alignment horizontal="center" vertical="center"/>
      <protection locked="0"/>
    </xf>
    <xf numFmtId="166" fontId="12" fillId="0" borderId="45" xfId="2" applyNumberFormat="1" applyFont="1" applyBorder="1" applyAlignment="1" applyProtection="1">
      <alignment horizontal="center"/>
      <protection locked="0"/>
    </xf>
    <xf numFmtId="0" fontId="32" fillId="0" borderId="0" xfId="0" applyFont="1" applyAlignment="1">
      <alignment horizontal="center"/>
    </xf>
    <xf numFmtId="164" fontId="4" fillId="0" borderId="0" xfId="2" applyFont="1" applyAlignment="1">
      <alignment horizontal="center" vertical="center" wrapText="1"/>
    </xf>
    <xf numFmtId="164" fontId="5" fillId="2" borderId="0" xfId="2" applyFont="1" applyFill="1" applyAlignment="1">
      <alignment horizontal="center" vertical="center"/>
    </xf>
    <xf numFmtId="164" fontId="4" fillId="0" borderId="1" xfId="2" applyFont="1" applyBorder="1" applyAlignment="1">
      <alignment horizontal="center" vertical="center"/>
    </xf>
    <xf numFmtId="164" fontId="4" fillId="0" borderId="7" xfId="2" applyFont="1" applyBorder="1" applyAlignment="1">
      <alignment horizontal="center" vertical="center"/>
    </xf>
    <xf numFmtId="164" fontId="4" fillId="0" borderId="3" xfId="2" applyFont="1" applyBorder="1" applyAlignment="1">
      <alignment horizontal="center" vertical="center"/>
    </xf>
    <xf numFmtId="164" fontId="4" fillId="0" borderId="9" xfId="2" applyFont="1" applyBorder="1" applyAlignment="1">
      <alignment horizontal="center" vertical="center"/>
    </xf>
    <xf numFmtId="164" fontId="1" fillId="0" borderId="5" xfId="2" applyBorder="1" applyAlignment="1">
      <alignment horizontal="center" textRotation="90"/>
    </xf>
    <xf numFmtId="164" fontId="15" fillId="4" borderId="11" xfId="2" applyFont="1" applyFill="1" applyBorder="1" applyAlignment="1">
      <alignment horizontal="left" vertical="center"/>
    </xf>
    <xf numFmtId="164" fontId="15" fillId="4" borderId="11" xfId="2" applyFont="1" applyFill="1" applyBorder="1" applyAlignment="1">
      <alignment horizontal="center" vertical="center"/>
    </xf>
    <xf numFmtId="2" fontId="22" fillId="0" borderId="13" xfId="2" applyNumberFormat="1" applyFont="1" applyBorder="1" applyAlignment="1">
      <alignment horizontal="center" vertical="center"/>
    </xf>
    <xf numFmtId="2" fontId="22" fillId="0" borderId="14" xfId="2" applyNumberFormat="1" applyFont="1" applyBorder="1" applyAlignment="1">
      <alignment horizontal="center" vertical="center"/>
    </xf>
    <xf numFmtId="2" fontId="22" fillId="0" borderId="15" xfId="2" applyNumberFormat="1" applyFont="1" applyBorder="1" applyAlignment="1">
      <alignment horizontal="center" vertical="center"/>
    </xf>
    <xf numFmtId="2" fontId="23" fillId="0" borderId="13" xfId="2" applyNumberFormat="1" applyFont="1" applyBorder="1" applyAlignment="1">
      <alignment horizontal="center" vertical="center"/>
    </xf>
    <xf numFmtId="2" fontId="23" fillId="0" borderId="14" xfId="2" applyNumberFormat="1" applyFont="1" applyBorder="1" applyAlignment="1">
      <alignment horizontal="center" vertical="center"/>
    </xf>
    <xf numFmtId="2" fontId="23" fillId="0" borderId="15" xfId="2" applyNumberFormat="1" applyFont="1" applyBorder="1" applyAlignment="1">
      <alignment horizontal="center" vertical="center"/>
    </xf>
    <xf numFmtId="164" fontId="16" fillId="0" borderId="17" xfId="2" applyFont="1" applyBorder="1" applyAlignment="1">
      <alignment horizontal="left" vertical="top" wrapText="1"/>
    </xf>
    <xf numFmtId="164" fontId="16" fillId="0" borderId="21" xfId="2" applyFont="1" applyBorder="1" applyAlignment="1">
      <alignment horizontal="left" vertical="top" wrapText="1"/>
    </xf>
    <xf numFmtId="167" fontId="12" fillId="0" borderId="18" xfId="2" applyNumberFormat="1" applyFont="1" applyBorder="1" applyAlignment="1">
      <alignment horizontal="center" vertical="center"/>
    </xf>
    <xf numFmtId="167" fontId="12" fillId="0" borderId="22" xfId="2" applyNumberFormat="1" applyFont="1" applyBorder="1" applyAlignment="1">
      <alignment horizontal="center" vertical="center"/>
    </xf>
    <xf numFmtId="167" fontId="12" fillId="7" borderId="19" xfId="2" applyNumberFormat="1" applyFont="1" applyFill="1" applyBorder="1" applyAlignment="1">
      <alignment horizontal="center" vertical="center"/>
    </xf>
    <xf numFmtId="167" fontId="12" fillId="7" borderId="22" xfId="2" applyNumberFormat="1" applyFont="1" applyFill="1" applyBorder="1" applyAlignment="1">
      <alignment horizontal="center" vertical="center"/>
    </xf>
    <xf numFmtId="167" fontId="12" fillId="0" borderId="19" xfId="2" applyNumberFormat="1" applyFont="1" applyBorder="1" applyAlignment="1">
      <alignment horizontal="center" vertical="center"/>
    </xf>
    <xf numFmtId="166" fontId="16" fillId="12" borderId="46" xfId="2" applyNumberFormat="1" applyFont="1" applyFill="1" applyBorder="1" applyAlignment="1">
      <alignment horizontal="center" vertical="center"/>
    </xf>
    <xf numFmtId="166" fontId="16" fillId="12" borderId="47" xfId="2" applyNumberFormat="1" applyFont="1" applyFill="1" applyBorder="1" applyAlignment="1">
      <alignment horizontal="center" vertical="center"/>
    </xf>
    <xf numFmtId="164" fontId="32" fillId="14" borderId="0" xfId="2" applyFont="1" applyFill="1" applyAlignment="1">
      <alignment horizontal="center"/>
    </xf>
    <xf numFmtId="168" fontId="24" fillId="8" borderId="20" xfId="2" applyNumberFormat="1" applyFont="1" applyFill="1" applyBorder="1" applyAlignment="1">
      <alignment horizontal="center" vertical="center" wrapText="1"/>
    </xf>
    <xf numFmtId="168" fontId="24" fillId="8" borderId="23" xfId="2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C52244B2-CA04-4754-9059-779D39E9DA43}"/>
  </cellStyles>
  <dxfs count="6739"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94FAA3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99A-4EB3-B39D-9D84B30F33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99A-4EB3-B39D-9D84B30F33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99A-4EB3-B39D-9D84B30F33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99A-4EB3-B39D-9D84B30F33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99A-4EB3-B39D-9D84B30F338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99A-4EB3-B39D-9D84B30F338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90-4F01-9375-36B066AEA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70-46B3-86A1-60305BF1BE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70-46B3-86A1-60305BF1BE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70-46B3-86A1-60305BF1BE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470-46B3-86A1-60305BF1BE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470-46B3-86A1-60305BF1BE1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470-46B3-86A1-60305BF1BE1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14-4508-97DC-D819F62E9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73-48B7-92B6-229256001A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73-48B7-92B6-229256001A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73-48B7-92B6-229256001A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373-48B7-92B6-229256001A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373-48B7-92B6-229256001A8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373-48B7-92B6-229256001A8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A0-4506-90EA-551DE3D9B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4D-42EE-8467-3FFF22FB37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4D-42EE-8467-3FFF22FB37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4D-42EE-8467-3FFF22FB37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94D-42EE-8467-3FFF22FB37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94D-42EE-8467-3FFF22FB374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094D-42EE-8467-3FFF22FB374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70-4DDE-B3BA-53FDDDE38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61D-4F25-94C0-37A16D01F5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61D-4F25-94C0-37A16D01F5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61D-4F25-94C0-37A16D01F5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61D-4F25-94C0-37A16D01F5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61D-4F25-94C0-37A16D01F5F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61D-4F25-94C0-37A16D01F5F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3D-4771-9080-D711EB151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FC2-4C27-8C33-B2C9C8DB10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FC2-4C27-8C33-B2C9C8DB10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FC2-4C27-8C33-B2C9C8DB10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FC2-4C27-8C33-B2C9C8DB10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FC2-4C27-8C33-B2C9C8DB10C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FC2-4C27-8C33-B2C9C8DB10C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D5-430F-86DB-BB4BE0DEB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8D-47E1-A346-EFD40B2757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8D-47E1-A346-EFD40B2757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F8D-47E1-A346-EFD40B2757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F8D-47E1-A346-EFD40B2757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F8D-47E1-A346-EFD40B2757A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F8D-47E1-A346-EFD40B2757A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BB-4B9D-BF8E-A89BE50EE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6F-4744-9C01-AFBCB51C8E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6F-4744-9C01-AFBCB51C8E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6F-4744-9C01-AFBCB51C8E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26F-4744-9C01-AFBCB51C8E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26F-4744-9C01-AFBCB51C8E2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26F-4744-9C01-AFBCB51C8E2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8C-464B-9630-6BDC968E1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41D-46E8-813F-FA0561CB4C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41D-46E8-813F-FA0561CB4C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41D-46E8-813F-FA0561CB4C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41D-46E8-813F-FA0561CB4CA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41D-46E8-813F-FA0561CB4CA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41D-46E8-813F-FA0561CB4CA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86-411D-89B9-6AB717B36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75-4C14-969E-6F46852358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075-4C14-969E-6F46852358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075-4C14-969E-6F46852358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075-4C14-969E-6F46852358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075-4C14-969E-6F46852358B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075-4C14-969E-6F46852358B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EB-4C05-8E62-01FD756DB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74-444C-ACCC-75C4132321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74-444C-ACCC-75C4132321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74-444C-ACCC-75C4132321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374-444C-ACCC-75C41323211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74-444C-ACCC-75C41323211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374-444C-ACCC-75C41323211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2B-4B3C-90A6-530B12E92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38-43D5-A470-B6EBCFDFAD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38-43D5-A470-B6EBCFDFAD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38-43D5-A470-B6EBCFDFAD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938-43D5-A470-B6EBCFDFAD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938-43D5-A470-B6EBCFDFADC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938-43D5-A470-B6EBCFDFADC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18-4A80-9485-2C200D9B8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9F-4CB9-AF63-94B9F92AFA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9F-4CB9-AF63-94B9F92AFA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19F-4CB9-AF63-94B9F92AFA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9F-4CB9-AF63-94B9F92AFA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19F-4CB9-AF63-94B9F92AFA4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19F-4CB9-AF63-94B9F92AFA4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33-407F-A690-F877D5281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0CD-41DF-BE4D-C40836ACB2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0CD-41DF-BE4D-C40836ACB2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CD-41DF-BE4D-C40836ACB2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0CD-41DF-BE4D-C40836ACB2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0CD-41DF-BE4D-C40836ACB2E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A0CD-41DF-BE4D-C40836ACB2E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4F-49A5-8E91-A39EDC838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C85-44AB-9389-A5D2AED031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85-44AB-9389-A5D2AED031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C85-44AB-9389-A5D2AED031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C85-44AB-9389-A5D2AED031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C85-44AB-9389-A5D2AED031D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3C85-44AB-9389-A5D2AED031D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00-40E4-AA4A-669BFD793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61-47F8-9233-A218A25562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61-47F8-9233-A218A25562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E61-47F8-9233-A218A25562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E61-47F8-9233-A218A25562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E61-47F8-9233-A218A25562B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0E61-47F8-9233-A218A25562B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AD-40F9-A1B9-72911A412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75-40D8-9E67-2817B76134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75-40D8-9E67-2817B76134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575-40D8-9E67-2817B76134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575-40D8-9E67-2817B76134D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575-40D8-9E67-2817B76134D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575-40D8-9E67-2817B76134D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EA-402B-9680-6658C36AD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0A0-4415-A990-B7A99DE2C0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0A0-4415-A990-B7A99DE2C0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0A0-4415-A990-B7A99DE2C0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0A0-4415-A990-B7A99DE2C0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0A0-4415-A990-B7A99DE2C07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0A0-4415-A990-B7A99DE2C07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87-4814-B8E5-B47FD94FC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FD-48C9-B2A7-69B2B6CB9D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FD-48C9-B2A7-69B2B6CB9D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FD-48C9-B2A7-69B2B6CB9D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FD-48C9-B2A7-69B2B6CB9D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BFD-48C9-B2A7-69B2B6CB9D5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7BFD-48C9-B2A7-69B2B6CB9D5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2E-4AA2-BB66-63A72E64C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CA-4B4B-9EA0-E17182EE50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CA-4B4B-9EA0-E17182EE50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CA-4B4B-9EA0-E17182EE50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2CA-4B4B-9EA0-E17182EE505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2CA-4B4B-9EA0-E17182EE505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2CA-4B4B-9EA0-E17182EE505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9D-4086-9512-28FC6767A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E8-4909-B65F-E32BFA0468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E8-4909-B65F-E32BFA0468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E8-4909-B65F-E32BFA0468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E8-4909-B65F-E32BFA0468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FE8-4909-B65F-E32BFA0468D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AFE8-4909-B65F-E32BFA0468D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0B-433C-97CC-E078F3E3A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4F-46CD-B270-A097FC0948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4F-46CD-B270-A097FC0948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D4F-46CD-B270-A097FC0948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D4F-46CD-B270-A097FC0948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D4F-46CD-B270-A097FC09482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D4F-46CD-B270-A097FC09482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C8-4B4A-BD06-646FB6394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BE-4E72-8973-B30437F6A8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BE-4E72-8973-B30437F6A8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BE-4E72-8973-B30437F6A8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4BE-4E72-8973-B30437F6A8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4BE-4E72-8973-B30437F6A85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04BE-4E72-8973-B30437F6A85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D7-4DC6-A101-C5BD9131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CC-4565-B9D3-B77B2B2AAB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CC-4565-B9D3-B77B2B2AAB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CC-4565-B9D3-B77B2B2AAB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BCC-4565-B9D3-B77B2B2AAB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BCC-4565-B9D3-B77B2B2AAB6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BCC-4565-B9D3-B77B2B2AAB6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0B-437C-9626-60D934E4F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B8-4DEE-A172-B9715A3F45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B8-4DEE-A172-B9715A3F45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B8-4DEE-A172-B9715A3F45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EB8-4DEE-A172-B9715A3F45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EB8-4DEE-A172-B9715A3F457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EB8-4DEE-A172-B9715A3F457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04-4048-AF1E-392DC825C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B4-423E-9754-4CA2117DC2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CB4-423E-9754-4CA2117DC2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CB4-423E-9754-4CA2117DC2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CB4-423E-9754-4CA2117DC2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CB4-423E-9754-4CA2117DC26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CB4-423E-9754-4CA2117DC26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94-4370-916D-FF0BD56D1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6B-40C0-9CC0-1F451E240B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6B-40C0-9CC0-1F451E240B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6B-40C0-9CC0-1F451E240B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6B-40C0-9CC0-1F451E240B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6B-40C0-9CC0-1F451E240B7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66B-40C0-9CC0-1F451E240B7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83-49D8-8A58-8A24D20E9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95-4415-9218-B3A001A603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95-4415-9218-B3A001A603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95-4415-9218-B3A001A603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095-4415-9218-B3A001A603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095-4415-9218-B3A001A6034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095-4415-9218-B3A001A6034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52-4777-83C0-0974150D6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045-41EC-B53F-384AE6F7E9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045-41EC-B53F-384AE6F7E9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045-41EC-B53F-384AE6F7E9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045-41EC-B53F-384AE6F7E9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045-41EC-B53F-384AE6F7E93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7045-41EC-B53F-384AE6F7E93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93-4B9F-B97D-D274CD1BC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6D2-4D51-A380-B01387E232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6D2-4D51-A380-B01387E232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6D2-4D51-A380-B01387E232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6D2-4D51-A380-B01387E232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6D2-4D51-A380-B01387E2329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6D2-4D51-A380-B01387E2329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9E-4691-8C98-CEA00C384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10D-43B9-956B-B8704FEFE0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10D-43B9-956B-B8704FEFE0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10D-43B9-956B-B8704FEFE0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10D-43B9-956B-B8704FEFE0F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10D-43B9-956B-B8704FEFE0F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10D-43B9-956B-B8704FEFE0F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69-4C7D-9DBE-A8F4C0F49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CF2-47E4-8932-2C8585F35F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CF2-47E4-8932-2C8585F35F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CF2-47E4-8932-2C8585F35F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CF2-47E4-8932-2C8585F35F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CF2-47E4-8932-2C8585F35F1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CF2-47E4-8932-2C8585F35F1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CB-444D-B2C1-6810F386A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0D-4887-8457-A779496490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0D-4887-8457-A779496490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D0D-4887-8457-A779496490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D0D-4887-8457-A779496490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D0D-4887-8457-A7794964908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D0D-4887-8457-A7794964908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F7-4E44-B825-5FF07C23B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50B-480A-A018-2A0BAF89D9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50B-480A-A018-2A0BAF89D9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50B-480A-A018-2A0BAF89D9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50B-480A-A018-2A0BAF89D9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50B-480A-A018-2A0BAF89D9A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50B-480A-A018-2A0BAF89D9A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'[1]4'!$T$240:$AX$240</c:f>
              <c:numCache>
                <c:formatCode>General</c:formatCode>
                <c:ptCount val="31"/>
              </c:numCache>
            </c:numRef>
          </c:cat>
          <c:val>
            <c:numRef>
              <c:f>'[1]4'!$U$241:$AX$241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6E-4477-9DE8-62E887D30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8.xml"/><Relationship Id="rId1" Type="http://schemas.openxmlformats.org/officeDocument/2006/relationships/chart" Target="../charts/chart6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5BE68F-7AB2-457E-92F5-682866076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7CF261-E3BB-4E43-82FE-4996D7B18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D62331-E594-4008-8E64-D458CA710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79F49C-F1EB-4060-9449-C01507029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1F6665-4F9B-4BA7-B89C-90EA33BDF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F9F47C-133B-4FCF-B38A-7449055D3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134AFB-A8CF-49C7-B50B-DAB41A10D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7D9252-D047-44E2-8F2B-6450DDE99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0AFEA-FB14-4856-B25D-D20B0F2B4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015251-C5A7-46AB-ADD6-F755F3664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DEB1AC-74E1-4E4D-8F69-7F9BA0DFD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9FBEB9-CEB1-4512-A12F-227C15287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9BB2C7-E49A-4CE6-A2CA-381DDFFB7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142D93-4CFA-4466-AB4E-D15AE837D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90F0C-857C-4805-802D-D1E47168B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426259-553A-4FD8-A3D2-0E5089BD5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5D70A-E9E6-412C-8A1F-EF925DA8F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6A434A-6C29-4A04-9B21-8FC780AC3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6B6060-ADAE-4648-887C-8E1CBF52C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01EEBA-5224-4040-B9BF-8F406EE87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8E32AB-BF7E-4F6D-ACA6-83FF28F60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D1C6CF-09C5-4B04-8A54-A6D4225750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3413E3-9F3E-473E-844C-4287D2E41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A50BC6-A0C2-4ACA-A80A-9C5E49246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3782E2-B538-420E-BFB8-B5763840C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5EC182-DE30-4B0E-9EB6-312137708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2C0A1E-2483-4CD4-B8D0-BEFAD44AC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7B090A-B576-48F4-B0F0-6B8D28588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C805AC-D470-44AD-B61E-B9AC4AE99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7A2639-4A77-4A57-8EA8-378D8B023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32FA1-5F45-495A-AF29-966173948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189640-D993-47F3-BB1D-15485265D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01329C-2FF9-461E-BEFC-D3F5DF2B0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16E492-116C-42A4-90EC-34E75BB54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B1CAAD-F421-44EF-84E7-5DE27E96D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CB6E25-D6BB-4868-A6F3-E6756C878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2B2B9A-4CAC-409A-97C0-AC047BF2D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A1D6FE-B164-47AC-88A3-6B4B5B671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06A6B-0FE7-48D2-A6CF-439E6827E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44583C-371F-42BB-8422-6DD3B74F4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BA25B-7AA6-4B55-95C3-181EBD768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690920-8BC6-4C1B-B85E-FA3A5AC47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C8237B-B06D-407A-AE73-6881BC997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875D2E-22AB-4CF4-B278-2964B9265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F2C5E-2E80-4243-B6C3-E240DF062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972F14-A12D-4BAA-9870-DA1E7EF15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84571E-25F9-4BEC-AA62-5FA323EB7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1CA958-BB77-498F-9BB5-A50C0DAE1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5B4DC-4F5A-4D82-85E1-8B08A4F1A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2E2833-DEDE-42FB-9413-76AC8032F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BAC3CE-C4EA-48FE-B2D2-C4FC966ED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27BD12-BC83-4AA1-A1DE-82C875066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0CCF55-CB73-418D-A642-D0AFEF95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E6E455-E8D0-40F3-8A6E-3291D45D1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7D2DF-AEB2-4ACA-BFB4-EC65AEBBA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56DDBE-81AD-4884-87AE-980AAA4D2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2AC9C5-D348-424A-B84A-34FD34995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E11F6C-6CF3-4687-811E-70365900C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BC312-0DD1-4816-A8AD-1CA275B4D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F77245-F533-4C31-B4C0-002D908E2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111657-F4C1-4B86-AAB7-B58260827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D19B36-DED8-4865-9984-69235AFBC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86A482-C4DC-45A7-BD4D-75C2D6B38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569A9B-31E2-4241-A1A4-BE239FFC4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EB66C-411D-4BA1-8E09-C4547AB55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0F6E52-291F-4FC9-A442-AF3EFCD7E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246</xdr:row>
      <xdr:rowOff>57156</xdr:rowOff>
    </xdr:from>
    <xdr:to>
      <xdr:col>15</xdr:col>
      <xdr:colOff>219074</xdr:colOff>
      <xdr:row>268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A057E-433E-4CDA-B917-53A9BD074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249</xdr:row>
      <xdr:rowOff>133356</xdr:rowOff>
    </xdr:from>
    <xdr:to>
      <xdr:col>32</xdr:col>
      <xdr:colOff>9524</xdr:colOff>
      <xdr:row>267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94FB4D-F2E2-4745-A860-32DE9EC9D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0%20Data_Collection%2075/Daily_Log_Sheets/Log%20Sheet%202079/Daily-Logsheet-2079-09-Po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agh1"/>
      <sheetName val="sample"/>
      <sheetName val="Feedback"/>
    </sheetNames>
    <sheetDataSet>
      <sheetData sheetId="0"/>
      <sheetData sheetId="1"/>
      <sheetData sheetId="2"/>
      <sheetData sheetId="3">
        <row r="240">
          <cell r="A240" t="str">
            <v>IPP</v>
          </cell>
          <cell r="B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</row>
        <row r="241">
          <cell r="A241" t="str">
            <v>NEA(RoR+PRoR)</v>
          </cell>
          <cell r="B241"/>
          <cell r="U241">
            <v>4.1666666666666664E-2</v>
          </cell>
          <cell r="V241">
            <v>8.3333333333333301E-2</v>
          </cell>
          <cell r="W241">
            <v>0.125</v>
          </cell>
          <cell r="X241">
            <v>0.16666666666666699</v>
          </cell>
          <cell r="Y241">
            <v>0.20833333333333301</v>
          </cell>
          <cell r="Z241">
            <v>0.22916666666666666</v>
          </cell>
          <cell r="AA241">
            <v>0.25</v>
          </cell>
          <cell r="AB241">
            <v>0.27083333333333331</v>
          </cell>
          <cell r="AC241">
            <v>0.29166666666666669</v>
          </cell>
          <cell r="AD241">
            <v>0.3125</v>
          </cell>
          <cell r="AE241">
            <v>0.33333333333333331</v>
          </cell>
          <cell r="AF241">
            <v>0.375</v>
          </cell>
          <cell r="AG241">
            <v>0.41666666666666702</v>
          </cell>
          <cell r="AH241">
            <v>0.45833333333333298</v>
          </cell>
          <cell r="AI241">
            <v>0.5</v>
          </cell>
          <cell r="AJ241">
            <v>0.54166666666666696</v>
          </cell>
          <cell r="AK241">
            <v>0.58333333333333304</v>
          </cell>
          <cell r="AL241">
            <v>0.625</v>
          </cell>
          <cell r="AM241">
            <v>0.66666666666666696</v>
          </cell>
          <cell r="AN241">
            <v>0.70833333333333304</v>
          </cell>
          <cell r="AO241">
            <v>0.72916666666666663</v>
          </cell>
          <cell r="AP241">
            <v>0.75</v>
          </cell>
          <cell r="AQ241">
            <v>0.77083333333333337</v>
          </cell>
          <cell r="AR241">
            <v>0.79166666666666663</v>
          </cell>
          <cell r="AS241">
            <v>0.8125</v>
          </cell>
          <cell r="AT241">
            <v>0.83333333333333337</v>
          </cell>
          <cell r="AU241">
            <v>0.85416666666666663</v>
          </cell>
          <cell r="AV241">
            <v>0.875</v>
          </cell>
          <cell r="AW241">
            <v>0.91666666666666696</v>
          </cell>
          <cell r="AX241">
            <v>0.95833333333333304</v>
          </cell>
        </row>
        <row r="242">
          <cell r="A242" t="str">
            <v>KL1+KL2+KL3</v>
          </cell>
          <cell r="B242"/>
          <cell r="S242" t="str">
            <v>T_Load</v>
          </cell>
        </row>
        <row r="243">
          <cell r="A243" t="str">
            <v>Import</v>
          </cell>
          <cell r="B243"/>
        </row>
        <row r="244">
          <cell r="A244" t="str">
            <v>Export</v>
          </cell>
          <cell r="B24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E367-BF3C-4077-B7B7-CAD2935321EE}">
  <dimension ref="A1:CJ281"/>
  <sheetViews>
    <sheetView workbookViewId="0">
      <pane xSplit="1" ySplit="10" topLeftCell="B37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C107" sqref="AC10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22.42578125" style="1" bestFit="1" customWidth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"2080/"&amp;"02/"&amp;INT(MID(CELL("filename",D6),FIND("]",CELL("filename",D6))+1,200))</f>
        <v>2080/02/0</v>
      </c>
      <c r="C4" s="187"/>
      <c r="D4" s="187"/>
      <c r="E4" s="188" t="str">
        <f ca="1">"2079/"&amp;"12/"&amp;INT(MID(CELL("filename",G6),FIND("]",CELL("filename",G6))+1,200))</f>
        <v>2079/12/0</v>
      </c>
      <c r="F4" s="188"/>
      <c r="G4" s="188"/>
      <c r="H4" s="188" t="str">
        <f ca="1">TEXT(E4,"dddd")</f>
        <v>2079/12/0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54</v>
      </c>
      <c r="C5" s="30">
        <f t="shared" si="0"/>
        <v>86</v>
      </c>
      <c r="D5" s="30">
        <f t="shared" si="0"/>
        <v>51.5</v>
      </c>
      <c r="E5" s="30">
        <f t="shared" si="0"/>
        <v>0</v>
      </c>
      <c r="F5" s="30">
        <f t="shared" si="0"/>
        <v>73.2</v>
      </c>
      <c r="G5" s="30">
        <f t="shared" si="0"/>
        <v>74.2</v>
      </c>
      <c r="H5" s="30">
        <f t="shared" si="0"/>
        <v>72.599999999999994</v>
      </c>
      <c r="I5" s="30">
        <f t="shared" si="0"/>
        <v>74.099999999999994</v>
      </c>
      <c r="J5" s="30">
        <f t="shared" si="0"/>
        <v>61.2</v>
      </c>
      <c r="K5" s="30">
        <f t="shared" si="0"/>
        <v>57.8</v>
      </c>
      <c r="L5" s="30">
        <f t="shared" si="0"/>
        <v>57</v>
      </c>
      <c r="M5" s="30">
        <f t="shared" si="0"/>
        <v>71</v>
      </c>
      <c r="N5" s="30">
        <f t="shared" si="0"/>
        <v>76.8</v>
      </c>
      <c r="O5" s="30">
        <f t="shared" si="0"/>
        <v>77.3</v>
      </c>
      <c r="P5" s="30">
        <f t="shared" si="0"/>
        <v>58</v>
      </c>
      <c r="Q5" s="30">
        <f t="shared" si="0"/>
        <v>54</v>
      </c>
      <c r="R5" s="30">
        <f t="shared" si="0"/>
        <v>74.8</v>
      </c>
      <c r="S5" s="30">
        <f t="shared" si="0"/>
        <v>77.599999999999994</v>
      </c>
      <c r="T5" s="30">
        <f t="shared" si="0"/>
        <v>79.400000000000006</v>
      </c>
      <c r="U5" s="30">
        <f t="shared" si="0"/>
        <v>73.099999999999994</v>
      </c>
      <c r="V5" s="30">
        <f t="shared" si="0"/>
        <v>79</v>
      </c>
      <c r="W5" s="30">
        <f t="shared" si="0"/>
        <v>32</v>
      </c>
      <c r="X5" s="30">
        <f t="shared" si="0"/>
        <v>52.1</v>
      </c>
      <c r="Y5" s="30">
        <f t="shared" si="0"/>
        <v>42</v>
      </c>
      <c r="Z5" s="30">
        <f t="shared" si="0"/>
        <v>0</v>
      </c>
      <c r="AA5" s="30">
        <f t="shared" si="0"/>
        <v>57</v>
      </c>
      <c r="AB5" s="30">
        <f t="shared" si="0"/>
        <v>5</v>
      </c>
      <c r="AC5" s="30">
        <f t="shared" si="0"/>
        <v>72.2</v>
      </c>
      <c r="AD5" s="30">
        <f t="shared" si="0"/>
        <v>68</v>
      </c>
      <c r="AE5" s="30">
        <f t="shared" si="0"/>
        <v>0</v>
      </c>
      <c r="AF5" s="30">
        <f>B84</f>
        <v>64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1847MW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1875.1399999999999</v>
      </c>
      <c r="C7" s="35">
        <f t="shared" si="1"/>
        <v>1864.84</v>
      </c>
      <c r="D7" s="35">
        <f t="shared" si="1"/>
        <v>1829.6399999999999</v>
      </c>
      <c r="E7" s="35">
        <f t="shared" si="1"/>
        <v>1820.1399999999999</v>
      </c>
      <c r="F7" s="35">
        <f t="shared" si="1"/>
        <v>68.540000000000006</v>
      </c>
      <c r="G7" s="35">
        <f t="shared" si="1"/>
        <v>1770.7399999999998</v>
      </c>
      <c r="H7" s="35">
        <f t="shared" si="1"/>
        <v>1725.2399999999998</v>
      </c>
      <c r="I7" s="35">
        <f t="shared" si="1"/>
        <v>1728.0399999999997</v>
      </c>
      <c r="J7" s="35">
        <f t="shared" si="1"/>
        <v>1759.04</v>
      </c>
      <c r="K7" s="35">
        <f t="shared" si="1"/>
        <v>1796.34</v>
      </c>
      <c r="L7" s="35">
        <f t="shared" si="1"/>
        <v>1842.6399999999996</v>
      </c>
      <c r="M7" s="35">
        <f t="shared" si="1"/>
        <v>1822.7399999999998</v>
      </c>
      <c r="N7" s="35">
        <f>N91</f>
        <v>1847.34</v>
      </c>
      <c r="O7" s="35">
        <f t="shared" si="1"/>
        <v>1795.9399999999998</v>
      </c>
      <c r="P7" s="35">
        <f t="shared" si="1"/>
        <v>1839.5399999999997</v>
      </c>
      <c r="Q7" s="35">
        <f t="shared" si="1"/>
        <v>1870.9399999999998</v>
      </c>
      <c r="R7" s="35">
        <f t="shared" si="1"/>
        <v>1908.74</v>
      </c>
      <c r="S7" s="35">
        <f t="shared" si="1"/>
        <v>1897.54</v>
      </c>
      <c r="T7" s="35">
        <f t="shared" si="1"/>
        <v>1860.1399999999999</v>
      </c>
      <c r="U7" s="35">
        <f t="shared" si="1"/>
        <v>1825.7399999999998</v>
      </c>
      <c r="V7" s="35">
        <f t="shared" si="1"/>
        <v>1702.1399999999999</v>
      </c>
      <c r="W7" s="35">
        <f t="shared" si="1"/>
        <v>1748.94</v>
      </c>
      <c r="X7" s="35">
        <f t="shared" si="1"/>
        <v>1770.6399999999999</v>
      </c>
      <c r="Y7" s="35">
        <f t="shared" si="1"/>
        <v>1791.6399999999999</v>
      </c>
      <c r="Z7" s="35">
        <f t="shared" si="1"/>
        <v>1829.44</v>
      </c>
      <c r="AA7" s="35">
        <f t="shared" si="1"/>
        <v>129.74</v>
      </c>
      <c r="AB7" s="35">
        <f t="shared" si="1"/>
        <v>1771.9399999999998</v>
      </c>
      <c r="AC7" s="35">
        <f t="shared" si="1"/>
        <v>8.5399999999999991</v>
      </c>
      <c r="AD7" s="35">
        <f t="shared" si="1"/>
        <v>2002.1399999999999</v>
      </c>
      <c r="AE7" s="35">
        <f t="shared" si="1"/>
        <v>2052.4399999999996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60.7</v>
      </c>
      <c r="C11" s="45">
        <v>60.7</v>
      </c>
      <c r="D11" s="45">
        <v>60.7</v>
      </c>
      <c r="E11" s="45">
        <v>60.7</v>
      </c>
      <c r="F11" s="45" t="s">
        <v>20</v>
      </c>
      <c r="G11" s="45">
        <v>60.7</v>
      </c>
      <c r="H11" s="45">
        <v>60.7</v>
      </c>
      <c r="I11" s="45">
        <v>60.7</v>
      </c>
      <c r="J11" s="45">
        <v>60.7</v>
      </c>
      <c r="K11" s="45">
        <v>60.7</v>
      </c>
      <c r="L11" s="45">
        <v>60.7</v>
      </c>
      <c r="M11" s="45">
        <v>60.7</v>
      </c>
      <c r="N11" s="45">
        <v>60.7</v>
      </c>
      <c r="O11" s="45">
        <v>60.7</v>
      </c>
      <c r="P11" s="45">
        <v>60.7</v>
      </c>
      <c r="Q11" s="45">
        <v>60.7</v>
      </c>
      <c r="R11" s="45">
        <v>60.7</v>
      </c>
      <c r="S11" s="45">
        <v>60</v>
      </c>
      <c r="T11" s="45">
        <v>60</v>
      </c>
      <c r="U11" s="45">
        <v>58.5</v>
      </c>
      <c r="V11" s="45">
        <v>60.4</v>
      </c>
      <c r="W11" s="45">
        <v>60.3</v>
      </c>
      <c r="X11" s="45">
        <v>57.4</v>
      </c>
      <c r="Y11" s="45">
        <v>58</v>
      </c>
      <c r="Z11" s="45">
        <v>60.4</v>
      </c>
      <c r="AA11" s="45"/>
      <c r="AB11" s="45">
        <v>56</v>
      </c>
      <c r="AC11" s="45"/>
      <c r="AD11" s="45">
        <v>54</v>
      </c>
      <c r="AE11" s="45">
        <v>50</v>
      </c>
      <c r="AF11" s="45"/>
      <c r="AG11" s="46">
        <v>86</v>
      </c>
      <c r="AH11" s="47">
        <f t="shared" ref="AH11:AH76" si="2">MAX(B11:AF11)</f>
        <v>60.7</v>
      </c>
      <c r="AI11" s="48">
        <f t="shared" ref="AI11:AI76" si="3">MIN(B11:AF11)</f>
        <v>50</v>
      </c>
      <c r="AK11" s="45">
        <v>86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0</v>
      </c>
      <c r="C12" s="45">
        <v>0</v>
      </c>
      <c r="D12" s="45">
        <v>0</v>
      </c>
      <c r="E12" s="45">
        <v>0</v>
      </c>
      <c r="F12" s="45" t="s">
        <v>22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/>
      <c r="AB12" s="45">
        <v>0</v>
      </c>
      <c r="AC12" s="45"/>
      <c r="AD12" s="45">
        <v>0</v>
      </c>
      <c r="AE12" s="45">
        <v>0</v>
      </c>
      <c r="AF12" s="45"/>
      <c r="AG12" s="49">
        <v>54</v>
      </c>
      <c r="AH12" s="47">
        <f t="shared" si="2"/>
        <v>0</v>
      </c>
      <c r="AI12" s="48">
        <f t="shared" si="3"/>
        <v>0</v>
      </c>
      <c r="AK12" s="45">
        <v>54</v>
      </c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45.5</v>
      </c>
      <c r="C13" s="45">
        <v>45.4</v>
      </c>
      <c r="D13" s="45">
        <v>45.4</v>
      </c>
      <c r="E13" s="45">
        <v>45.4</v>
      </c>
      <c r="F13" s="45" t="s">
        <v>20</v>
      </c>
      <c r="G13" s="45">
        <v>45.4</v>
      </c>
      <c r="H13" s="45">
        <v>45.4</v>
      </c>
      <c r="I13" s="45">
        <v>45.4</v>
      </c>
      <c r="J13" s="45">
        <v>45.4</v>
      </c>
      <c r="K13" s="45">
        <v>45.4</v>
      </c>
      <c r="L13" s="45">
        <v>45.4</v>
      </c>
      <c r="M13" s="45">
        <v>45.4</v>
      </c>
      <c r="N13" s="45">
        <v>45.4</v>
      </c>
      <c r="O13" s="45">
        <v>45.4</v>
      </c>
      <c r="P13" s="45">
        <v>45.4</v>
      </c>
      <c r="Q13" s="45">
        <v>46.3</v>
      </c>
      <c r="R13" s="45">
        <v>46.3</v>
      </c>
      <c r="S13" s="45">
        <v>46.3</v>
      </c>
      <c r="T13" s="45">
        <v>46.5</v>
      </c>
      <c r="U13" s="45">
        <v>46.5</v>
      </c>
      <c r="V13" s="45">
        <v>46.3</v>
      </c>
      <c r="W13" s="45">
        <v>46.5</v>
      </c>
      <c r="X13" s="45">
        <v>46.4</v>
      </c>
      <c r="Y13" s="45">
        <v>46.5</v>
      </c>
      <c r="Z13" s="45">
        <v>46.5</v>
      </c>
      <c r="AA13" s="45"/>
      <c r="AB13" s="45">
        <v>46.2</v>
      </c>
      <c r="AC13" s="45"/>
      <c r="AD13" s="45">
        <v>46.2</v>
      </c>
      <c r="AE13" s="45">
        <v>46.2</v>
      </c>
      <c r="AF13" s="45"/>
      <c r="AG13" s="46">
        <v>52.4</v>
      </c>
      <c r="AH13" s="47">
        <f t="shared" si="2"/>
        <v>46.5</v>
      </c>
      <c r="AI13" s="48">
        <f t="shared" si="3"/>
        <v>45.4</v>
      </c>
      <c r="AK13" s="45">
        <v>52.4</v>
      </c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45">
        <v>50.7</v>
      </c>
      <c r="C14" s="45">
        <v>50.4</v>
      </c>
      <c r="D14" s="45">
        <v>50.5</v>
      </c>
      <c r="E14" s="45">
        <v>50.5</v>
      </c>
      <c r="F14" s="50" t="s">
        <v>25</v>
      </c>
      <c r="G14" s="45">
        <v>50.5</v>
      </c>
      <c r="H14" s="45">
        <v>50.5</v>
      </c>
      <c r="I14" s="45">
        <v>50.5</v>
      </c>
      <c r="J14" s="45">
        <v>50.5</v>
      </c>
      <c r="K14" s="45">
        <v>50.5</v>
      </c>
      <c r="L14" s="45">
        <v>50.5</v>
      </c>
      <c r="M14" s="45">
        <v>50.5</v>
      </c>
      <c r="N14" s="45">
        <v>50.5</v>
      </c>
      <c r="O14" s="45">
        <v>50.5</v>
      </c>
      <c r="P14" s="45">
        <v>50.5</v>
      </c>
      <c r="Q14" s="45">
        <v>50.5</v>
      </c>
      <c r="R14" s="45">
        <v>50.5</v>
      </c>
      <c r="S14" s="45">
        <v>50.5</v>
      </c>
      <c r="T14" s="50">
        <v>50.5</v>
      </c>
      <c r="U14" s="50">
        <v>50.5</v>
      </c>
      <c r="V14" s="50">
        <v>50.4</v>
      </c>
      <c r="W14" s="50">
        <v>50.2</v>
      </c>
      <c r="X14" s="50">
        <v>50.2</v>
      </c>
      <c r="Y14" s="50">
        <v>50.4</v>
      </c>
      <c r="Z14" s="45">
        <v>50.6</v>
      </c>
      <c r="AA14" s="45"/>
      <c r="AB14" s="45">
        <v>50.4</v>
      </c>
      <c r="AC14" s="45"/>
      <c r="AD14" s="45">
        <v>50.4</v>
      </c>
      <c r="AE14" s="45">
        <v>50.4</v>
      </c>
      <c r="AF14" s="45"/>
      <c r="AG14" s="49">
        <v>50</v>
      </c>
      <c r="AH14" s="47">
        <f t="shared" si="2"/>
        <v>50.7</v>
      </c>
      <c r="AI14" s="48">
        <f t="shared" si="3"/>
        <v>50.2</v>
      </c>
      <c r="AK14" s="45">
        <v>50</v>
      </c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43.2</v>
      </c>
      <c r="C15" s="45">
        <v>43.2</v>
      </c>
      <c r="D15" s="45">
        <v>43.3</v>
      </c>
      <c r="E15" s="45">
        <v>43.3</v>
      </c>
      <c r="F15" s="45" t="s">
        <v>27</v>
      </c>
      <c r="G15" s="45">
        <v>43.3</v>
      </c>
      <c r="H15" s="45">
        <v>43.3</v>
      </c>
      <c r="I15" s="45">
        <v>43.3</v>
      </c>
      <c r="J15" s="45">
        <v>43.3</v>
      </c>
      <c r="K15" s="45">
        <v>43.3</v>
      </c>
      <c r="L15" s="45">
        <v>43.3</v>
      </c>
      <c r="M15" s="45">
        <v>43.3</v>
      </c>
      <c r="N15" s="45">
        <v>43.3</v>
      </c>
      <c r="O15" s="45">
        <v>43.3</v>
      </c>
      <c r="P15" s="45">
        <v>43.3</v>
      </c>
      <c r="Q15" s="45">
        <v>43.3</v>
      </c>
      <c r="R15" s="45">
        <v>43.3</v>
      </c>
      <c r="S15" s="45">
        <v>43.3</v>
      </c>
      <c r="T15" s="45">
        <v>43.3</v>
      </c>
      <c r="U15" s="45">
        <v>43.3</v>
      </c>
      <c r="V15" s="45">
        <v>45.8</v>
      </c>
      <c r="W15" s="45">
        <v>45.8</v>
      </c>
      <c r="X15" s="45">
        <v>45.8</v>
      </c>
      <c r="Y15" s="45">
        <v>45.8</v>
      </c>
      <c r="Z15" s="45">
        <v>45.8</v>
      </c>
      <c r="AA15" s="45"/>
      <c r="AB15" s="45">
        <v>45.9</v>
      </c>
      <c r="AC15" s="45"/>
      <c r="AD15" s="45">
        <v>45.9</v>
      </c>
      <c r="AE15" s="45">
        <v>45.9</v>
      </c>
      <c r="AF15" s="45"/>
      <c r="AG15" s="49">
        <v>45</v>
      </c>
      <c r="AH15" s="47">
        <f t="shared" si="2"/>
        <v>45.9</v>
      </c>
      <c r="AI15" s="48">
        <f t="shared" si="3"/>
        <v>43.2</v>
      </c>
      <c r="AK15" s="45">
        <v>45</v>
      </c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44</v>
      </c>
      <c r="F16" s="45" t="s">
        <v>29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0</v>
      </c>
      <c r="W16" s="45">
        <v>44</v>
      </c>
      <c r="X16" s="45">
        <v>44</v>
      </c>
      <c r="Y16" s="45">
        <v>44</v>
      </c>
      <c r="Z16" s="45">
        <v>44</v>
      </c>
      <c r="AA16" s="45"/>
      <c r="AB16" s="45">
        <v>44</v>
      </c>
      <c r="AC16" s="45"/>
      <c r="AD16" s="45">
        <v>44</v>
      </c>
      <c r="AE16" s="45">
        <v>44</v>
      </c>
      <c r="AF16" s="45"/>
      <c r="AG16" s="49">
        <v>44</v>
      </c>
      <c r="AH16" s="47">
        <f>MAX(B16:AG16)</f>
        <v>44</v>
      </c>
      <c r="AI16" s="48">
        <f>MIN(B16:AG16)</f>
        <v>0</v>
      </c>
      <c r="AK16" s="45">
        <v>44</v>
      </c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40.200000000000003</v>
      </c>
      <c r="C17" s="45">
        <v>40.200000000000003</v>
      </c>
      <c r="D17" s="45">
        <v>40.200000000000003</v>
      </c>
      <c r="E17" s="45">
        <v>40.200000000000003</v>
      </c>
      <c r="F17" s="45"/>
      <c r="G17" s="45">
        <v>40.200000000000003</v>
      </c>
      <c r="H17" s="45">
        <v>40.200000000000003</v>
      </c>
      <c r="I17" s="45">
        <v>40.200000000000003</v>
      </c>
      <c r="J17" s="45">
        <v>40.200000000000003</v>
      </c>
      <c r="K17" s="45">
        <v>40.200000000000003</v>
      </c>
      <c r="L17" s="45">
        <v>40.200000000000003</v>
      </c>
      <c r="M17" s="45">
        <v>40.200000000000003</v>
      </c>
      <c r="N17" s="45">
        <v>40.200000000000003</v>
      </c>
      <c r="O17" s="45">
        <v>40.200000000000003</v>
      </c>
      <c r="P17" s="45">
        <v>40.200000000000003</v>
      </c>
      <c r="Q17" s="45">
        <v>40.200000000000003</v>
      </c>
      <c r="R17" s="45">
        <v>40.200000000000003</v>
      </c>
      <c r="S17" s="45">
        <v>40.200000000000003</v>
      </c>
      <c r="T17" s="45">
        <v>40.200000000000003</v>
      </c>
      <c r="U17" s="45">
        <v>40.200000000000003</v>
      </c>
      <c r="V17" s="45">
        <v>40.200000000000003</v>
      </c>
      <c r="W17" s="45">
        <v>35</v>
      </c>
      <c r="X17" s="45">
        <v>35</v>
      </c>
      <c r="Y17" s="45">
        <v>35</v>
      </c>
      <c r="Z17" s="45">
        <v>40</v>
      </c>
      <c r="AA17" s="45"/>
      <c r="AB17" s="45">
        <v>0</v>
      </c>
      <c r="AC17" s="45"/>
      <c r="AD17" s="45">
        <v>24</v>
      </c>
      <c r="AE17" s="45">
        <v>30</v>
      </c>
      <c r="AF17" s="45"/>
      <c r="AG17" s="49">
        <v>42</v>
      </c>
      <c r="AH17" s="47">
        <f t="shared" si="2"/>
        <v>40.200000000000003</v>
      </c>
      <c r="AI17" s="48">
        <f t="shared" si="3"/>
        <v>0</v>
      </c>
      <c r="AK17" s="45">
        <v>42</v>
      </c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35</v>
      </c>
      <c r="C18" s="45">
        <v>35</v>
      </c>
      <c r="D18" s="45">
        <v>35</v>
      </c>
      <c r="E18" s="45">
        <v>35</v>
      </c>
      <c r="F18" s="45">
        <v>35</v>
      </c>
      <c r="G18" s="45">
        <v>35</v>
      </c>
      <c r="H18" s="45">
        <v>35</v>
      </c>
      <c r="I18" s="45">
        <v>35</v>
      </c>
      <c r="J18" s="45">
        <v>35</v>
      </c>
      <c r="K18" s="45">
        <v>35</v>
      </c>
      <c r="L18" s="45">
        <v>35</v>
      </c>
      <c r="M18" s="45">
        <v>35</v>
      </c>
      <c r="N18" s="45">
        <v>35</v>
      </c>
      <c r="O18" s="45">
        <v>35</v>
      </c>
      <c r="P18" s="45">
        <v>35</v>
      </c>
      <c r="Q18" s="45">
        <v>35</v>
      </c>
      <c r="R18" s="45">
        <v>35</v>
      </c>
      <c r="S18" s="45">
        <v>35</v>
      </c>
      <c r="T18" s="45">
        <v>35</v>
      </c>
      <c r="U18" s="45">
        <v>35</v>
      </c>
      <c r="V18" s="45">
        <v>35</v>
      </c>
      <c r="W18" s="45">
        <v>35</v>
      </c>
      <c r="X18" s="45">
        <v>35</v>
      </c>
      <c r="Y18" s="45">
        <v>35</v>
      </c>
      <c r="Z18" s="45">
        <v>35</v>
      </c>
      <c r="AA18" s="45">
        <v>35</v>
      </c>
      <c r="AB18" s="45">
        <v>35</v>
      </c>
      <c r="AC18" s="45"/>
      <c r="AD18" s="45">
        <v>35</v>
      </c>
      <c r="AE18" s="45">
        <v>35</v>
      </c>
      <c r="AF18" s="45"/>
      <c r="AG18" s="49">
        <v>38.46</v>
      </c>
      <c r="AH18" s="47">
        <f t="shared" si="2"/>
        <v>35</v>
      </c>
      <c r="AI18" s="48">
        <f t="shared" si="3"/>
        <v>35</v>
      </c>
      <c r="AK18" s="45">
        <v>38.46</v>
      </c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30</v>
      </c>
      <c r="C19" s="45">
        <v>30</v>
      </c>
      <c r="D19" s="45">
        <v>30</v>
      </c>
      <c r="E19" s="45">
        <v>30</v>
      </c>
      <c r="F19" s="45">
        <v>30</v>
      </c>
      <c r="G19" s="45">
        <v>30</v>
      </c>
      <c r="H19" s="45">
        <v>30</v>
      </c>
      <c r="I19" s="45">
        <v>30</v>
      </c>
      <c r="J19" s="45">
        <v>30</v>
      </c>
      <c r="K19" s="45">
        <v>30</v>
      </c>
      <c r="L19" s="45">
        <v>30</v>
      </c>
      <c r="M19" s="45">
        <v>30</v>
      </c>
      <c r="N19" s="45">
        <v>30</v>
      </c>
      <c r="O19" s="45">
        <v>30</v>
      </c>
      <c r="P19" s="45">
        <v>30</v>
      </c>
      <c r="Q19" s="45">
        <v>30</v>
      </c>
      <c r="R19" s="45">
        <v>30</v>
      </c>
      <c r="S19" s="45">
        <v>30</v>
      </c>
      <c r="T19" s="45">
        <v>30</v>
      </c>
      <c r="U19" s="45">
        <v>30</v>
      </c>
      <c r="V19" s="45">
        <v>30</v>
      </c>
      <c r="W19" s="45">
        <v>30</v>
      </c>
      <c r="X19" s="45">
        <v>30</v>
      </c>
      <c r="Y19" s="45">
        <v>30</v>
      </c>
      <c r="Z19" s="45">
        <v>30</v>
      </c>
      <c r="AA19" s="45">
        <v>30</v>
      </c>
      <c r="AB19" s="45">
        <v>36</v>
      </c>
      <c r="AC19" s="45"/>
      <c r="AD19" s="45">
        <v>36</v>
      </c>
      <c r="AE19" s="45">
        <v>36</v>
      </c>
      <c r="AF19" s="45"/>
      <c r="AG19" s="49">
        <v>36</v>
      </c>
      <c r="AH19" s="47">
        <f t="shared" si="2"/>
        <v>36</v>
      </c>
      <c r="AI19" s="48">
        <f t="shared" si="3"/>
        <v>30</v>
      </c>
      <c r="AK19" s="45">
        <v>36</v>
      </c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29</v>
      </c>
      <c r="C20" s="45">
        <v>29</v>
      </c>
      <c r="D20" s="45">
        <v>29.3</v>
      </c>
      <c r="E20" s="45">
        <v>29.3</v>
      </c>
      <c r="F20" s="45" t="s">
        <v>20</v>
      </c>
      <c r="G20" s="45">
        <v>15</v>
      </c>
      <c r="H20" s="45">
        <v>15</v>
      </c>
      <c r="I20" s="45">
        <v>15</v>
      </c>
      <c r="J20" s="45">
        <v>15</v>
      </c>
      <c r="K20" s="45">
        <v>15</v>
      </c>
      <c r="L20" s="45">
        <v>15</v>
      </c>
      <c r="M20" s="45">
        <v>15</v>
      </c>
      <c r="N20" s="45">
        <v>15</v>
      </c>
      <c r="O20" s="45">
        <v>15</v>
      </c>
      <c r="P20" s="45">
        <v>15</v>
      </c>
      <c r="Q20" s="45">
        <v>15</v>
      </c>
      <c r="R20" s="45">
        <v>15</v>
      </c>
      <c r="S20" s="45">
        <v>15</v>
      </c>
      <c r="T20" s="45">
        <v>15</v>
      </c>
      <c r="U20" s="45">
        <v>15</v>
      </c>
      <c r="V20" s="45">
        <v>15</v>
      </c>
      <c r="W20" s="45">
        <v>15</v>
      </c>
      <c r="X20" s="45">
        <v>15</v>
      </c>
      <c r="Y20" s="45">
        <v>15</v>
      </c>
      <c r="Z20" s="45">
        <v>15</v>
      </c>
      <c r="AA20" s="45"/>
      <c r="AB20" s="45">
        <v>7.8</v>
      </c>
      <c r="AC20" s="45"/>
      <c r="AD20" s="45">
        <v>7.8</v>
      </c>
      <c r="AE20" s="45">
        <v>26</v>
      </c>
      <c r="AF20" s="45"/>
      <c r="AG20" s="51">
        <v>30</v>
      </c>
      <c r="AH20" s="47">
        <f t="shared" si="2"/>
        <v>29.3</v>
      </c>
      <c r="AI20" s="48">
        <f t="shared" si="3"/>
        <v>7.8</v>
      </c>
      <c r="AK20" s="45">
        <v>30</v>
      </c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18.5</v>
      </c>
      <c r="C21" s="45">
        <v>15.2</v>
      </c>
      <c r="D21" s="45">
        <v>12.6</v>
      </c>
      <c r="E21" s="45">
        <v>12.6</v>
      </c>
      <c r="F21" s="45" t="s">
        <v>25</v>
      </c>
      <c r="G21" s="45">
        <v>12.6</v>
      </c>
      <c r="H21" s="45">
        <v>12.6</v>
      </c>
      <c r="I21" s="45">
        <v>12.6</v>
      </c>
      <c r="J21" s="45">
        <v>12.6</v>
      </c>
      <c r="K21" s="45">
        <v>12.6</v>
      </c>
      <c r="L21" s="45">
        <v>12.6</v>
      </c>
      <c r="M21" s="45">
        <v>12.6</v>
      </c>
      <c r="N21" s="45">
        <v>12.6</v>
      </c>
      <c r="O21" s="45">
        <v>12.6</v>
      </c>
      <c r="P21" s="45">
        <v>12.6</v>
      </c>
      <c r="Q21" s="45">
        <v>12.6</v>
      </c>
      <c r="R21" s="45">
        <v>12.6</v>
      </c>
      <c r="S21" s="45">
        <v>12.6</v>
      </c>
      <c r="T21" s="45">
        <v>12.6</v>
      </c>
      <c r="U21" s="45">
        <v>12.6</v>
      </c>
      <c r="V21" s="45">
        <v>12.6</v>
      </c>
      <c r="W21" s="45">
        <v>12.6</v>
      </c>
      <c r="X21" s="45">
        <v>12.6</v>
      </c>
      <c r="Y21" s="45">
        <v>12.6</v>
      </c>
      <c r="Z21" s="45">
        <v>12.6</v>
      </c>
      <c r="AA21" s="45"/>
      <c r="AB21" s="45">
        <v>0</v>
      </c>
      <c r="AC21" s="45"/>
      <c r="AD21" s="45">
        <v>0</v>
      </c>
      <c r="AE21" s="45">
        <v>20.7</v>
      </c>
      <c r="AF21" s="45"/>
      <c r="AG21" s="49">
        <v>24.2</v>
      </c>
      <c r="AH21" s="47">
        <f t="shared" si="2"/>
        <v>20.7</v>
      </c>
      <c r="AI21" s="48">
        <f t="shared" si="3"/>
        <v>0</v>
      </c>
      <c r="AK21" s="45">
        <v>29.04</v>
      </c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17</v>
      </c>
      <c r="C22" s="45">
        <v>14</v>
      </c>
      <c r="D22" s="45">
        <v>14</v>
      </c>
      <c r="E22" s="45">
        <v>14</v>
      </c>
      <c r="F22" s="45" t="s">
        <v>36</v>
      </c>
      <c r="G22" s="45">
        <v>14</v>
      </c>
      <c r="H22" s="45">
        <v>14</v>
      </c>
      <c r="I22" s="45">
        <v>14</v>
      </c>
      <c r="J22" s="45">
        <v>14</v>
      </c>
      <c r="K22" s="45">
        <v>14</v>
      </c>
      <c r="L22" s="45">
        <v>14</v>
      </c>
      <c r="M22" s="45">
        <v>14</v>
      </c>
      <c r="N22" s="45">
        <v>14</v>
      </c>
      <c r="O22" s="45">
        <v>14</v>
      </c>
      <c r="P22" s="45">
        <v>14</v>
      </c>
      <c r="Q22" s="45">
        <v>14</v>
      </c>
      <c r="R22" s="45">
        <v>14</v>
      </c>
      <c r="S22" s="45">
        <v>14</v>
      </c>
      <c r="T22" s="45">
        <v>14</v>
      </c>
      <c r="U22" s="45">
        <v>14</v>
      </c>
      <c r="V22" s="45">
        <v>14</v>
      </c>
      <c r="W22" s="45">
        <v>14</v>
      </c>
      <c r="X22" s="45">
        <v>14</v>
      </c>
      <c r="Y22" s="45">
        <v>14</v>
      </c>
      <c r="Z22" s="45">
        <v>14</v>
      </c>
      <c r="AA22" s="45"/>
      <c r="AB22" s="45">
        <v>14</v>
      </c>
      <c r="AC22" s="45"/>
      <c r="AD22" s="45">
        <v>14</v>
      </c>
      <c r="AE22" s="45">
        <v>14</v>
      </c>
      <c r="AF22" s="45"/>
      <c r="AG22" s="49">
        <v>28</v>
      </c>
      <c r="AH22" s="47">
        <f t="shared" si="2"/>
        <v>17</v>
      </c>
      <c r="AI22" s="48">
        <f t="shared" si="3"/>
        <v>14</v>
      </c>
      <c r="AK22" s="45">
        <v>28</v>
      </c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18</v>
      </c>
      <c r="C23" s="45">
        <v>18</v>
      </c>
      <c r="D23" s="45">
        <v>18</v>
      </c>
      <c r="E23" s="45">
        <v>18</v>
      </c>
      <c r="F23" s="45" t="s">
        <v>38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/>
      <c r="AB23" s="45">
        <v>18</v>
      </c>
      <c r="AC23" s="45"/>
      <c r="AD23" s="45">
        <v>18</v>
      </c>
      <c r="AE23" s="45">
        <v>9</v>
      </c>
      <c r="AF23" s="45"/>
      <c r="AG23" s="51">
        <v>30</v>
      </c>
      <c r="AH23" s="47">
        <f t="shared" si="2"/>
        <v>18</v>
      </c>
      <c r="AI23" s="48">
        <f t="shared" si="3"/>
        <v>9</v>
      </c>
      <c r="AK23" s="45">
        <v>27</v>
      </c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22.3</v>
      </c>
      <c r="C24" s="45">
        <v>17.3</v>
      </c>
      <c r="D24" s="45">
        <v>6.5</v>
      </c>
      <c r="E24" s="45">
        <v>6.5</v>
      </c>
      <c r="F24" s="45" t="s">
        <v>40</v>
      </c>
      <c r="G24" s="45">
        <v>6.5</v>
      </c>
      <c r="H24" s="45">
        <v>6.5</v>
      </c>
      <c r="I24" s="45">
        <v>6.5</v>
      </c>
      <c r="J24" s="45">
        <v>6.5</v>
      </c>
      <c r="K24" s="45">
        <v>6.5</v>
      </c>
      <c r="L24" s="45">
        <v>6.5</v>
      </c>
      <c r="M24" s="45">
        <v>6.5</v>
      </c>
      <c r="N24" s="45">
        <v>6.5</v>
      </c>
      <c r="O24" s="45">
        <v>6.5</v>
      </c>
      <c r="P24" s="45">
        <v>6.5</v>
      </c>
      <c r="Q24" s="45">
        <v>6.5</v>
      </c>
      <c r="R24" s="45">
        <v>6.5</v>
      </c>
      <c r="S24" s="45">
        <v>6.5</v>
      </c>
      <c r="T24" s="45">
        <v>6.5</v>
      </c>
      <c r="U24" s="45">
        <v>6.5</v>
      </c>
      <c r="V24" s="45">
        <v>6.5</v>
      </c>
      <c r="W24" s="45">
        <v>6.5</v>
      </c>
      <c r="X24" s="45">
        <v>6.5</v>
      </c>
      <c r="Y24" s="45">
        <v>6.5</v>
      </c>
      <c r="Z24" s="45">
        <v>6.5</v>
      </c>
      <c r="AA24" s="45"/>
      <c r="AB24" s="45">
        <v>25.9</v>
      </c>
      <c r="AC24" s="45"/>
      <c r="AD24" s="45">
        <v>25.9</v>
      </c>
      <c r="AE24" s="45">
        <v>25.9</v>
      </c>
      <c r="AF24" s="45"/>
      <c r="AG24" s="49">
        <v>25</v>
      </c>
      <c r="AH24" s="47">
        <f t="shared" si="2"/>
        <v>25.9</v>
      </c>
      <c r="AI24" s="48">
        <f t="shared" si="3"/>
        <v>6.5</v>
      </c>
      <c r="AK24" s="45">
        <v>25</v>
      </c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14</v>
      </c>
      <c r="C25" s="45">
        <v>14</v>
      </c>
      <c r="D25" s="45">
        <v>14</v>
      </c>
      <c r="E25" s="45">
        <v>14</v>
      </c>
      <c r="F25" s="45"/>
      <c r="G25" s="45">
        <v>14</v>
      </c>
      <c r="H25" s="45">
        <v>14</v>
      </c>
      <c r="I25" s="45">
        <v>14</v>
      </c>
      <c r="J25" s="45">
        <v>14</v>
      </c>
      <c r="K25" s="45">
        <v>14</v>
      </c>
      <c r="L25" s="45">
        <v>14</v>
      </c>
      <c r="M25" s="45">
        <v>14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/>
      <c r="AB25" s="45">
        <v>0</v>
      </c>
      <c r="AC25" s="45"/>
      <c r="AD25" s="45">
        <v>0</v>
      </c>
      <c r="AE25" s="45">
        <v>0</v>
      </c>
      <c r="AF25" s="45"/>
      <c r="AG25" s="49">
        <v>25</v>
      </c>
      <c r="AH25" s="47">
        <f t="shared" si="2"/>
        <v>14</v>
      </c>
      <c r="AI25" s="48">
        <f t="shared" si="3"/>
        <v>0</v>
      </c>
      <c r="AK25" s="45">
        <v>25</v>
      </c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21.5</v>
      </c>
      <c r="C26" s="45">
        <v>21.5</v>
      </c>
      <c r="D26" s="45">
        <v>21.5</v>
      </c>
      <c r="E26" s="45">
        <v>21.5</v>
      </c>
      <c r="F26" s="45"/>
      <c r="G26" s="45">
        <v>21.5</v>
      </c>
      <c r="H26" s="45">
        <v>21.5</v>
      </c>
      <c r="I26" s="45">
        <v>21.5</v>
      </c>
      <c r="J26" s="45">
        <v>21.5</v>
      </c>
      <c r="K26" s="45">
        <v>21.5</v>
      </c>
      <c r="L26" s="45">
        <v>21.5</v>
      </c>
      <c r="M26" s="45">
        <v>21.5</v>
      </c>
      <c r="N26" s="45">
        <v>21.5</v>
      </c>
      <c r="O26" s="45">
        <v>21.5</v>
      </c>
      <c r="P26" s="45">
        <v>21.5</v>
      </c>
      <c r="Q26" s="45">
        <v>21.5</v>
      </c>
      <c r="R26" s="45">
        <v>21.5</v>
      </c>
      <c r="S26" s="45">
        <v>21.5</v>
      </c>
      <c r="T26" s="45">
        <v>21.5</v>
      </c>
      <c r="U26" s="45">
        <v>21.5</v>
      </c>
      <c r="V26" s="45">
        <v>21.5</v>
      </c>
      <c r="W26" s="45">
        <v>21.5</v>
      </c>
      <c r="X26" s="45">
        <v>21.5</v>
      </c>
      <c r="Y26" s="45">
        <v>21.5</v>
      </c>
      <c r="Z26" s="45">
        <v>21.5</v>
      </c>
      <c r="AA26" s="45">
        <v>21.5</v>
      </c>
      <c r="AB26" s="45">
        <v>21.5</v>
      </c>
      <c r="AC26" s="45"/>
      <c r="AD26" s="45">
        <v>21.5</v>
      </c>
      <c r="AE26" s="45">
        <v>21.5</v>
      </c>
      <c r="AF26" s="45"/>
      <c r="AG26" s="49">
        <v>25</v>
      </c>
      <c r="AH26" s="47">
        <f t="shared" si="2"/>
        <v>21.5</v>
      </c>
      <c r="AI26" s="48">
        <f t="shared" si="3"/>
        <v>21.5</v>
      </c>
      <c r="AK26" s="45">
        <v>25</v>
      </c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25</v>
      </c>
      <c r="C27" s="45">
        <v>25</v>
      </c>
      <c r="D27" s="45">
        <v>25</v>
      </c>
      <c r="E27" s="45">
        <v>25</v>
      </c>
      <c r="F27" s="45"/>
      <c r="G27" s="45">
        <v>25</v>
      </c>
      <c r="H27" s="45">
        <v>25</v>
      </c>
      <c r="I27" s="45">
        <v>25</v>
      </c>
      <c r="J27" s="45">
        <v>25</v>
      </c>
      <c r="K27" s="45">
        <v>25</v>
      </c>
      <c r="L27" s="45">
        <v>25</v>
      </c>
      <c r="M27" s="45">
        <v>25</v>
      </c>
      <c r="N27" s="45">
        <v>25</v>
      </c>
      <c r="O27" s="45">
        <v>25</v>
      </c>
      <c r="P27" s="45">
        <v>25</v>
      </c>
      <c r="Q27" s="45">
        <v>25</v>
      </c>
      <c r="R27" s="45">
        <v>25</v>
      </c>
      <c r="S27" s="45">
        <v>25</v>
      </c>
      <c r="T27" s="45">
        <v>25</v>
      </c>
      <c r="U27" s="45">
        <v>25</v>
      </c>
      <c r="V27" s="45">
        <v>25</v>
      </c>
      <c r="W27" s="45">
        <v>25</v>
      </c>
      <c r="X27" s="45">
        <v>25</v>
      </c>
      <c r="Y27" s="45">
        <v>25</v>
      </c>
      <c r="Z27" s="45">
        <v>25</v>
      </c>
      <c r="AA27" s="45"/>
      <c r="AB27" s="45">
        <v>25</v>
      </c>
      <c r="AC27" s="45"/>
      <c r="AD27" s="45">
        <v>25</v>
      </c>
      <c r="AE27" s="45">
        <v>25</v>
      </c>
      <c r="AF27" s="45"/>
      <c r="AG27" s="49">
        <v>25</v>
      </c>
      <c r="AH27" s="47">
        <f t="shared" si="2"/>
        <v>25</v>
      </c>
      <c r="AI27" s="48">
        <f t="shared" si="3"/>
        <v>25</v>
      </c>
      <c r="AK27" s="45">
        <v>25</v>
      </c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18.100000000000001</v>
      </c>
      <c r="C28" s="45">
        <v>19.100000000000001</v>
      </c>
      <c r="D28" s="45">
        <v>23.7</v>
      </c>
      <c r="E28" s="45">
        <v>23.7</v>
      </c>
      <c r="F28" s="45"/>
      <c r="G28" s="45">
        <v>23.7</v>
      </c>
      <c r="H28" s="45">
        <v>23.7</v>
      </c>
      <c r="I28" s="45">
        <v>23.7</v>
      </c>
      <c r="J28" s="45">
        <v>23.7</v>
      </c>
      <c r="K28" s="45">
        <v>23.7</v>
      </c>
      <c r="L28" s="45">
        <v>23.7</v>
      </c>
      <c r="M28" s="45">
        <v>23.7</v>
      </c>
      <c r="N28" s="45">
        <v>23.7</v>
      </c>
      <c r="O28" s="45">
        <v>23.7</v>
      </c>
      <c r="P28" s="45">
        <v>23.7</v>
      </c>
      <c r="Q28" s="45">
        <v>23.7</v>
      </c>
      <c r="R28" s="45">
        <v>23.7</v>
      </c>
      <c r="S28" s="45">
        <v>23.7</v>
      </c>
      <c r="T28" s="45">
        <v>23.7</v>
      </c>
      <c r="U28" s="45">
        <v>23.7</v>
      </c>
      <c r="V28" s="45">
        <v>23.7</v>
      </c>
      <c r="W28" s="45">
        <v>23.7</v>
      </c>
      <c r="X28" s="45">
        <v>23.7</v>
      </c>
      <c r="Y28" s="45">
        <v>23.7</v>
      </c>
      <c r="Z28" s="45">
        <v>23.7</v>
      </c>
      <c r="AA28" s="45"/>
      <c r="AB28" s="45">
        <v>23.7</v>
      </c>
      <c r="AC28" s="45"/>
      <c r="AD28" s="45">
        <v>23.7</v>
      </c>
      <c r="AE28" s="45">
        <v>23.7</v>
      </c>
      <c r="AF28" s="45"/>
      <c r="AG28" s="49">
        <v>23.5</v>
      </c>
      <c r="AH28" s="47">
        <f t="shared" si="2"/>
        <v>23.7</v>
      </c>
      <c r="AI28" s="48">
        <f t="shared" si="3"/>
        <v>18.100000000000001</v>
      </c>
      <c r="AK28" s="45">
        <v>23.5</v>
      </c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20.5</v>
      </c>
      <c r="C29" s="45">
        <v>20.5</v>
      </c>
      <c r="D29" s="45">
        <v>20.5</v>
      </c>
      <c r="E29" s="45">
        <v>20.5</v>
      </c>
      <c r="F29" s="45"/>
      <c r="G29" s="45">
        <v>20.5</v>
      </c>
      <c r="H29" s="45">
        <v>20.5</v>
      </c>
      <c r="I29" s="45">
        <v>20.5</v>
      </c>
      <c r="J29" s="45">
        <v>20.5</v>
      </c>
      <c r="K29" s="45">
        <v>20.5</v>
      </c>
      <c r="L29" s="45">
        <v>20.5</v>
      </c>
      <c r="M29" s="45">
        <v>20.5</v>
      </c>
      <c r="N29" s="45">
        <v>20.5</v>
      </c>
      <c r="O29" s="45">
        <v>20.5</v>
      </c>
      <c r="P29" s="45">
        <v>20.5</v>
      </c>
      <c r="Q29" s="45">
        <v>20.5</v>
      </c>
      <c r="R29" s="45">
        <v>20.5</v>
      </c>
      <c r="S29" s="45">
        <v>20.5</v>
      </c>
      <c r="T29" s="45">
        <v>20.5</v>
      </c>
      <c r="U29" s="45">
        <v>20.5</v>
      </c>
      <c r="V29" s="45">
        <v>20.5</v>
      </c>
      <c r="W29" s="45">
        <v>20.5</v>
      </c>
      <c r="X29" s="45">
        <v>20.5</v>
      </c>
      <c r="Y29" s="45">
        <v>20.5</v>
      </c>
      <c r="Z29" s="45">
        <v>20.5</v>
      </c>
      <c r="AA29" s="45">
        <v>20.5</v>
      </c>
      <c r="AB29" s="45">
        <v>20.5</v>
      </c>
      <c r="AC29" s="45"/>
      <c r="AD29" s="45">
        <v>20.5</v>
      </c>
      <c r="AE29" s="45">
        <v>20.5</v>
      </c>
      <c r="AF29" s="45"/>
      <c r="AG29" s="49">
        <v>22.2</v>
      </c>
      <c r="AH29" s="47">
        <f t="shared" si="2"/>
        <v>20.5</v>
      </c>
      <c r="AI29" s="48">
        <f t="shared" si="3"/>
        <v>20.5</v>
      </c>
      <c r="AK29" s="45">
        <v>22.2</v>
      </c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19.2</v>
      </c>
      <c r="C30" s="45">
        <v>19.2</v>
      </c>
      <c r="D30" s="45">
        <v>19.2</v>
      </c>
      <c r="E30" s="45">
        <v>19.2</v>
      </c>
      <c r="F30" s="45"/>
      <c r="G30" s="45">
        <v>19.2</v>
      </c>
      <c r="H30" s="45">
        <v>19.2</v>
      </c>
      <c r="I30" s="45">
        <v>19.2</v>
      </c>
      <c r="J30" s="45">
        <v>19.2</v>
      </c>
      <c r="K30" s="45">
        <v>19.2</v>
      </c>
      <c r="L30" s="45">
        <v>19.2</v>
      </c>
      <c r="M30" s="45">
        <v>19.2</v>
      </c>
      <c r="N30" s="45">
        <v>19.2</v>
      </c>
      <c r="O30" s="45">
        <v>19.2</v>
      </c>
      <c r="P30" s="45">
        <v>19.2</v>
      </c>
      <c r="Q30" s="45">
        <v>19.2</v>
      </c>
      <c r="R30" s="45">
        <v>19.2</v>
      </c>
      <c r="S30" s="45">
        <v>19.2</v>
      </c>
      <c r="T30" s="45">
        <v>19.2</v>
      </c>
      <c r="U30" s="45">
        <v>19.2</v>
      </c>
      <c r="V30" s="45">
        <v>19.2</v>
      </c>
      <c r="W30" s="45">
        <v>19.2</v>
      </c>
      <c r="X30" s="45">
        <v>19.2</v>
      </c>
      <c r="Y30" s="45">
        <v>19.2</v>
      </c>
      <c r="Z30" s="45">
        <v>19.2</v>
      </c>
      <c r="AA30" s="45">
        <v>19.2</v>
      </c>
      <c r="AB30" s="45">
        <v>19.2</v>
      </c>
      <c r="AC30" s="45"/>
      <c r="AD30" s="45">
        <v>19.2</v>
      </c>
      <c r="AE30" s="45">
        <v>19.2</v>
      </c>
      <c r="AF30" s="45"/>
      <c r="AG30" s="49">
        <v>22.1</v>
      </c>
      <c r="AH30" s="47">
        <f t="shared" si="2"/>
        <v>19.2</v>
      </c>
      <c r="AI30" s="48">
        <f t="shared" si="3"/>
        <v>19.2</v>
      </c>
      <c r="AK30" s="45">
        <v>22.1</v>
      </c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15.5</v>
      </c>
      <c r="C31" s="45">
        <v>15.5</v>
      </c>
      <c r="D31" s="45">
        <v>15.5</v>
      </c>
      <c r="E31" s="45">
        <v>15.5</v>
      </c>
      <c r="F31" s="45"/>
      <c r="G31" s="45">
        <v>15.5</v>
      </c>
      <c r="H31" s="45">
        <v>15.5</v>
      </c>
      <c r="I31" s="45">
        <v>15.5</v>
      </c>
      <c r="J31" s="45">
        <v>15.5</v>
      </c>
      <c r="K31" s="45">
        <v>15.5</v>
      </c>
      <c r="L31" s="45">
        <v>15.5</v>
      </c>
      <c r="M31" s="45">
        <v>15.5</v>
      </c>
      <c r="N31" s="45">
        <v>15.5</v>
      </c>
      <c r="O31" s="45">
        <v>15.5</v>
      </c>
      <c r="P31" s="45">
        <v>15.5</v>
      </c>
      <c r="Q31" s="45">
        <v>15.5</v>
      </c>
      <c r="R31" s="45">
        <v>15.5</v>
      </c>
      <c r="S31" s="45">
        <v>15.5</v>
      </c>
      <c r="T31" s="45">
        <v>15.5</v>
      </c>
      <c r="U31" s="45">
        <v>15.5</v>
      </c>
      <c r="V31" s="45">
        <v>15.5</v>
      </c>
      <c r="W31" s="45">
        <v>15.5</v>
      </c>
      <c r="X31" s="45">
        <v>15.5</v>
      </c>
      <c r="Y31" s="45">
        <v>15.5</v>
      </c>
      <c r="Z31" s="45">
        <v>15.5</v>
      </c>
      <c r="AA31" s="45"/>
      <c r="AB31" s="45">
        <v>15.5</v>
      </c>
      <c r="AC31" s="45"/>
      <c r="AD31" s="45">
        <v>15.5</v>
      </c>
      <c r="AE31" s="45">
        <v>15.5</v>
      </c>
      <c r="AF31" s="45"/>
      <c r="AG31" s="49">
        <v>22</v>
      </c>
      <c r="AH31" s="47">
        <f t="shared" si="2"/>
        <v>15.5</v>
      </c>
      <c r="AI31" s="48">
        <f t="shared" si="3"/>
        <v>15.5</v>
      </c>
      <c r="AK31" s="45">
        <v>22</v>
      </c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20.8</v>
      </c>
      <c r="C32" s="45">
        <v>0</v>
      </c>
      <c r="D32" s="45">
        <v>0</v>
      </c>
      <c r="E32" s="45">
        <v>0</v>
      </c>
      <c r="F32" s="45"/>
      <c r="G32" s="45">
        <v>15</v>
      </c>
      <c r="H32" s="45">
        <v>15</v>
      </c>
      <c r="I32" s="45">
        <v>15</v>
      </c>
      <c r="J32" s="45">
        <v>15</v>
      </c>
      <c r="K32" s="45">
        <v>15</v>
      </c>
      <c r="L32" s="45">
        <v>15</v>
      </c>
      <c r="M32" s="45">
        <v>15</v>
      </c>
      <c r="N32" s="45">
        <v>15</v>
      </c>
      <c r="O32" s="45">
        <v>15</v>
      </c>
      <c r="P32" s="45">
        <v>15</v>
      </c>
      <c r="Q32" s="45">
        <v>15</v>
      </c>
      <c r="R32" s="45">
        <v>24</v>
      </c>
      <c r="S32" s="45">
        <v>24</v>
      </c>
      <c r="T32" s="45">
        <v>24</v>
      </c>
      <c r="U32" s="45">
        <v>24</v>
      </c>
      <c r="V32" s="45">
        <v>24</v>
      </c>
      <c r="W32" s="45">
        <v>24</v>
      </c>
      <c r="X32" s="45">
        <v>24</v>
      </c>
      <c r="Y32" s="45">
        <v>24</v>
      </c>
      <c r="Z32" s="45">
        <v>24</v>
      </c>
      <c r="AA32" s="45"/>
      <c r="AB32" s="45">
        <v>24</v>
      </c>
      <c r="AC32" s="45"/>
      <c r="AD32" s="45">
        <v>24</v>
      </c>
      <c r="AE32" s="45">
        <v>24</v>
      </c>
      <c r="AF32" s="45"/>
      <c r="AG32" s="49">
        <v>22</v>
      </c>
      <c r="AH32" s="47">
        <f t="shared" si="2"/>
        <v>24</v>
      </c>
      <c r="AI32" s="48">
        <f t="shared" si="3"/>
        <v>0</v>
      </c>
      <c r="AK32" s="45">
        <v>22</v>
      </c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10</v>
      </c>
      <c r="C33" s="45">
        <v>10</v>
      </c>
      <c r="D33" s="45">
        <v>10</v>
      </c>
      <c r="E33" s="45">
        <v>10</v>
      </c>
      <c r="F33" s="45"/>
      <c r="G33" s="45">
        <v>10</v>
      </c>
      <c r="H33" s="45">
        <v>10</v>
      </c>
      <c r="I33" s="45">
        <v>10</v>
      </c>
      <c r="J33" s="45">
        <v>10</v>
      </c>
      <c r="K33" s="45">
        <v>10</v>
      </c>
      <c r="L33" s="45">
        <v>10</v>
      </c>
      <c r="M33" s="45">
        <v>10</v>
      </c>
      <c r="N33" s="45">
        <v>10</v>
      </c>
      <c r="O33" s="45">
        <v>10</v>
      </c>
      <c r="P33" s="45">
        <v>10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>
        <v>10</v>
      </c>
      <c r="W33" s="45">
        <v>10</v>
      </c>
      <c r="X33" s="45">
        <v>10</v>
      </c>
      <c r="Y33" s="45">
        <v>10</v>
      </c>
      <c r="Z33" s="45">
        <v>10</v>
      </c>
      <c r="AA33" s="45"/>
      <c r="AB33" s="45">
        <v>10</v>
      </c>
      <c r="AC33" s="45"/>
      <c r="AD33" s="45">
        <v>10</v>
      </c>
      <c r="AE33" s="45">
        <v>6</v>
      </c>
      <c r="AF33" s="45"/>
      <c r="AG33" s="49">
        <v>20</v>
      </c>
      <c r="AH33" s="47">
        <f t="shared" si="2"/>
        <v>10</v>
      </c>
      <c r="AI33" s="48">
        <f t="shared" si="3"/>
        <v>6</v>
      </c>
      <c r="AK33" s="45">
        <v>20</v>
      </c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10</v>
      </c>
      <c r="C34" s="45">
        <v>10</v>
      </c>
      <c r="D34" s="45">
        <v>10</v>
      </c>
      <c r="E34" s="45">
        <v>10</v>
      </c>
      <c r="F34" s="45"/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10</v>
      </c>
      <c r="R34" s="45">
        <v>10</v>
      </c>
      <c r="S34" s="45">
        <v>10</v>
      </c>
      <c r="T34" s="45">
        <v>10</v>
      </c>
      <c r="U34" s="45">
        <v>10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/>
      <c r="AB34" s="45">
        <v>10</v>
      </c>
      <c r="AC34" s="45"/>
      <c r="AD34" s="45">
        <v>10</v>
      </c>
      <c r="AE34" s="45">
        <v>10</v>
      </c>
      <c r="AF34" s="45"/>
      <c r="AG34" s="49">
        <v>18</v>
      </c>
      <c r="AH34" s="47">
        <f t="shared" si="2"/>
        <v>10</v>
      </c>
      <c r="AI34" s="48">
        <f t="shared" si="3"/>
        <v>10</v>
      </c>
      <c r="AK34" s="45">
        <v>18</v>
      </c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7.5</v>
      </c>
      <c r="C35" s="45">
        <v>7.5</v>
      </c>
      <c r="D35" s="45">
        <v>7.5</v>
      </c>
      <c r="E35" s="45">
        <v>7.5</v>
      </c>
      <c r="F35" s="45"/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>
        <v>7.5</v>
      </c>
      <c r="N35" s="45">
        <v>7.5</v>
      </c>
      <c r="O35" s="45">
        <v>7.5</v>
      </c>
      <c r="P35" s="45">
        <v>7.5</v>
      </c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/>
      <c r="AB35" s="45">
        <v>7.5</v>
      </c>
      <c r="AC35" s="45"/>
      <c r="AD35" s="45">
        <v>7.5</v>
      </c>
      <c r="AE35" s="45">
        <v>7.5</v>
      </c>
      <c r="AF35" s="45"/>
      <c r="AG35" s="49">
        <v>14.9</v>
      </c>
      <c r="AH35" s="47">
        <f t="shared" si="2"/>
        <v>7.5</v>
      </c>
      <c r="AI35" s="48">
        <f t="shared" si="3"/>
        <v>7.5</v>
      </c>
      <c r="AK35" s="45">
        <v>15.33</v>
      </c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3.8</v>
      </c>
      <c r="C36" s="45">
        <v>3.8</v>
      </c>
      <c r="D36" s="45">
        <v>3.8</v>
      </c>
      <c r="E36" s="45">
        <v>3.8</v>
      </c>
      <c r="F36" s="45"/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/>
      <c r="AB36" s="45">
        <v>3.8</v>
      </c>
      <c r="AC36" s="45"/>
      <c r="AD36" s="45">
        <v>3.8</v>
      </c>
      <c r="AE36" s="45">
        <v>3.8</v>
      </c>
      <c r="AF36" s="45"/>
      <c r="AG36" s="49">
        <v>14.9</v>
      </c>
      <c r="AH36" s="47">
        <f t="shared" si="2"/>
        <v>3.8</v>
      </c>
      <c r="AI36" s="48">
        <f t="shared" si="3"/>
        <v>3.8</v>
      </c>
      <c r="AK36" s="45">
        <v>14.9</v>
      </c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4</v>
      </c>
      <c r="C37" s="45">
        <v>4</v>
      </c>
      <c r="D37" s="45">
        <v>4</v>
      </c>
      <c r="E37" s="45">
        <v>4</v>
      </c>
      <c r="F37" s="45"/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/>
      <c r="AB37" s="45">
        <v>4</v>
      </c>
      <c r="AC37" s="45"/>
      <c r="AD37" s="45">
        <v>4</v>
      </c>
      <c r="AE37" s="45">
        <v>4</v>
      </c>
      <c r="AF37" s="45"/>
      <c r="AG37" s="49">
        <v>13.6</v>
      </c>
      <c r="AH37" s="47">
        <f t="shared" si="2"/>
        <v>4</v>
      </c>
      <c r="AI37" s="48">
        <f t="shared" si="3"/>
        <v>4</v>
      </c>
      <c r="AK37" s="45">
        <v>13.6</v>
      </c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6</v>
      </c>
      <c r="C38" s="45">
        <v>6</v>
      </c>
      <c r="D38" s="45">
        <v>6</v>
      </c>
      <c r="E38" s="45">
        <v>6</v>
      </c>
      <c r="F38" s="45"/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/>
      <c r="AB38" s="45">
        <v>6</v>
      </c>
      <c r="AC38" s="45"/>
      <c r="AD38" s="45">
        <v>6</v>
      </c>
      <c r="AE38" s="45">
        <v>6</v>
      </c>
      <c r="AF38" s="45"/>
      <c r="AG38" s="49">
        <v>13</v>
      </c>
      <c r="AH38" s="47">
        <f t="shared" si="2"/>
        <v>6</v>
      </c>
      <c r="AI38" s="48">
        <f t="shared" si="3"/>
        <v>6</v>
      </c>
      <c r="AK38" s="45">
        <v>13</v>
      </c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6</v>
      </c>
      <c r="C39" s="45">
        <v>6</v>
      </c>
      <c r="D39" s="45">
        <v>6</v>
      </c>
      <c r="E39" s="45">
        <v>6</v>
      </c>
      <c r="F39" s="45"/>
      <c r="G39" s="45">
        <v>6</v>
      </c>
      <c r="H39" s="45">
        <v>6</v>
      </c>
      <c r="I39" s="45">
        <v>6</v>
      </c>
      <c r="J39" s="45">
        <v>6</v>
      </c>
      <c r="K39" s="45">
        <v>6</v>
      </c>
      <c r="L39" s="45">
        <v>6</v>
      </c>
      <c r="M39" s="45">
        <v>6</v>
      </c>
      <c r="N39" s="45">
        <v>6</v>
      </c>
      <c r="O39" s="45">
        <v>6</v>
      </c>
      <c r="P39" s="45">
        <v>6</v>
      </c>
      <c r="Q39" s="45">
        <v>6</v>
      </c>
      <c r="R39" s="45">
        <v>6</v>
      </c>
      <c r="S39" s="45">
        <v>6</v>
      </c>
      <c r="T39" s="45">
        <v>6</v>
      </c>
      <c r="U39" s="45">
        <v>6</v>
      </c>
      <c r="V39" s="45">
        <v>6</v>
      </c>
      <c r="W39" s="45">
        <v>6</v>
      </c>
      <c r="X39" s="45">
        <v>6</v>
      </c>
      <c r="Y39" s="45">
        <v>6</v>
      </c>
      <c r="Z39" s="45">
        <v>6</v>
      </c>
      <c r="AA39" s="45"/>
      <c r="AB39" s="45">
        <v>6</v>
      </c>
      <c r="AC39" s="45"/>
      <c r="AD39" s="45">
        <v>6</v>
      </c>
      <c r="AE39" s="45">
        <v>6</v>
      </c>
      <c r="AF39" s="45"/>
      <c r="AG39" s="49">
        <v>12</v>
      </c>
      <c r="AH39" s="47">
        <f t="shared" si="2"/>
        <v>6</v>
      </c>
      <c r="AI39" s="48">
        <f t="shared" si="3"/>
        <v>6</v>
      </c>
      <c r="AK39" s="45">
        <v>12</v>
      </c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2.5</v>
      </c>
      <c r="C40" s="45">
        <v>2.5</v>
      </c>
      <c r="D40" s="45">
        <v>2.5</v>
      </c>
      <c r="E40" s="45">
        <v>2.5</v>
      </c>
      <c r="F40" s="45"/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>
        <v>2.5</v>
      </c>
      <c r="N40" s="45">
        <v>2.5</v>
      </c>
      <c r="O40" s="45">
        <v>2.5</v>
      </c>
      <c r="P40" s="45">
        <v>2.5</v>
      </c>
      <c r="Q40" s="45">
        <v>2.5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/>
      <c r="AB40" s="45">
        <v>2.5</v>
      </c>
      <c r="AC40" s="45"/>
      <c r="AD40" s="45">
        <v>2.5</v>
      </c>
      <c r="AE40" s="45">
        <v>2.5</v>
      </c>
      <c r="AF40" s="45"/>
      <c r="AG40" s="49">
        <v>12</v>
      </c>
      <c r="AH40" s="47">
        <f t="shared" si="2"/>
        <v>2.5</v>
      </c>
      <c r="AI40" s="48">
        <f t="shared" si="3"/>
        <v>2.5</v>
      </c>
      <c r="AK40" s="45">
        <v>12</v>
      </c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8</v>
      </c>
      <c r="C41" s="45">
        <v>8</v>
      </c>
      <c r="D41" s="45">
        <v>8</v>
      </c>
      <c r="E41" s="45">
        <v>8</v>
      </c>
      <c r="F41" s="45"/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/>
      <c r="AB41" s="45">
        <v>8</v>
      </c>
      <c r="AC41" s="45"/>
      <c r="AD41" s="45">
        <v>8</v>
      </c>
      <c r="AE41" s="45">
        <v>8</v>
      </c>
      <c r="AF41" s="45"/>
      <c r="AG41" s="49">
        <v>12</v>
      </c>
      <c r="AH41" s="47">
        <f t="shared" si="2"/>
        <v>8</v>
      </c>
      <c r="AI41" s="48">
        <f t="shared" si="3"/>
        <v>8</v>
      </c>
      <c r="AK41" s="45">
        <v>12</v>
      </c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4</v>
      </c>
      <c r="C42" s="45">
        <v>4</v>
      </c>
      <c r="D42" s="45">
        <v>4</v>
      </c>
      <c r="E42" s="45">
        <v>4</v>
      </c>
      <c r="F42" s="45"/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/>
      <c r="AB42" s="45">
        <v>4</v>
      </c>
      <c r="AC42" s="45"/>
      <c r="AD42" s="45">
        <v>4</v>
      </c>
      <c r="AE42" s="45">
        <v>4</v>
      </c>
      <c r="AF42" s="45"/>
      <c r="AG42" s="52">
        <v>22</v>
      </c>
      <c r="AH42" s="47">
        <f t="shared" si="2"/>
        <v>4</v>
      </c>
      <c r="AI42" s="48">
        <f t="shared" si="3"/>
        <v>4</v>
      </c>
      <c r="AK42" s="45">
        <v>12</v>
      </c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7.5</v>
      </c>
      <c r="C43" s="45">
        <v>7.5</v>
      </c>
      <c r="D43" s="45">
        <v>7.5</v>
      </c>
      <c r="E43" s="45">
        <v>7.5</v>
      </c>
      <c r="F43" s="45"/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/>
      <c r="AB43" s="45">
        <v>7.5</v>
      </c>
      <c r="AC43" s="45"/>
      <c r="AD43" s="45">
        <v>7.5</v>
      </c>
      <c r="AE43" s="45">
        <v>7.5</v>
      </c>
      <c r="AF43" s="45"/>
      <c r="AG43" s="51">
        <v>11.88</v>
      </c>
      <c r="AH43" s="47">
        <f t="shared" si="2"/>
        <v>7.5</v>
      </c>
      <c r="AI43" s="48">
        <f t="shared" si="3"/>
        <v>7.5</v>
      </c>
      <c r="AK43" s="45">
        <v>11.88</v>
      </c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7</v>
      </c>
      <c r="C44" s="45">
        <v>7</v>
      </c>
      <c r="D44" s="45">
        <v>7</v>
      </c>
      <c r="E44" s="45">
        <v>7</v>
      </c>
      <c r="F44" s="45"/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/>
      <c r="AB44" s="45">
        <v>7</v>
      </c>
      <c r="AC44" s="45"/>
      <c r="AD44" s="45">
        <v>7</v>
      </c>
      <c r="AE44" s="45">
        <v>7</v>
      </c>
      <c r="AF44" s="45"/>
      <c r="AG44" s="54">
        <v>11</v>
      </c>
      <c r="AH44" s="47">
        <f t="shared" si="2"/>
        <v>7</v>
      </c>
      <c r="AI44" s="48">
        <f t="shared" si="3"/>
        <v>7</v>
      </c>
      <c r="AK44" s="45">
        <v>11</v>
      </c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9.6</v>
      </c>
      <c r="C45" s="45">
        <v>9.6</v>
      </c>
      <c r="D45" s="45">
        <v>9.6</v>
      </c>
      <c r="E45" s="45">
        <v>9.6</v>
      </c>
      <c r="F45" s="45"/>
      <c r="G45" s="45">
        <v>9.6</v>
      </c>
      <c r="H45" s="45">
        <v>9.6</v>
      </c>
      <c r="I45" s="45">
        <v>9.6</v>
      </c>
      <c r="J45" s="45">
        <v>9.6</v>
      </c>
      <c r="K45" s="45">
        <v>9.6</v>
      </c>
      <c r="L45" s="45">
        <v>9.6</v>
      </c>
      <c r="M45" s="45">
        <v>9.6</v>
      </c>
      <c r="N45" s="45">
        <v>9.6</v>
      </c>
      <c r="O45" s="45">
        <v>9.6</v>
      </c>
      <c r="P45" s="45">
        <v>9.6</v>
      </c>
      <c r="Q45" s="45">
        <v>9.6</v>
      </c>
      <c r="R45" s="45">
        <v>9.6</v>
      </c>
      <c r="S45" s="45">
        <v>9.6</v>
      </c>
      <c r="T45" s="45">
        <v>9.6</v>
      </c>
      <c r="U45" s="45">
        <v>9.6</v>
      </c>
      <c r="V45" s="45">
        <v>9.6</v>
      </c>
      <c r="W45" s="45">
        <v>9.6</v>
      </c>
      <c r="X45" s="45">
        <v>9.6</v>
      </c>
      <c r="Y45" s="45">
        <v>9.6</v>
      </c>
      <c r="Z45" s="45">
        <v>9.6</v>
      </c>
      <c r="AA45" s="45"/>
      <c r="AB45" s="45">
        <v>9.6</v>
      </c>
      <c r="AC45" s="45"/>
      <c r="AD45" s="45">
        <v>9.6</v>
      </c>
      <c r="AE45" s="45">
        <v>9.6</v>
      </c>
      <c r="AF45" s="45"/>
      <c r="AG45" s="54">
        <v>10</v>
      </c>
      <c r="AH45" s="47">
        <f t="shared" si="2"/>
        <v>9.6</v>
      </c>
      <c r="AI45" s="48">
        <f t="shared" si="3"/>
        <v>9.6</v>
      </c>
      <c r="AK45" s="45">
        <v>10</v>
      </c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7</v>
      </c>
      <c r="C46" s="45">
        <v>7</v>
      </c>
      <c r="D46" s="45">
        <v>7</v>
      </c>
      <c r="E46" s="45">
        <v>7</v>
      </c>
      <c r="F46" s="45"/>
      <c r="G46" s="45">
        <v>7</v>
      </c>
      <c r="H46" s="45">
        <v>7</v>
      </c>
      <c r="I46" s="45">
        <v>7</v>
      </c>
      <c r="J46" s="45">
        <v>7</v>
      </c>
      <c r="K46" s="45">
        <v>7</v>
      </c>
      <c r="L46" s="45">
        <v>7</v>
      </c>
      <c r="M46" s="45">
        <v>7</v>
      </c>
      <c r="N46" s="45">
        <v>7</v>
      </c>
      <c r="O46" s="45">
        <v>7</v>
      </c>
      <c r="P46" s="45">
        <v>7</v>
      </c>
      <c r="Q46" s="45">
        <v>7</v>
      </c>
      <c r="R46" s="45">
        <v>7</v>
      </c>
      <c r="S46" s="45">
        <v>7</v>
      </c>
      <c r="T46" s="45">
        <v>7</v>
      </c>
      <c r="U46" s="45">
        <v>7</v>
      </c>
      <c r="V46" s="45">
        <v>7</v>
      </c>
      <c r="W46" s="45">
        <v>7</v>
      </c>
      <c r="X46" s="45">
        <v>7</v>
      </c>
      <c r="Y46" s="45">
        <v>7</v>
      </c>
      <c r="Z46" s="45">
        <v>7</v>
      </c>
      <c r="AA46" s="45"/>
      <c r="AB46" s="45">
        <v>7</v>
      </c>
      <c r="AC46" s="45"/>
      <c r="AD46" s="45">
        <v>7</v>
      </c>
      <c r="AE46" s="45">
        <v>7</v>
      </c>
      <c r="AF46" s="45"/>
      <c r="AG46" s="54">
        <v>10</v>
      </c>
      <c r="AH46" s="47">
        <f t="shared" si="2"/>
        <v>7</v>
      </c>
      <c r="AI46" s="48">
        <f t="shared" si="3"/>
        <v>7</v>
      </c>
      <c r="AK46" s="45">
        <v>10</v>
      </c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6.8</v>
      </c>
      <c r="C47" s="45">
        <v>6.8</v>
      </c>
      <c r="D47" s="45">
        <v>6.8</v>
      </c>
      <c r="E47" s="45">
        <v>6.8</v>
      </c>
      <c r="F47" s="45"/>
      <c r="G47" s="45">
        <v>6.8</v>
      </c>
      <c r="H47" s="45">
        <v>6.8</v>
      </c>
      <c r="I47" s="45">
        <v>6.8</v>
      </c>
      <c r="J47" s="45">
        <v>6.8</v>
      </c>
      <c r="K47" s="45">
        <v>6.8</v>
      </c>
      <c r="L47" s="45">
        <v>6.8</v>
      </c>
      <c r="M47" s="45">
        <v>6.8</v>
      </c>
      <c r="N47" s="45">
        <v>6.8</v>
      </c>
      <c r="O47" s="45">
        <v>6.8</v>
      </c>
      <c r="P47" s="45">
        <v>6.8</v>
      </c>
      <c r="Q47" s="45">
        <v>6.8</v>
      </c>
      <c r="R47" s="45">
        <v>6.8</v>
      </c>
      <c r="S47" s="45">
        <v>6.8</v>
      </c>
      <c r="T47" s="45">
        <v>6.8</v>
      </c>
      <c r="U47" s="45">
        <v>6.8</v>
      </c>
      <c r="V47" s="45">
        <v>6.8</v>
      </c>
      <c r="W47" s="45">
        <v>6.8</v>
      </c>
      <c r="X47" s="45">
        <v>6.8</v>
      </c>
      <c r="Y47" s="45">
        <v>6.8</v>
      </c>
      <c r="Z47" s="45">
        <v>6.8</v>
      </c>
      <c r="AA47" s="45"/>
      <c r="AB47" s="45">
        <v>6.8</v>
      </c>
      <c r="AC47" s="45"/>
      <c r="AD47" s="45">
        <v>6.8</v>
      </c>
      <c r="AE47" s="45">
        <v>6.8</v>
      </c>
      <c r="AF47" s="45"/>
      <c r="AG47" s="54">
        <v>10</v>
      </c>
      <c r="AH47" s="47">
        <f t="shared" si="2"/>
        <v>6.8</v>
      </c>
      <c r="AI47" s="48">
        <f t="shared" si="3"/>
        <v>6.8</v>
      </c>
      <c r="AK47" s="45">
        <v>10</v>
      </c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/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/>
      <c r="AB48" s="56">
        <v>250</v>
      </c>
      <c r="AC48" s="56"/>
      <c r="AD48" s="56">
        <v>250</v>
      </c>
      <c r="AE48" s="56">
        <v>250</v>
      </c>
      <c r="AF48" s="56"/>
      <c r="AG48" s="54">
        <v>85</v>
      </c>
      <c r="AH48" s="47">
        <f t="shared" si="2"/>
        <v>250</v>
      </c>
      <c r="AI48" s="48">
        <f t="shared" si="3"/>
        <v>250</v>
      </c>
      <c r="AK48" s="45">
        <v>500</v>
      </c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45">
        <f>SUM(AK12:AK48)</f>
        <v>1383.41</v>
      </c>
    </row>
    <row r="50" spans="1:41" ht="15.75" thickBot="1" x14ac:dyDescent="0.3">
      <c r="A50" s="58" t="s">
        <v>66</v>
      </c>
      <c r="B50" s="59">
        <f t="shared" ref="B50:AF50" si="4">SUM(B11:B48)</f>
        <v>958.4</v>
      </c>
      <c r="C50" s="59">
        <f t="shared" si="4"/>
        <v>926.9</v>
      </c>
      <c r="D50" s="59">
        <f t="shared" si="4"/>
        <v>918.6</v>
      </c>
      <c r="E50" s="59">
        <f t="shared" si="4"/>
        <v>918.6</v>
      </c>
      <c r="F50" s="59">
        <f t="shared" si="4"/>
        <v>65</v>
      </c>
      <c r="G50" s="59">
        <f>SUM(G11:G48)</f>
        <v>919.3</v>
      </c>
      <c r="H50" s="59">
        <f t="shared" si="4"/>
        <v>919.3</v>
      </c>
      <c r="I50" s="59">
        <f t="shared" si="4"/>
        <v>919.3</v>
      </c>
      <c r="J50" s="59">
        <f t="shared" si="4"/>
        <v>919.3</v>
      </c>
      <c r="K50" s="59">
        <f t="shared" si="4"/>
        <v>919.3</v>
      </c>
      <c r="L50" s="59">
        <f t="shared" si="4"/>
        <v>919.3</v>
      </c>
      <c r="M50" s="59">
        <f t="shared" si="4"/>
        <v>919.3</v>
      </c>
      <c r="N50" s="59">
        <f t="shared" si="4"/>
        <v>905.3</v>
      </c>
      <c r="O50" s="59">
        <f t="shared" si="4"/>
        <v>905.3</v>
      </c>
      <c r="P50" s="59">
        <f t="shared" si="4"/>
        <v>905.3</v>
      </c>
      <c r="Q50" s="59">
        <f t="shared" si="4"/>
        <v>906.19999999999993</v>
      </c>
      <c r="R50" s="59">
        <f t="shared" si="4"/>
        <v>915.19999999999993</v>
      </c>
      <c r="S50" s="59">
        <f t="shared" si="4"/>
        <v>914.5</v>
      </c>
      <c r="T50" s="59">
        <f t="shared" si="4"/>
        <v>914.69999999999993</v>
      </c>
      <c r="U50" s="59">
        <f t="shared" si="4"/>
        <v>913.19999999999993</v>
      </c>
      <c r="V50" s="59">
        <f t="shared" si="4"/>
        <v>873.29999999999984</v>
      </c>
      <c r="W50" s="59">
        <f t="shared" si="4"/>
        <v>912</v>
      </c>
      <c r="X50" s="59">
        <f t="shared" si="4"/>
        <v>909</v>
      </c>
      <c r="Y50" s="59">
        <f t="shared" si="4"/>
        <v>909.9</v>
      </c>
      <c r="Z50" s="59">
        <f t="shared" si="4"/>
        <v>917.5</v>
      </c>
      <c r="AA50" s="59">
        <f t="shared" si="4"/>
        <v>126.2</v>
      </c>
      <c r="AB50" s="59">
        <f t="shared" si="4"/>
        <v>878.29999999999984</v>
      </c>
      <c r="AC50" s="59">
        <f t="shared" si="4"/>
        <v>0</v>
      </c>
      <c r="AD50" s="59">
        <f t="shared" si="4"/>
        <v>900.29999999999984</v>
      </c>
      <c r="AE50" s="59">
        <f t="shared" si="4"/>
        <v>928.19999999999993</v>
      </c>
      <c r="AF50" s="59">
        <f t="shared" si="4"/>
        <v>0</v>
      </c>
      <c r="AG50" s="60">
        <f>SUM(AG13:AG48)</f>
        <v>922.14</v>
      </c>
      <c r="AH50" s="47">
        <f t="shared" si="2"/>
        <v>958.4</v>
      </c>
      <c r="AI50" s="48">
        <f t="shared" si="3"/>
        <v>0</v>
      </c>
      <c r="AK50" s="45"/>
    </row>
    <row r="51" spans="1:41" x14ac:dyDescent="0.25">
      <c r="A51" s="61" t="s">
        <v>67</v>
      </c>
      <c r="B51" s="45">
        <v>320</v>
      </c>
      <c r="C51" s="45">
        <v>350</v>
      </c>
      <c r="D51" s="45">
        <v>310</v>
      </c>
      <c r="E51" s="45">
        <v>335</v>
      </c>
      <c r="F51" s="45"/>
      <c r="G51" s="45">
        <v>270</v>
      </c>
      <c r="H51" s="45">
        <v>270</v>
      </c>
      <c r="I51" s="45">
        <v>270</v>
      </c>
      <c r="J51" s="45">
        <v>300</v>
      </c>
      <c r="K51" s="45">
        <v>350</v>
      </c>
      <c r="L51" s="45">
        <v>350</v>
      </c>
      <c r="M51" s="45">
        <v>350</v>
      </c>
      <c r="N51" s="62">
        <v>400</v>
      </c>
      <c r="O51" s="62">
        <v>400</v>
      </c>
      <c r="P51" s="62">
        <v>400</v>
      </c>
      <c r="Q51" s="62">
        <v>430</v>
      </c>
      <c r="R51" s="62">
        <v>432</v>
      </c>
      <c r="S51" s="45">
        <v>400</v>
      </c>
      <c r="T51" s="45">
        <v>380</v>
      </c>
      <c r="U51" s="45">
        <v>340</v>
      </c>
      <c r="V51" s="45">
        <v>315</v>
      </c>
      <c r="W51" s="45">
        <v>315</v>
      </c>
      <c r="X51" s="45">
        <v>315</v>
      </c>
      <c r="Y51" s="45">
        <v>315</v>
      </c>
      <c r="Z51" s="45">
        <v>350</v>
      </c>
      <c r="AA51" s="45"/>
      <c r="AB51" s="45">
        <v>370</v>
      </c>
      <c r="AC51" s="45"/>
      <c r="AD51" s="45">
        <v>320</v>
      </c>
      <c r="AE51" s="45">
        <v>370</v>
      </c>
      <c r="AF51" s="45"/>
      <c r="AG51" s="51">
        <v>456</v>
      </c>
      <c r="AH51" s="47">
        <f t="shared" si="2"/>
        <v>432</v>
      </c>
      <c r="AI51" s="48">
        <f t="shared" si="3"/>
        <v>270</v>
      </c>
      <c r="AK51" s="45">
        <v>456</v>
      </c>
    </row>
    <row r="52" spans="1:41" x14ac:dyDescent="0.25">
      <c r="A52" s="63" t="s">
        <v>68</v>
      </c>
      <c r="B52" s="64">
        <v>60</v>
      </c>
      <c r="C52" s="64">
        <v>60</v>
      </c>
      <c r="D52" s="64">
        <v>60</v>
      </c>
      <c r="E52" s="64">
        <v>60</v>
      </c>
      <c r="F52" s="64"/>
      <c r="G52" s="64">
        <v>60</v>
      </c>
      <c r="H52" s="64">
        <v>60</v>
      </c>
      <c r="I52" s="64">
        <v>60</v>
      </c>
      <c r="J52" s="64">
        <v>60</v>
      </c>
      <c r="K52" s="64">
        <v>60</v>
      </c>
      <c r="L52" s="64">
        <v>60</v>
      </c>
      <c r="M52" s="64">
        <v>60</v>
      </c>
      <c r="N52" s="64">
        <v>60</v>
      </c>
      <c r="O52" s="64">
        <v>60</v>
      </c>
      <c r="P52" s="64">
        <v>60</v>
      </c>
      <c r="Q52" s="64">
        <v>60</v>
      </c>
      <c r="R52" s="64">
        <v>60</v>
      </c>
      <c r="S52" s="64">
        <v>60</v>
      </c>
      <c r="T52" s="64">
        <v>60</v>
      </c>
      <c r="U52" s="64">
        <v>61</v>
      </c>
      <c r="V52" s="64">
        <v>61</v>
      </c>
      <c r="W52" s="64">
        <v>50</v>
      </c>
      <c r="X52" s="64">
        <v>55</v>
      </c>
      <c r="Y52" s="64">
        <v>55</v>
      </c>
      <c r="Z52" s="64">
        <v>60</v>
      </c>
      <c r="AA52" s="64"/>
      <c r="AB52" s="64">
        <v>60</v>
      </c>
      <c r="AC52" s="64"/>
      <c r="AD52" s="64">
        <v>60</v>
      </c>
      <c r="AE52" s="64">
        <v>60</v>
      </c>
      <c r="AF52" s="64"/>
      <c r="AG52" s="54">
        <v>60</v>
      </c>
      <c r="AH52" s="47">
        <f t="shared" si="2"/>
        <v>61</v>
      </c>
      <c r="AI52" s="48">
        <f t="shared" si="3"/>
        <v>50</v>
      </c>
      <c r="AK52" s="45">
        <v>60</v>
      </c>
    </row>
    <row r="53" spans="1:41" ht="15.75" thickBot="1" x14ac:dyDescent="0.3">
      <c r="A53" s="65" t="s">
        <v>69</v>
      </c>
      <c r="B53" s="66">
        <v>22.5</v>
      </c>
      <c r="C53" s="66">
        <v>22.4</v>
      </c>
      <c r="D53" s="66">
        <v>22.4</v>
      </c>
      <c r="E53" s="66">
        <v>22.4</v>
      </c>
      <c r="F53" s="66"/>
      <c r="G53" s="66">
        <v>22.4</v>
      </c>
      <c r="H53" s="66">
        <v>22.4</v>
      </c>
      <c r="I53" s="66">
        <v>22.4</v>
      </c>
      <c r="J53" s="66">
        <v>22.5</v>
      </c>
      <c r="K53" s="66">
        <v>22.4</v>
      </c>
      <c r="L53" s="66">
        <v>22.4</v>
      </c>
      <c r="M53" s="66">
        <v>22.4</v>
      </c>
      <c r="N53" s="66">
        <v>22.4</v>
      </c>
      <c r="O53" s="66">
        <v>22.4</v>
      </c>
      <c r="P53" s="66">
        <v>22.4</v>
      </c>
      <c r="Q53" s="66">
        <v>22.4</v>
      </c>
      <c r="R53" s="66">
        <v>22.4</v>
      </c>
      <c r="S53" s="66">
        <v>22.4</v>
      </c>
      <c r="T53" s="66">
        <v>22.4</v>
      </c>
      <c r="U53" s="66">
        <v>22.5</v>
      </c>
      <c r="V53" s="66">
        <v>22.4</v>
      </c>
      <c r="W53" s="66">
        <v>22.2</v>
      </c>
      <c r="X53" s="66">
        <v>22.2</v>
      </c>
      <c r="Y53" s="66">
        <v>22.2</v>
      </c>
      <c r="Z53" s="66">
        <v>22.2</v>
      </c>
      <c r="AA53" s="66"/>
      <c r="AB53" s="66">
        <v>17.2</v>
      </c>
      <c r="AC53" s="66"/>
      <c r="AD53" s="66">
        <v>17.2</v>
      </c>
      <c r="AE53" s="66">
        <v>17.2</v>
      </c>
      <c r="AF53" s="66"/>
      <c r="AG53" s="67">
        <v>22.1</v>
      </c>
      <c r="AH53" s="47">
        <f t="shared" si="2"/>
        <v>22.5</v>
      </c>
      <c r="AI53" s="48">
        <f t="shared" si="3"/>
        <v>17.2</v>
      </c>
      <c r="AK53" s="45">
        <v>22.1</v>
      </c>
    </row>
    <row r="54" spans="1:41" ht="15.75" thickBot="1" x14ac:dyDescent="0.3">
      <c r="A54" s="68" t="s">
        <v>70</v>
      </c>
      <c r="B54" s="59">
        <f t="shared" ref="B54:AG54" si="5">SUM(B51:B53)</f>
        <v>402.5</v>
      </c>
      <c r="C54" s="59">
        <f t="shared" si="5"/>
        <v>432.4</v>
      </c>
      <c r="D54" s="59">
        <f t="shared" si="5"/>
        <v>392.4</v>
      </c>
      <c r="E54" s="59">
        <f t="shared" si="5"/>
        <v>417.4</v>
      </c>
      <c r="F54" s="59">
        <f t="shared" si="5"/>
        <v>0</v>
      </c>
      <c r="G54" s="59">
        <f t="shared" si="5"/>
        <v>352.4</v>
      </c>
      <c r="H54" s="59">
        <f t="shared" si="5"/>
        <v>352.4</v>
      </c>
      <c r="I54" s="59">
        <f t="shared" si="5"/>
        <v>352.4</v>
      </c>
      <c r="J54" s="59">
        <f t="shared" si="5"/>
        <v>382.5</v>
      </c>
      <c r="K54" s="59">
        <f t="shared" si="5"/>
        <v>432.4</v>
      </c>
      <c r="L54" s="59">
        <f t="shared" si="5"/>
        <v>432.4</v>
      </c>
      <c r="M54" s="59">
        <f t="shared" si="5"/>
        <v>432.4</v>
      </c>
      <c r="N54" s="59">
        <f t="shared" si="5"/>
        <v>482.4</v>
      </c>
      <c r="O54" s="59">
        <f t="shared" si="5"/>
        <v>482.4</v>
      </c>
      <c r="P54" s="59">
        <f t="shared" si="5"/>
        <v>482.4</v>
      </c>
      <c r="Q54" s="59">
        <f t="shared" si="5"/>
        <v>512.4</v>
      </c>
      <c r="R54" s="59">
        <f t="shared" si="5"/>
        <v>514.4</v>
      </c>
      <c r="S54" s="59">
        <f t="shared" si="5"/>
        <v>482.4</v>
      </c>
      <c r="T54" s="59">
        <f t="shared" si="5"/>
        <v>462.4</v>
      </c>
      <c r="U54" s="59">
        <f t="shared" si="5"/>
        <v>423.5</v>
      </c>
      <c r="V54" s="59">
        <f t="shared" si="5"/>
        <v>398.4</v>
      </c>
      <c r="W54" s="59">
        <f t="shared" si="5"/>
        <v>387.2</v>
      </c>
      <c r="X54" s="59">
        <f t="shared" si="5"/>
        <v>392.2</v>
      </c>
      <c r="Y54" s="59">
        <f t="shared" si="5"/>
        <v>392.2</v>
      </c>
      <c r="Z54" s="59">
        <f t="shared" si="5"/>
        <v>432.2</v>
      </c>
      <c r="AA54" s="59">
        <f t="shared" si="5"/>
        <v>0</v>
      </c>
      <c r="AB54" s="59">
        <f t="shared" si="5"/>
        <v>447.2</v>
      </c>
      <c r="AC54" s="59">
        <f t="shared" si="5"/>
        <v>0</v>
      </c>
      <c r="AD54" s="59">
        <f t="shared" si="5"/>
        <v>397.2</v>
      </c>
      <c r="AE54" s="59">
        <f t="shared" si="5"/>
        <v>447.2</v>
      </c>
      <c r="AF54" s="59">
        <f t="shared" si="5"/>
        <v>0</v>
      </c>
      <c r="AG54" s="60">
        <f t="shared" si="5"/>
        <v>538.1</v>
      </c>
      <c r="AH54" s="47">
        <f t="shared" si="2"/>
        <v>514.4</v>
      </c>
      <c r="AI54" s="48">
        <f t="shared" si="3"/>
        <v>0</v>
      </c>
      <c r="AK54" s="45">
        <f>SUM(AK51:AK53)</f>
        <v>538.1</v>
      </c>
    </row>
    <row r="55" spans="1:41" x14ac:dyDescent="0.25">
      <c r="A55" s="44" t="s">
        <v>71</v>
      </c>
      <c r="B55" s="45">
        <v>97.4</v>
      </c>
      <c r="C55" s="45">
        <v>97.4</v>
      </c>
      <c r="D55" s="45">
        <v>97.1</v>
      </c>
      <c r="E55" s="45">
        <v>97.1</v>
      </c>
      <c r="F55" s="45"/>
      <c r="G55" s="45">
        <v>74.8</v>
      </c>
      <c r="H55" s="45">
        <v>97.6</v>
      </c>
      <c r="I55" s="45">
        <v>97.1</v>
      </c>
      <c r="J55" s="45">
        <v>97</v>
      </c>
      <c r="K55" s="45">
        <v>97.1</v>
      </c>
      <c r="L55" s="45">
        <v>97</v>
      </c>
      <c r="M55" s="45">
        <v>97.4</v>
      </c>
      <c r="N55" s="45">
        <v>96.6</v>
      </c>
      <c r="O55" s="45">
        <v>49.2</v>
      </c>
      <c r="P55" s="45">
        <v>97.7</v>
      </c>
      <c r="Q55" s="45">
        <v>97.1</v>
      </c>
      <c r="R55" s="45">
        <v>97.1</v>
      </c>
      <c r="S55" s="45">
        <v>97.1</v>
      </c>
      <c r="T55" s="45">
        <v>97.1</v>
      </c>
      <c r="U55" s="45">
        <v>97.1</v>
      </c>
      <c r="V55" s="45">
        <v>0</v>
      </c>
      <c r="W55" s="45">
        <v>85</v>
      </c>
      <c r="X55" s="45">
        <v>145.30000000000001</v>
      </c>
      <c r="Y55" s="45">
        <v>145.30000000000001</v>
      </c>
      <c r="Z55" s="45">
        <v>145.5</v>
      </c>
      <c r="AA55" s="45"/>
      <c r="AB55" s="45">
        <v>48.4</v>
      </c>
      <c r="AC55" s="45"/>
      <c r="AD55" s="45">
        <v>120.5</v>
      </c>
      <c r="AE55" s="45">
        <v>142.69999999999999</v>
      </c>
      <c r="AF55" s="45"/>
      <c r="AG55" s="51">
        <v>144</v>
      </c>
      <c r="AH55" s="47">
        <f t="shared" si="2"/>
        <v>145.5</v>
      </c>
      <c r="AI55" s="48">
        <f t="shared" si="3"/>
        <v>0</v>
      </c>
      <c r="AK55" s="45">
        <v>144</v>
      </c>
    </row>
    <row r="56" spans="1:41" x14ac:dyDescent="0.25">
      <c r="A56" s="53" t="s">
        <v>72</v>
      </c>
      <c r="B56" s="45">
        <v>69.5</v>
      </c>
      <c r="C56" s="45">
        <v>70.5</v>
      </c>
      <c r="D56" s="45">
        <v>69.7</v>
      </c>
      <c r="E56" s="45">
        <v>69.7</v>
      </c>
      <c r="F56" s="64"/>
      <c r="G56" s="64">
        <v>69.5</v>
      </c>
      <c r="H56" s="64">
        <v>70.599999999999994</v>
      </c>
      <c r="I56" s="64">
        <v>70.2</v>
      </c>
      <c r="J56" s="64">
        <v>70.099999999999994</v>
      </c>
      <c r="K56" s="64">
        <v>70.099999999999994</v>
      </c>
      <c r="L56" s="64">
        <v>70.099999999999994</v>
      </c>
      <c r="M56" s="64">
        <v>70.099999999999994</v>
      </c>
      <c r="N56" s="64">
        <v>72.7</v>
      </c>
      <c r="O56" s="64">
        <v>59.7</v>
      </c>
      <c r="P56" s="64">
        <v>59.7</v>
      </c>
      <c r="Q56" s="64">
        <v>70.599999999999994</v>
      </c>
      <c r="R56" s="64">
        <v>68.900000000000006</v>
      </c>
      <c r="S56" s="64">
        <v>70</v>
      </c>
      <c r="T56" s="45">
        <v>71.5</v>
      </c>
      <c r="U56" s="45">
        <v>71.400000000000006</v>
      </c>
      <c r="V56" s="45">
        <v>71.400000000000006</v>
      </c>
      <c r="W56" s="45">
        <v>71.2</v>
      </c>
      <c r="X56" s="45">
        <v>71.599999999999994</v>
      </c>
      <c r="Y56" s="45">
        <v>71.599999999999994</v>
      </c>
      <c r="Z56" s="45">
        <v>71.900000000000006</v>
      </c>
      <c r="AA56" s="45"/>
      <c r="AB56" s="45">
        <v>70.8</v>
      </c>
      <c r="AC56" s="45"/>
      <c r="AD56" s="45">
        <v>70.8</v>
      </c>
      <c r="AE56" s="45">
        <v>70.8</v>
      </c>
      <c r="AF56" s="45"/>
      <c r="AG56" s="54">
        <v>70</v>
      </c>
      <c r="AH56" s="47">
        <f t="shared" si="2"/>
        <v>72.7</v>
      </c>
      <c r="AI56" s="48">
        <f t="shared" si="3"/>
        <v>59.7</v>
      </c>
      <c r="AK56" s="45">
        <v>70</v>
      </c>
    </row>
    <row r="57" spans="1:41" x14ac:dyDescent="0.25">
      <c r="A57" s="53" t="s">
        <v>73</v>
      </c>
      <c r="B57" s="45">
        <v>68</v>
      </c>
      <c r="C57" s="45">
        <v>68.5</v>
      </c>
      <c r="D57" s="45">
        <v>69</v>
      </c>
      <c r="E57" s="45">
        <v>69</v>
      </c>
      <c r="F57" s="64"/>
      <c r="G57" s="64">
        <v>44.8</v>
      </c>
      <c r="H57" s="64">
        <v>62.4</v>
      </c>
      <c r="I57" s="64">
        <v>67</v>
      </c>
      <c r="J57" s="64">
        <v>66.400000000000006</v>
      </c>
      <c r="K57" s="64">
        <v>66.400000000000006</v>
      </c>
      <c r="L57" s="64">
        <v>66.400000000000006</v>
      </c>
      <c r="M57" s="64">
        <v>66.400000000000006</v>
      </c>
      <c r="N57" s="64">
        <v>68</v>
      </c>
      <c r="O57" s="64">
        <v>63.7</v>
      </c>
      <c r="P57" s="64">
        <v>63.7</v>
      </c>
      <c r="Q57" s="64">
        <v>63.7</v>
      </c>
      <c r="R57" s="64">
        <v>68.3</v>
      </c>
      <c r="S57" s="64">
        <v>68.3</v>
      </c>
      <c r="T57" s="45">
        <v>69</v>
      </c>
      <c r="U57" s="45">
        <v>69.900000000000006</v>
      </c>
      <c r="V57" s="45">
        <v>68.400000000000006</v>
      </c>
      <c r="W57" s="45">
        <v>69.099999999999994</v>
      </c>
      <c r="X57" s="45">
        <v>69.3</v>
      </c>
      <c r="Y57" s="45">
        <v>69.3</v>
      </c>
      <c r="Z57" s="45">
        <v>69.099999999999994</v>
      </c>
      <c r="AA57" s="45"/>
      <c r="AB57" s="45">
        <v>21.8</v>
      </c>
      <c r="AC57" s="45"/>
      <c r="AD57" s="45">
        <v>45.4</v>
      </c>
      <c r="AE57" s="45">
        <v>66</v>
      </c>
      <c r="AF57" s="45"/>
      <c r="AG57" s="54">
        <v>69</v>
      </c>
      <c r="AH57" s="47">
        <f t="shared" si="2"/>
        <v>69.900000000000006</v>
      </c>
      <c r="AI57" s="48">
        <f t="shared" si="3"/>
        <v>21.8</v>
      </c>
      <c r="AK57" s="45">
        <v>69</v>
      </c>
    </row>
    <row r="58" spans="1:41" x14ac:dyDescent="0.25">
      <c r="A58" s="53" t="s">
        <v>74</v>
      </c>
      <c r="B58" s="45">
        <v>60.4</v>
      </c>
      <c r="C58" s="45">
        <v>60.2</v>
      </c>
      <c r="D58" s="45">
        <v>60</v>
      </c>
      <c r="E58" s="45">
        <v>60</v>
      </c>
      <c r="F58" s="56"/>
      <c r="G58" s="56">
        <v>49.5</v>
      </c>
      <c r="H58" s="56">
        <v>61.5</v>
      </c>
      <c r="I58" s="56">
        <v>61.4</v>
      </c>
      <c r="J58" s="56">
        <v>61.4</v>
      </c>
      <c r="K58" s="56">
        <v>61.4</v>
      </c>
      <c r="L58" s="56">
        <v>61.4</v>
      </c>
      <c r="M58" s="56">
        <v>61.4</v>
      </c>
      <c r="N58" s="64">
        <v>28.2</v>
      </c>
      <c r="O58" s="64">
        <v>28.2</v>
      </c>
      <c r="P58" s="64">
        <v>28.2</v>
      </c>
      <c r="Q58" s="64">
        <v>58</v>
      </c>
      <c r="R58" s="64">
        <v>58</v>
      </c>
      <c r="S58" s="64">
        <v>58</v>
      </c>
      <c r="T58" s="45">
        <v>58</v>
      </c>
      <c r="U58" s="45">
        <v>58.2</v>
      </c>
      <c r="V58" s="45">
        <v>58.2</v>
      </c>
      <c r="W58" s="45">
        <v>55</v>
      </c>
      <c r="X58" s="45">
        <v>60.4</v>
      </c>
      <c r="Y58" s="45">
        <v>60.4</v>
      </c>
      <c r="Z58" s="45">
        <v>60.4</v>
      </c>
      <c r="AA58" s="45"/>
      <c r="AB58" s="45">
        <v>59.7</v>
      </c>
      <c r="AC58" s="45"/>
      <c r="AD58" s="45">
        <v>59.7</v>
      </c>
      <c r="AE58" s="45">
        <v>59.7</v>
      </c>
      <c r="AF58" s="45"/>
      <c r="AG58" s="54">
        <v>60</v>
      </c>
      <c r="AH58" s="47">
        <f t="shared" si="2"/>
        <v>61.5</v>
      </c>
      <c r="AI58" s="48">
        <f t="shared" si="3"/>
        <v>28.2</v>
      </c>
      <c r="AK58" s="45">
        <v>60</v>
      </c>
    </row>
    <row r="59" spans="1:41" x14ac:dyDescent="0.25">
      <c r="A59" s="53" t="s">
        <v>75</v>
      </c>
      <c r="B59" s="45">
        <v>30</v>
      </c>
      <c r="C59" s="45">
        <v>30</v>
      </c>
      <c r="D59" s="45">
        <v>30</v>
      </c>
      <c r="E59" s="45">
        <v>30</v>
      </c>
      <c r="F59" s="56"/>
      <c r="G59" s="56">
        <v>30</v>
      </c>
      <c r="H59" s="56">
        <v>30</v>
      </c>
      <c r="I59" s="56">
        <v>30</v>
      </c>
      <c r="J59" s="56">
        <v>30</v>
      </c>
      <c r="K59" s="56">
        <v>30</v>
      </c>
      <c r="L59" s="56">
        <v>30</v>
      </c>
      <c r="M59" s="56">
        <v>30</v>
      </c>
      <c r="N59" s="56">
        <v>30</v>
      </c>
      <c r="O59" s="56">
        <v>30</v>
      </c>
      <c r="P59" s="56">
        <v>30</v>
      </c>
      <c r="Q59" s="56">
        <v>30</v>
      </c>
      <c r="R59" s="56">
        <v>30</v>
      </c>
      <c r="S59" s="56">
        <v>30</v>
      </c>
      <c r="T59" s="45">
        <v>30</v>
      </c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/>
      <c r="AB59" s="45">
        <v>30</v>
      </c>
      <c r="AC59" s="45"/>
      <c r="AD59" s="45">
        <v>30</v>
      </c>
      <c r="AE59" s="45">
        <v>30</v>
      </c>
      <c r="AF59" s="45"/>
      <c r="AG59" s="54">
        <v>30</v>
      </c>
      <c r="AH59" s="47">
        <f t="shared" si="2"/>
        <v>30</v>
      </c>
      <c r="AI59" s="48">
        <f t="shared" si="3"/>
        <v>30</v>
      </c>
      <c r="AK59" s="45">
        <v>30</v>
      </c>
    </row>
    <row r="60" spans="1:41" x14ac:dyDescent="0.25">
      <c r="A60" s="53" t="s">
        <v>76</v>
      </c>
      <c r="B60" s="45">
        <v>0</v>
      </c>
      <c r="C60" s="45">
        <v>0</v>
      </c>
      <c r="D60" s="45">
        <v>0</v>
      </c>
      <c r="E60" s="45">
        <v>0</v>
      </c>
      <c r="F60" s="64"/>
      <c r="G60" s="64">
        <v>0</v>
      </c>
      <c r="H60" s="64">
        <v>0</v>
      </c>
      <c r="I60" s="64">
        <v>1.4</v>
      </c>
      <c r="J60" s="64">
        <v>1.6</v>
      </c>
      <c r="K60" s="64">
        <v>1.8</v>
      </c>
      <c r="L60" s="64">
        <v>1.8</v>
      </c>
      <c r="M60" s="64">
        <v>1.8</v>
      </c>
      <c r="N60" s="64">
        <v>1.8</v>
      </c>
      <c r="O60" s="64">
        <v>1.8</v>
      </c>
      <c r="P60" s="64">
        <v>1.8</v>
      </c>
      <c r="Q60" s="64">
        <v>1.8</v>
      </c>
      <c r="R60" s="64">
        <v>1.8</v>
      </c>
      <c r="S60" s="64">
        <v>1.8</v>
      </c>
      <c r="T60" s="45">
        <v>1.8</v>
      </c>
      <c r="U60" s="45">
        <v>1.8</v>
      </c>
      <c r="V60" s="45">
        <v>1.8</v>
      </c>
      <c r="W60" s="45">
        <v>1.8</v>
      </c>
      <c r="X60" s="45">
        <v>1.8</v>
      </c>
      <c r="Y60" s="45">
        <v>1.8</v>
      </c>
      <c r="Z60" s="45">
        <v>1.8</v>
      </c>
      <c r="AA60" s="45"/>
      <c r="AB60" s="45">
        <v>0</v>
      </c>
      <c r="AC60" s="45"/>
      <c r="AD60" s="45">
        <v>0</v>
      </c>
      <c r="AE60" s="45">
        <v>0</v>
      </c>
      <c r="AF60" s="45"/>
      <c r="AG60" s="54">
        <v>25</v>
      </c>
      <c r="AH60" s="47">
        <f t="shared" si="2"/>
        <v>1.8</v>
      </c>
      <c r="AI60" s="48">
        <f t="shared" si="3"/>
        <v>0</v>
      </c>
      <c r="AK60" s="45">
        <v>25</v>
      </c>
    </row>
    <row r="61" spans="1:41" x14ac:dyDescent="0.25">
      <c r="A61" s="53" t="s">
        <v>77</v>
      </c>
      <c r="B61" s="64">
        <v>15</v>
      </c>
      <c r="C61" s="64">
        <v>15</v>
      </c>
      <c r="D61" s="64">
        <v>15</v>
      </c>
      <c r="E61" s="64">
        <v>15</v>
      </c>
      <c r="F61" s="64"/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17.5</v>
      </c>
      <c r="T61" s="64">
        <v>17.5</v>
      </c>
      <c r="U61" s="64">
        <v>18</v>
      </c>
      <c r="V61" s="64">
        <v>18</v>
      </c>
      <c r="W61" s="64">
        <v>18</v>
      </c>
      <c r="X61" s="64">
        <v>18</v>
      </c>
      <c r="Y61" s="64">
        <v>18</v>
      </c>
      <c r="Z61" s="64">
        <v>18</v>
      </c>
      <c r="AA61" s="64"/>
      <c r="AB61" s="64">
        <v>18</v>
      </c>
      <c r="AC61" s="64"/>
      <c r="AD61" s="64">
        <v>18</v>
      </c>
      <c r="AE61" s="64">
        <v>18</v>
      </c>
      <c r="AF61" s="64"/>
      <c r="AG61" s="54">
        <v>24</v>
      </c>
      <c r="AH61" s="47">
        <f t="shared" si="2"/>
        <v>18</v>
      </c>
      <c r="AI61" s="48">
        <f t="shared" si="3"/>
        <v>15</v>
      </c>
      <c r="AK61" s="45">
        <v>24</v>
      </c>
    </row>
    <row r="62" spans="1:41" x14ac:dyDescent="0.25">
      <c r="A62" s="53" t="s">
        <v>78</v>
      </c>
      <c r="B62" s="64">
        <v>1.4</v>
      </c>
      <c r="C62" s="64">
        <v>1.4</v>
      </c>
      <c r="D62" s="64">
        <v>1.4</v>
      </c>
      <c r="E62" s="64">
        <v>1.4</v>
      </c>
      <c r="F62" s="64"/>
      <c r="G62" s="64">
        <v>1.4</v>
      </c>
      <c r="H62" s="64">
        <v>1.4</v>
      </c>
      <c r="I62" s="64">
        <v>1.4</v>
      </c>
      <c r="J62" s="64">
        <v>1.4</v>
      </c>
      <c r="K62" s="64">
        <v>1.4</v>
      </c>
      <c r="L62" s="64">
        <v>1.4</v>
      </c>
      <c r="M62" s="64">
        <v>1.4</v>
      </c>
      <c r="N62" s="64">
        <v>1.4</v>
      </c>
      <c r="O62" s="64">
        <v>1.4</v>
      </c>
      <c r="P62" s="64">
        <v>1.4</v>
      </c>
      <c r="Q62" s="64">
        <v>1.4</v>
      </c>
      <c r="R62" s="64">
        <v>1.4</v>
      </c>
      <c r="S62" s="64">
        <v>1.4</v>
      </c>
      <c r="T62" s="64">
        <v>1.4</v>
      </c>
      <c r="U62" s="64">
        <v>1.4</v>
      </c>
      <c r="V62" s="64">
        <v>1.4</v>
      </c>
      <c r="W62" s="64">
        <v>1.4</v>
      </c>
      <c r="X62" s="64">
        <v>1.4</v>
      </c>
      <c r="Y62" s="64">
        <v>1.4</v>
      </c>
      <c r="Z62" s="64">
        <v>1.4</v>
      </c>
      <c r="AA62" s="64"/>
      <c r="AB62" s="64">
        <v>1.4</v>
      </c>
      <c r="AC62" s="64"/>
      <c r="AD62" s="64">
        <v>1.4</v>
      </c>
      <c r="AE62" s="64">
        <v>1.4</v>
      </c>
      <c r="AF62" s="64"/>
      <c r="AG62" s="54">
        <v>15</v>
      </c>
      <c r="AH62" s="47">
        <f t="shared" si="2"/>
        <v>1.4</v>
      </c>
      <c r="AI62" s="48">
        <f t="shared" si="3"/>
        <v>1.4</v>
      </c>
      <c r="AK62" s="45">
        <v>15</v>
      </c>
      <c r="AL62" s="69"/>
      <c r="AO62" s="69"/>
    </row>
    <row r="63" spans="1:41" s="69" customFormat="1" x14ac:dyDescent="0.25">
      <c r="A63" s="53" t="s">
        <v>79</v>
      </c>
      <c r="B63" s="64">
        <v>13.4</v>
      </c>
      <c r="C63" s="64">
        <v>13.4</v>
      </c>
      <c r="D63" s="64">
        <v>13.4</v>
      </c>
      <c r="E63" s="64">
        <v>13.4</v>
      </c>
      <c r="F63" s="64"/>
      <c r="G63" s="64">
        <v>13.9</v>
      </c>
      <c r="H63" s="64">
        <v>13.9</v>
      </c>
      <c r="I63" s="64">
        <v>13.2</v>
      </c>
      <c r="J63" s="64">
        <v>13.2</v>
      </c>
      <c r="K63" s="64">
        <v>13.2</v>
      </c>
      <c r="L63" s="64">
        <v>13.2</v>
      </c>
      <c r="M63" s="64">
        <v>13.2</v>
      </c>
      <c r="N63" s="64">
        <v>13.2</v>
      </c>
      <c r="O63" s="64">
        <v>13.2</v>
      </c>
      <c r="P63" s="64">
        <v>13.2</v>
      </c>
      <c r="Q63" s="64">
        <v>13.2</v>
      </c>
      <c r="R63" s="64">
        <v>13.2</v>
      </c>
      <c r="S63" s="64">
        <v>13.2</v>
      </c>
      <c r="T63" s="64">
        <v>13.2</v>
      </c>
      <c r="U63" s="64">
        <v>12.4</v>
      </c>
      <c r="V63" s="64">
        <v>12.4</v>
      </c>
      <c r="W63" s="64">
        <v>12.4</v>
      </c>
      <c r="X63" s="64">
        <v>12.4</v>
      </c>
      <c r="Y63" s="64">
        <v>12.4</v>
      </c>
      <c r="Z63" s="64">
        <v>12.4</v>
      </c>
      <c r="AA63" s="64"/>
      <c r="AB63" s="64">
        <v>12.4</v>
      </c>
      <c r="AC63" s="64"/>
      <c r="AD63" s="64">
        <v>12.4</v>
      </c>
      <c r="AE63" s="64">
        <v>12.4</v>
      </c>
      <c r="AF63" s="64"/>
      <c r="AG63" s="54">
        <v>14.1</v>
      </c>
      <c r="AH63" s="47">
        <f t="shared" si="2"/>
        <v>13.9</v>
      </c>
      <c r="AI63" s="48">
        <f t="shared" si="3"/>
        <v>12.4</v>
      </c>
      <c r="AJ63" s="1"/>
      <c r="AK63" s="45">
        <v>14.1</v>
      </c>
      <c r="AL63" s="1"/>
      <c r="AM63" s="1"/>
      <c r="AN63" s="1"/>
      <c r="AO63" s="1"/>
    </row>
    <row r="64" spans="1:41" x14ac:dyDescent="0.25">
      <c r="A64" s="70" t="s">
        <v>80</v>
      </c>
      <c r="B64" s="64">
        <v>14.3</v>
      </c>
      <c r="C64" s="64">
        <v>14.3</v>
      </c>
      <c r="D64" s="64">
        <v>14.3</v>
      </c>
      <c r="E64" s="64">
        <v>14.3</v>
      </c>
      <c r="F64" s="64"/>
      <c r="G64" s="64">
        <v>14.2</v>
      </c>
      <c r="H64" s="64">
        <v>14.2</v>
      </c>
      <c r="I64" s="64">
        <v>14.3</v>
      </c>
      <c r="J64" s="64">
        <v>14.3</v>
      </c>
      <c r="K64" s="64">
        <v>14.3</v>
      </c>
      <c r="L64" s="64">
        <v>14.3</v>
      </c>
      <c r="M64" s="64">
        <v>14.3</v>
      </c>
      <c r="N64" s="64">
        <v>14.3</v>
      </c>
      <c r="O64" s="64">
        <v>14.3</v>
      </c>
      <c r="P64" s="64">
        <v>14.3</v>
      </c>
      <c r="Q64" s="64">
        <v>14.3</v>
      </c>
      <c r="R64" s="64">
        <v>14.3</v>
      </c>
      <c r="S64" s="64">
        <v>14.3</v>
      </c>
      <c r="T64" s="64">
        <v>14.3</v>
      </c>
      <c r="U64" s="64">
        <v>14.1</v>
      </c>
      <c r="V64" s="64">
        <v>0</v>
      </c>
      <c r="W64" s="64">
        <v>14.1</v>
      </c>
      <c r="X64" s="64">
        <v>14</v>
      </c>
      <c r="Y64" s="64">
        <v>14</v>
      </c>
      <c r="Z64" s="64">
        <v>14</v>
      </c>
      <c r="AA64" s="64"/>
      <c r="AB64" s="64">
        <v>14</v>
      </c>
      <c r="AC64" s="64"/>
      <c r="AD64" s="64">
        <v>14</v>
      </c>
      <c r="AE64" s="64">
        <v>14.2</v>
      </c>
      <c r="AF64" s="64"/>
      <c r="AG64" s="54">
        <v>14</v>
      </c>
      <c r="AH64" s="47">
        <f t="shared" si="2"/>
        <v>14.3</v>
      </c>
      <c r="AI64" s="48">
        <f t="shared" si="3"/>
        <v>0</v>
      </c>
      <c r="AK64" s="45">
        <v>14</v>
      </c>
    </row>
    <row r="65" spans="1:40" x14ac:dyDescent="0.25">
      <c r="A65" s="53" t="s">
        <v>81</v>
      </c>
      <c r="B65" s="64">
        <v>7</v>
      </c>
      <c r="C65" s="64">
        <v>7</v>
      </c>
      <c r="D65" s="64">
        <v>7</v>
      </c>
      <c r="E65" s="64">
        <v>7</v>
      </c>
      <c r="F65" s="64"/>
      <c r="G65" s="64">
        <v>7</v>
      </c>
      <c r="H65" s="64">
        <v>7</v>
      </c>
      <c r="I65" s="64">
        <v>7</v>
      </c>
      <c r="J65" s="64">
        <v>7</v>
      </c>
      <c r="K65" s="64">
        <v>7</v>
      </c>
      <c r="L65" s="64">
        <v>7</v>
      </c>
      <c r="M65" s="64">
        <v>7</v>
      </c>
      <c r="N65" s="64">
        <v>7</v>
      </c>
      <c r="O65" s="64">
        <v>7</v>
      </c>
      <c r="P65" s="64">
        <v>7</v>
      </c>
      <c r="Q65" s="64">
        <v>7</v>
      </c>
      <c r="R65" s="64">
        <v>7</v>
      </c>
      <c r="S65" s="64">
        <v>7</v>
      </c>
      <c r="T65" s="64">
        <v>7</v>
      </c>
      <c r="U65" s="64">
        <v>7</v>
      </c>
      <c r="V65" s="64">
        <v>7</v>
      </c>
      <c r="W65" s="64">
        <v>7</v>
      </c>
      <c r="X65" s="64">
        <v>7.5</v>
      </c>
      <c r="Y65" s="64">
        <v>7.5</v>
      </c>
      <c r="Z65" s="64">
        <v>7.5</v>
      </c>
      <c r="AA65" s="64"/>
      <c r="AB65" s="64">
        <v>7.5</v>
      </c>
      <c r="AC65" s="64"/>
      <c r="AD65" s="64">
        <v>7.5</v>
      </c>
      <c r="AE65" s="64">
        <v>7.5</v>
      </c>
      <c r="AF65" s="64"/>
      <c r="AG65" s="54">
        <v>10.050000000000001</v>
      </c>
      <c r="AH65" s="47">
        <f t="shared" si="2"/>
        <v>7.5</v>
      </c>
      <c r="AI65" s="48">
        <f t="shared" si="3"/>
        <v>7</v>
      </c>
      <c r="AK65" s="45">
        <v>10.050000000000001</v>
      </c>
    </row>
    <row r="66" spans="1:40" x14ac:dyDescent="0.25">
      <c r="A66" s="53" t="s">
        <v>82</v>
      </c>
      <c r="B66" s="64">
        <v>2.2000000000000002</v>
      </c>
      <c r="C66" s="64">
        <v>2.2000000000000002</v>
      </c>
      <c r="D66" s="64">
        <v>2.2000000000000002</v>
      </c>
      <c r="E66" s="64">
        <v>2.2000000000000002</v>
      </c>
      <c r="F66" s="64"/>
      <c r="G66" s="64">
        <v>2.2000000000000002</v>
      </c>
      <c r="H66" s="64">
        <v>2.2000000000000002</v>
      </c>
      <c r="I66" s="64">
        <v>2.2000000000000002</v>
      </c>
      <c r="J66" s="64">
        <v>2.2000000000000002</v>
      </c>
      <c r="K66" s="64">
        <v>2.2000000000000002</v>
      </c>
      <c r="L66" s="64">
        <v>2.2000000000000002</v>
      </c>
      <c r="M66" s="64">
        <v>2.2000000000000002</v>
      </c>
      <c r="N66" s="64">
        <v>2.2000000000000002</v>
      </c>
      <c r="O66" s="64">
        <v>2.2000000000000002</v>
      </c>
      <c r="P66" s="64">
        <v>2.2000000000000002</v>
      </c>
      <c r="Q66" s="64">
        <v>2.2000000000000002</v>
      </c>
      <c r="R66" s="64">
        <v>2.2000000000000002</v>
      </c>
      <c r="S66" s="64">
        <v>2.2000000000000002</v>
      </c>
      <c r="T66" s="64">
        <v>2.2000000000000002</v>
      </c>
      <c r="U66" s="64">
        <v>2.2000000000000002</v>
      </c>
      <c r="V66" s="64">
        <v>2.2000000000000002</v>
      </c>
      <c r="W66" s="64">
        <v>2.2000000000000002</v>
      </c>
      <c r="X66" s="64">
        <v>2.2000000000000002</v>
      </c>
      <c r="Y66" s="64">
        <v>2.2000000000000002</v>
      </c>
      <c r="Z66" s="64">
        <v>2.2000000000000002</v>
      </c>
      <c r="AA66" s="64"/>
      <c r="AB66" s="64">
        <v>2.2000000000000002</v>
      </c>
      <c r="AC66" s="64"/>
      <c r="AD66" s="64">
        <v>2.2000000000000002</v>
      </c>
      <c r="AE66" s="64">
        <v>2.2000000000000002</v>
      </c>
      <c r="AF66" s="64"/>
      <c r="AG66" s="54">
        <v>6.2</v>
      </c>
      <c r="AH66" s="47">
        <f t="shared" si="2"/>
        <v>2.2000000000000002</v>
      </c>
      <c r="AI66" s="48">
        <f t="shared" si="3"/>
        <v>2.2000000000000002</v>
      </c>
      <c r="AK66" s="45">
        <v>6.2</v>
      </c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45">
        <f>SUM(AK55:AK66)</f>
        <v>481.35</v>
      </c>
    </row>
    <row r="68" spans="1:40" ht="15.75" thickBot="1" x14ac:dyDescent="0.3">
      <c r="A68" s="73" t="s">
        <v>84</v>
      </c>
      <c r="B68" s="59">
        <f t="shared" ref="B68:AG68" si="6">SUM(B55:B67)</f>
        <v>382.14</v>
      </c>
      <c r="C68" s="59">
        <f t="shared" si="6"/>
        <v>383.44</v>
      </c>
      <c r="D68" s="59">
        <f t="shared" si="6"/>
        <v>382.64</v>
      </c>
      <c r="E68" s="59">
        <f t="shared" si="6"/>
        <v>382.64</v>
      </c>
      <c r="F68" s="59">
        <f t="shared" si="6"/>
        <v>3.54</v>
      </c>
      <c r="G68" s="59">
        <f t="shared" si="6"/>
        <v>325.83999999999997</v>
      </c>
      <c r="H68" s="59">
        <f t="shared" si="6"/>
        <v>379.34</v>
      </c>
      <c r="I68" s="59">
        <f t="shared" si="6"/>
        <v>383.73999999999995</v>
      </c>
      <c r="J68" s="59">
        <f t="shared" si="6"/>
        <v>383.14</v>
      </c>
      <c r="K68" s="59">
        <f t="shared" si="6"/>
        <v>383.44</v>
      </c>
      <c r="L68" s="59">
        <f t="shared" si="6"/>
        <v>383.34</v>
      </c>
      <c r="M68" s="59">
        <f t="shared" si="6"/>
        <v>383.74</v>
      </c>
      <c r="N68" s="59">
        <f t="shared" si="6"/>
        <v>353.94</v>
      </c>
      <c r="O68" s="59">
        <f t="shared" si="6"/>
        <v>289.24000000000007</v>
      </c>
      <c r="P68" s="59">
        <f t="shared" si="6"/>
        <v>337.74</v>
      </c>
      <c r="Q68" s="59">
        <f t="shared" si="6"/>
        <v>377.84</v>
      </c>
      <c r="R68" s="59">
        <f t="shared" si="6"/>
        <v>380.74</v>
      </c>
      <c r="S68" s="59">
        <f t="shared" si="6"/>
        <v>384.34</v>
      </c>
      <c r="T68" s="59">
        <f t="shared" si="6"/>
        <v>386.54</v>
      </c>
      <c r="U68" s="59">
        <f t="shared" si="6"/>
        <v>387.04</v>
      </c>
      <c r="V68" s="59">
        <f t="shared" si="6"/>
        <v>274.34000000000003</v>
      </c>
      <c r="W68" s="59">
        <f t="shared" si="6"/>
        <v>370.73999999999995</v>
      </c>
      <c r="X68" s="59">
        <f t="shared" si="6"/>
        <v>437.43999999999994</v>
      </c>
      <c r="Y68" s="59">
        <f t="shared" si="6"/>
        <v>437.43999999999994</v>
      </c>
      <c r="Z68" s="59">
        <f t="shared" si="6"/>
        <v>437.73999999999995</v>
      </c>
      <c r="AA68" s="59">
        <f t="shared" si="6"/>
        <v>3.54</v>
      </c>
      <c r="AB68" s="59">
        <f t="shared" si="6"/>
        <v>289.74</v>
      </c>
      <c r="AC68" s="59">
        <f t="shared" si="6"/>
        <v>3.54</v>
      </c>
      <c r="AD68" s="59">
        <f t="shared" si="6"/>
        <v>385.44</v>
      </c>
      <c r="AE68" s="59">
        <f t="shared" si="6"/>
        <v>428.43999999999994</v>
      </c>
      <c r="AF68" s="59">
        <f t="shared" si="6"/>
        <v>3.54</v>
      </c>
      <c r="AG68" s="60">
        <f t="shared" si="6"/>
        <v>489.91</v>
      </c>
      <c r="AH68" s="47">
        <f t="shared" si="2"/>
        <v>437.73999999999995</v>
      </c>
      <c r="AI68" s="48">
        <f t="shared" si="3"/>
        <v>3.54</v>
      </c>
      <c r="AK68" s="45"/>
    </row>
    <row r="69" spans="1:40" x14ac:dyDescent="0.25">
      <c r="A69" s="44" t="s">
        <v>85</v>
      </c>
      <c r="B69" s="45">
        <v>10.6</v>
      </c>
      <c r="C69" s="45">
        <v>10.6</v>
      </c>
      <c r="D69" s="45">
        <v>29.4</v>
      </c>
      <c r="E69" s="45">
        <v>39.799999999999997</v>
      </c>
      <c r="F69" s="45"/>
      <c r="G69" s="45">
        <v>10.7</v>
      </c>
      <c r="H69" s="45">
        <v>28.8</v>
      </c>
      <c r="I69" s="45">
        <v>28.8</v>
      </c>
      <c r="J69" s="45">
        <v>28.8</v>
      </c>
      <c r="K69" s="45">
        <v>29.1</v>
      </c>
      <c r="L69" s="45">
        <v>28</v>
      </c>
      <c r="M69" s="45">
        <v>13.7</v>
      </c>
      <c r="N69" s="45">
        <v>19.7</v>
      </c>
      <c r="O69" s="45">
        <v>28.9</v>
      </c>
      <c r="P69" s="45">
        <v>28.9</v>
      </c>
      <c r="Q69" s="45">
        <v>10.199999999999999</v>
      </c>
      <c r="R69" s="45">
        <v>24</v>
      </c>
      <c r="S69" s="45">
        <v>23.6</v>
      </c>
      <c r="T69" s="45">
        <v>10.3</v>
      </c>
      <c r="U69" s="45">
        <v>13.9</v>
      </c>
      <c r="V69" s="45">
        <v>60</v>
      </c>
      <c r="W69" s="45">
        <v>0</v>
      </c>
      <c r="X69" s="45">
        <v>0</v>
      </c>
      <c r="Y69" s="45">
        <v>0</v>
      </c>
      <c r="Z69" s="45">
        <v>0</v>
      </c>
      <c r="AA69" s="45"/>
      <c r="AB69" s="45">
        <v>57.9</v>
      </c>
      <c r="AC69" s="45"/>
      <c r="AD69" s="45">
        <v>58</v>
      </c>
      <c r="AE69" s="45">
        <v>14</v>
      </c>
      <c r="AF69" s="45"/>
      <c r="AG69" s="51">
        <v>60</v>
      </c>
      <c r="AH69" s="47">
        <f t="shared" si="2"/>
        <v>60</v>
      </c>
      <c r="AI69" s="48">
        <f t="shared" si="3"/>
        <v>0</v>
      </c>
      <c r="AK69" s="45"/>
    </row>
    <row r="70" spans="1:40" x14ac:dyDescent="0.25">
      <c r="A70" s="53" t="s">
        <v>86</v>
      </c>
      <c r="B70" s="64">
        <v>5.5</v>
      </c>
      <c r="C70" s="64">
        <v>5.5</v>
      </c>
      <c r="D70" s="64">
        <v>15.6</v>
      </c>
      <c r="E70" s="64">
        <v>21.3</v>
      </c>
      <c r="F70" s="64"/>
      <c r="G70" s="64">
        <v>9.4</v>
      </c>
      <c r="H70" s="64">
        <v>16.3</v>
      </c>
      <c r="I70" s="64">
        <v>16.3</v>
      </c>
      <c r="J70" s="64">
        <v>16.399999999999999</v>
      </c>
      <c r="K70" s="64">
        <v>16.2</v>
      </c>
      <c r="L70" s="64">
        <v>16</v>
      </c>
      <c r="M70" s="64">
        <v>12.2</v>
      </c>
      <c r="N70" s="64">
        <v>11</v>
      </c>
      <c r="O70" s="64">
        <v>9.6999999999999993</v>
      </c>
      <c r="P70" s="64">
        <v>5.8</v>
      </c>
      <c r="Q70" s="64">
        <v>4.5999999999999996</v>
      </c>
      <c r="R70" s="64">
        <v>15</v>
      </c>
      <c r="S70" s="64">
        <v>13.1</v>
      </c>
      <c r="T70" s="64">
        <v>6.3</v>
      </c>
      <c r="U70" s="64">
        <v>6.4</v>
      </c>
      <c r="V70" s="64">
        <v>16.8</v>
      </c>
      <c r="W70" s="64">
        <v>0</v>
      </c>
      <c r="X70" s="64">
        <v>0</v>
      </c>
      <c r="Y70" s="64">
        <v>0</v>
      </c>
      <c r="Z70" s="64">
        <v>0</v>
      </c>
      <c r="AA70" s="64"/>
      <c r="AB70" s="64">
        <v>30.6</v>
      </c>
      <c r="AC70" s="64"/>
      <c r="AD70" s="64">
        <v>29</v>
      </c>
      <c r="AE70" s="64">
        <v>12</v>
      </c>
      <c r="AF70" s="64"/>
      <c r="AG70" s="54">
        <v>32</v>
      </c>
      <c r="AH70" s="47">
        <f t="shared" si="2"/>
        <v>30.6</v>
      </c>
      <c r="AI70" s="48">
        <f t="shared" si="3"/>
        <v>0</v>
      </c>
      <c r="AK70" s="45"/>
    </row>
    <row r="71" spans="1:40" ht="15.75" thickBot="1" x14ac:dyDescent="0.3">
      <c r="A71" s="70" t="s">
        <v>87</v>
      </c>
      <c r="B71" s="66">
        <v>2</v>
      </c>
      <c r="C71" s="66">
        <v>2</v>
      </c>
      <c r="D71" s="66">
        <v>5.7</v>
      </c>
      <c r="E71" s="66">
        <v>8</v>
      </c>
      <c r="F71" s="66"/>
      <c r="G71" s="66">
        <v>3.4</v>
      </c>
      <c r="H71" s="66">
        <v>5.9</v>
      </c>
      <c r="I71" s="66">
        <v>6</v>
      </c>
      <c r="J71" s="66">
        <v>6</v>
      </c>
      <c r="K71" s="66">
        <v>5.9</v>
      </c>
      <c r="L71" s="66">
        <v>5.8</v>
      </c>
      <c r="M71" s="66">
        <v>4.4000000000000004</v>
      </c>
      <c r="N71" s="66">
        <v>4</v>
      </c>
      <c r="O71" s="66">
        <v>3.6</v>
      </c>
      <c r="P71" s="66">
        <v>2.1</v>
      </c>
      <c r="Q71" s="66">
        <v>1.7</v>
      </c>
      <c r="R71" s="66">
        <v>5.4</v>
      </c>
      <c r="S71" s="66">
        <v>4.8</v>
      </c>
      <c r="T71" s="66">
        <v>2.2999999999999998</v>
      </c>
      <c r="U71" s="66">
        <v>2.2999999999999998</v>
      </c>
      <c r="V71" s="66">
        <v>6.2</v>
      </c>
      <c r="W71" s="66">
        <v>0</v>
      </c>
      <c r="X71" s="66">
        <v>0</v>
      </c>
      <c r="Y71" s="66">
        <v>0</v>
      </c>
      <c r="Z71" s="66">
        <v>0</v>
      </c>
      <c r="AA71" s="66"/>
      <c r="AB71" s="66">
        <v>11.2</v>
      </c>
      <c r="AC71" s="66"/>
      <c r="AD71" s="66">
        <v>10</v>
      </c>
      <c r="AE71" s="66">
        <v>4.5999999999999996</v>
      </c>
      <c r="AF71" s="66"/>
      <c r="AG71" s="67">
        <v>14</v>
      </c>
      <c r="AH71" s="47">
        <f t="shared" si="2"/>
        <v>11.2</v>
      </c>
      <c r="AI71" s="48">
        <f t="shared" si="3"/>
        <v>0</v>
      </c>
      <c r="AK71" s="45"/>
    </row>
    <row r="72" spans="1:40" ht="15.75" thickBot="1" x14ac:dyDescent="0.3">
      <c r="A72" s="73" t="s">
        <v>88</v>
      </c>
      <c r="B72" s="59">
        <f t="shared" ref="B72:C72" si="7">B69+B70+B71</f>
        <v>18.100000000000001</v>
      </c>
      <c r="C72" s="59">
        <f t="shared" si="7"/>
        <v>18.100000000000001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49.8</v>
      </c>
      <c r="M72" s="59">
        <f t="shared" ref="M72:AF72" si="8">M69+M70+M71</f>
        <v>30.299999999999997</v>
      </c>
      <c r="N72" s="59">
        <f t="shared" si="8"/>
        <v>34.700000000000003</v>
      </c>
      <c r="O72" s="59">
        <f t="shared" si="8"/>
        <v>42.199999999999996</v>
      </c>
      <c r="P72" s="59">
        <f t="shared" si="8"/>
        <v>36.799999999999997</v>
      </c>
      <c r="Q72" s="59">
        <f t="shared" si="8"/>
        <v>16.5</v>
      </c>
      <c r="R72" s="59">
        <f t="shared" si="8"/>
        <v>44.4</v>
      </c>
      <c r="S72" s="59">
        <f t="shared" si="8"/>
        <v>41.5</v>
      </c>
      <c r="T72" s="59">
        <f t="shared" si="8"/>
        <v>18.900000000000002</v>
      </c>
      <c r="U72" s="59">
        <f t="shared" si="8"/>
        <v>22.6</v>
      </c>
      <c r="V72" s="59">
        <f t="shared" si="8"/>
        <v>83</v>
      </c>
      <c r="W72" s="59">
        <f t="shared" si="8"/>
        <v>0</v>
      </c>
      <c r="X72" s="59">
        <f>Y69+Y70+Y71</f>
        <v>0</v>
      </c>
      <c r="Y72" s="59">
        <f>Z69+Z70+Z71</f>
        <v>0</v>
      </c>
      <c r="Z72" s="59">
        <f t="shared" si="8"/>
        <v>0</v>
      </c>
      <c r="AA72" s="59">
        <f t="shared" si="8"/>
        <v>0</v>
      </c>
      <c r="AB72" s="59">
        <f t="shared" si="8"/>
        <v>99.7</v>
      </c>
      <c r="AC72" s="59">
        <f t="shared" si="8"/>
        <v>0</v>
      </c>
      <c r="AD72" s="59">
        <f t="shared" si="8"/>
        <v>97</v>
      </c>
      <c r="AE72" s="59">
        <f t="shared" si="8"/>
        <v>30.6</v>
      </c>
      <c r="AF72" s="59">
        <f t="shared" si="8"/>
        <v>0</v>
      </c>
      <c r="AG72" s="60">
        <f>SUM(AG69:AG71)</f>
        <v>106</v>
      </c>
      <c r="AH72" s="47">
        <f t="shared" si="2"/>
        <v>99.7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49</v>
      </c>
      <c r="C73" s="45">
        <v>39</v>
      </c>
      <c r="D73" s="45">
        <v>71</v>
      </c>
      <c r="E73" s="45">
        <v>36.5</v>
      </c>
      <c r="F73" s="45"/>
      <c r="G73" s="45">
        <v>58.2</v>
      </c>
      <c r="H73" s="45">
        <v>59.2</v>
      </c>
      <c r="I73" s="45">
        <v>57.6</v>
      </c>
      <c r="J73" s="45">
        <v>59.1</v>
      </c>
      <c r="K73" s="45">
        <v>46.2</v>
      </c>
      <c r="L73" s="45">
        <v>42.8</v>
      </c>
      <c r="M73" s="45">
        <v>42</v>
      </c>
      <c r="N73" s="45">
        <v>56</v>
      </c>
      <c r="O73" s="45">
        <v>61.8</v>
      </c>
      <c r="P73" s="45">
        <v>62.3</v>
      </c>
      <c r="Q73" s="45">
        <v>43</v>
      </c>
      <c r="R73" s="45">
        <v>39</v>
      </c>
      <c r="S73" s="45">
        <v>59.8</v>
      </c>
      <c r="T73" s="45">
        <v>62.6</v>
      </c>
      <c r="U73" s="45">
        <v>64.400000000000006</v>
      </c>
      <c r="V73" s="45">
        <v>73.099999999999994</v>
      </c>
      <c r="W73" s="45">
        <v>79</v>
      </c>
      <c r="X73" s="45">
        <v>32</v>
      </c>
      <c r="Y73" s="45">
        <v>52.1</v>
      </c>
      <c r="Z73" s="45">
        <v>42</v>
      </c>
      <c r="AA73" s="45"/>
      <c r="AB73" s="45">
        <v>52</v>
      </c>
      <c r="AC73" s="45"/>
      <c r="AD73" s="45">
        <v>55.2</v>
      </c>
      <c r="AE73" s="45">
        <v>51</v>
      </c>
      <c r="AF73" s="45"/>
      <c r="AG73" s="51"/>
      <c r="AH73" s="47">
        <f t="shared" si="2"/>
        <v>79</v>
      </c>
      <c r="AI73" s="48">
        <f t="shared" si="3"/>
        <v>32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/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/>
      <c r="AB74" s="64">
        <v>0</v>
      </c>
      <c r="AC74" s="64"/>
      <c r="AD74" s="64">
        <v>0</v>
      </c>
      <c r="AE74" s="64">
        <v>0</v>
      </c>
      <c r="AF74" s="64"/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-363.7</v>
      </c>
      <c r="C75" s="64">
        <v>-352</v>
      </c>
      <c r="D75" s="64">
        <v>-375</v>
      </c>
      <c r="E75" s="64">
        <v>-396.5</v>
      </c>
      <c r="F75" s="64"/>
      <c r="G75" s="64">
        <v>-350.1</v>
      </c>
      <c r="H75" s="64">
        <v>-372.8</v>
      </c>
      <c r="I75" s="64">
        <v>-360.3</v>
      </c>
      <c r="J75" s="64">
        <v>-326.7</v>
      </c>
      <c r="K75" s="64">
        <v>-322</v>
      </c>
      <c r="L75" s="64">
        <v>-319</v>
      </c>
      <c r="M75" s="64">
        <v>-319.5</v>
      </c>
      <c r="N75" s="64">
        <v>-284</v>
      </c>
      <c r="O75" s="64">
        <v>-208</v>
      </c>
      <c r="P75" s="64">
        <v>-269.89999999999998</v>
      </c>
      <c r="Q75" s="64">
        <v>-291</v>
      </c>
      <c r="R75" s="64">
        <v>-293</v>
      </c>
      <c r="S75" s="64">
        <v>-316</v>
      </c>
      <c r="T75" s="64">
        <v>-289</v>
      </c>
      <c r="U75" s="64">
        <v>-223.6</v>
      </c>
      <c r="V75" s="64">
        <v>-302</v>
      </c>
      <c r="W75" s="64">
        <v>-280</v>
      </c>
      <c r="X75" s="64">
        <v>-285</v>
      </c>
      <c r="Y75" s="64">
        <v>-208</v>
      </c>
      <c r="Z75" s="64">
        <v>-185</v>
      </c>
      <c r="AA75" s="64"/>
      <c r="AB75" s="64">
        <v>-110.7</v>
      </c>
      <c r="AC75" s="64"/>
      <c r="AD75" s="64">
        <v>-189</v>
      </c>
      <c r="AE75" s="64">
        <v>-302</v>
      </c>
      <c r="AF75" s="64"/>
      <c r="AG75" s="75"/>
      <c r="AH75" s="47">
        <f t="shared" si="2"/>
        <v>-110.7</v>
      </c>
      <c r="AI75" s="48">
        <f t="shared" si="3"/>
        <v>-396.5</v>
      </c>
      <c r="AK75" s="74"/>
    </row>
    <row r="76" spans="1:40" x14ac:dyDescent="0.25">
      <c r="A76" s="53" t="s">
        <v>92</v>
      </c>
      <c r="B76" s="76">
        <v>10</v>
      </c>
      <c r="C76" s="76">
        <v>10</v>
      </c>
      <c r="D76" s="76">
        <v>10</v>
      </c>
      <c r="E76" s="76">
        <v>10</v>
      </c>
      <c r="F76" s="76"/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10</v>
      </c>
      <c r="M76" s="76">
        <v>10</v>
      </c>
      <c r="N76" s="76">
        <v>10</v>
      </c>
      <c r="O76" s="76">
        <v>10</v>
      </c>
      <c r="P76" s="76">
        <v>10</v>
      </c>
      <c r="Q76" s="76">
        <v>10</v>
      </c>
      <c r="R76" s="76">
        <v>10</v>
      </c>
      <c r="S76" s="76">
        <v>10</v>
      </c>
      <c r="T76" s="76">
        <v>10</v>
      </c>
      <c r="U76" s="76">
        <v>10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/>
      <c r="AB76" s="76">
        <v>0</v>
      </c>
      <c r="AC76" s="76"/>
      <c r="AD76" s="76">
        <v>12</v>
      </c>
      <c r="AE76" s="76">
        <v>12</v>
      </c>
      <c r="AF76" s="76"/>
      <c r="AG76" s="75"/>
      <c r="AH76" s="47">
        <f t="shared" si="2"/>
        <v>12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45">
        <v>0</v>
      </c>
      <c r="E77" s="45">
        <v>0</v>
      </c>
      <c r="F77" s="45"/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/>
      <c r="AB77" s="45">
        <v>0</v>
      </c>
      <c r="AC77" s="45"/>
      <c r="AD77" s="45">
        <v>0</v>
      </c>
      <c r="AE77" s="45">
        <v>0</v>
      </c>
      <c r="AF77" s="45"/>
      <c r="AG77" s="75"/>
      <c r="AH77" s="47">
        <f t="shared" ref="AH77:AH120" si="9">MAX(B77:AF77)</f>
        <v>0</v>
      </c>
      <c r="AI77" s="48">
        <f t="shared" ref="AI77:AI120" si="10">MIN(B77:AF77)</f>
        <v>0</v>
      </c>
      <c r="AK77" s="74"/>
    </row>
    <row r="78" spans="1:40" x14ac:dyDescent="0.25">
      <c r="A78" s="53" t="s">
        <v>94</v>
      </c>
      <c r="B78" s="77">
        <v>5</v>
      </c>
      <c r="C78" s="77">
        <v>5</v>
      </c>
      <c r="D78" s="77">
        <v>5</v>
      </c>
      <c r="E78" s="77">
        <v>5</v>
      </c>
      <c r="F78" s="77"/>
      <c r="G78" s="77">
        <v>5</v>
      </c>
      <c r="H78" s="77">
        <v>5</v>
      </c>
      <c r="I78" s="77">
        <v>5</v>
      </c>
      <c r="J78" s="77">
        <v>5</v>
      </c>
      <c r="K78" s="77">
        <v>5</v>
      </c>
      <c r="L78" s="77">
        <v>5</v>
      </c>
      <c r="M78" s="77">
        <v>5</v>
      </c>
      <c r="N78" s="77">
        <v>5</v>
      </c>
      <c r="O78" s="77">
        <v>5</v>
      </c>
      <c r="P78" s="77">
        <v>5</v>
      </c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/>
      <c r="AB78" s="77">
        <v>5</v>
      </c>
      <c r="AC78" s="77">
        <v>5</v>
      </c>
      <c r="AD78" s="77">
        <v>5</v>
      </c>
      <c r="AE78" s="77">
        <v>5</v>
      </c>
      <c r="AF78" s="77"/>
      <c r="AG78" s="75"/>
      <c r="AH78" s="47">
        <f t="shared" si="9"/>
        <v>5</v>
      </c>
      <c r="AI78" s="48">
        <f t="shared" si="10"/>
        <v>0</v>
      </c>
      <c r="AK78" s="74"/>
    </row>
    <row r="79" spans="1:40" ht="15.75" thickBot="1" x14ac:dyDescent="0.3">
      <c r="A79" s="53" t="s">
        <v>95</v>
      </c>
      <c r="B79" s="77">
        <v>0</v>
      </c>
      <c r="C79" s="77">
        <v>0</v>
      </c>
      <c r="D79" s="77">
        <v>0</v>
      </c>
      <c r="E79" s="77">
        <v>0</v>
      </c>
      <c r="F79" s="77"/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/>
      <c r="AB79" s="77">
        <v>0</v>
      </c>
      <c r="AC79" s="77"/>
      <c r="AD79" s="77">
        <v>0</v>
      </c>
      <c r="AE79" s="77">
        <v>0</v>
      </c>
      <c r="AF79" s="77"/>
      <c r="AG79" s="75"/>
      <c r="AH79" s="47">
        <f t="shared" si="9"/>
        <v>0</v>
      </c>
      <c r="AI79" s="48">
        <f t="shared" si="10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77">
        <v>0</v>
      </c>
      <c r="C80" s="77">
        <v>0</v>
      </c>
      <c r="D80" s="77">
        <v>0</v>
      </c>
      <c r="E80" s="77">
        <v>0</v>
      </c>
      <c r="F80" s="77"/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/>
      <c r="AB80" s="77">
        <v>0</v>
      </c>
      <c r="AC80" s="77"/>
      <c r="AD80" s="77">
        <v>0</v>
      </c>
      <c r="AE80" s="77">
        <v>0</v>
      </c>
      <c r="AF80" s="77"/>
      <c r="AG80" s="75"/>
      <c r="AH80" s="47">
        <f t="shared" si="9"/>
        <v>0</v>
      </c>
      <c r="AI80" s="48">
        <f t="shared" si="10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77">
        <v>0</v>
      </c>
      <c r="C81" s="77">
        <v>0</v>
      </c>
      <c r="D81" s="77">
        <v>0</v>
      </c>
      <c r="E81" s="77">
        <v>0</v>
      </c>
      <c r="F81" s="77"/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/>
      <c r="AB81" s="77">
        <v>0</v>
      </c>
      <c r="AC81" s="77"/>
      <c r="AD81" s="77">
        <v>0</v>
      </c>
      <c r="AE81" s="77">
        <v>0</v>
      </c>
      <c r="AF81" s="77"/>
      <c r="AG81" s="75"/>
      <c r="AH81" s="47">
        <f t="shared" si="9"/>
        <v>0</v>
      </c>
      <c r="AI81" s="48">
        <f t="shared" si="10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77">
        <v>0</v>
      </c>
      <c r="C82" s="77">
        <v>0</v>
      </c>
      <c r="D82" s="77">
        <v>0</v>
      </c>
      <c r="E82" s="77">
        <v>0</v>
      </c>
      <c r="F82" s="77"/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/>
      <c r="AB82" s="77">
        <v>0</v>
      </c>
      <c r="AC82" s="77"/>
      <c r="AD82" s="77">
        <v>0</v>
      </c>
      <c r="AE82" s="77">
        <v>0</v>
      </c>
      <c r="AF82" s="77"/>
      <c r="AG82" s="85"/>
      <c r="AH82" s="47">
        <f t="shared" si="9"/>
        <v>0</v>
      </c>
      <c r="AI82" s="48">
        <f t="shared" si="10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77">
        <v>0</v>
      </c>
      <c r="C83" s="77">
        <v>0</v>
      </c>
      <c r="D83" s="77">
        <v>0</v>
      </c>
      <c r="E83" s="77">
        <v>0</v>
      </c>
      <c r="F83" s="77"/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/>
      <c r="Z83" s="77">
        <v>0</v>
      </c>
      <c r="AA83" s="77"/>
      <c r="AB83" s="77">
        <v>0</v>
      </c>
      <c r="AC83" s="77"/>
      <c r="AD83" s="77">
        <v>0</v>
      </c>
      <c r="AE83" s="77">
        <v>0</v>
      </c>
      <c r="AF83" s="77"/>
      <c r="AG83" s="85"/>
      <c r="AH83" s="47">
        <f t="shared" si="9"/>
        <v>0</v>
      </c>
      <c r="AI83" s="48">
        <f t="shared" si="10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1">SUMIF(B73:B83,"&gt;0")</f>
        <v>64</v>
      </c>
      <c r="C84" s="59">
        <f t="shared" si="11"/>
        <v>54</v>
      </c>
      <c r="D84" s="59">
        <f t="shared" si="11"/>
        <v>86</v>
      </c>
      <c r="E84" s="59">
        <f t="shared" si="11"/>
        <v>51.5</v>
      </c>
      <c r="F84" s="59">
        <f t="shared" si="11"/>
        <v>0</v>
      </c>
      <c r="G84" s="59">
        <f t="shared" si="11"/>
        <v>73.2</v>
      </c>
      <c r="H84" s="59">
        <f t="shared" si="11"/>
        <v>74.2</v>
      </c>
      <c r="I84" s="59">
        <f t="shared" si="11"/>
        <v>72.599999999999994</v>
      </c>
      <c r="J84" s="59">
        <f t="shared" si="11"/>
        <v>74.099999999999994</v>
      </c>
      <c r="K84" s="59">
        <f t="shared" si="11"/>
        <v>61.2</v>
      </c>
      <c r="L84" s="59">
        <f t="shared" si="11"/>
        <v>57.8</v>
      </c>
      <c r="M84" s="59">
        <f t="shared" si="11"/>
        <v>57</v>
      </c>
      <c r="N84" s="59">
        <f t="shared" si="11"/>
        <v>71</v>
      </c>
      <c r="O84" s="59">
        <f t="shared" si="11"/>
        <v>76.8</v>
      </c>
      <c r="P84" s="59">
        <f t="shared" si="11"/>
        <v>77.3</v>
      </c>
      <c r="Q84" s="59">
        <f t="shared" si="11"/>
        <v>58</v>
      </c>
      <c r="R84" s="59">
        <f t="shared" si="11"/>
        <v>54</v>
      </c>
      <c r="S84" s="59">
        <f t="shared" si="11"/>
        <v>74.8</v>
      </c>
      <c r="T84" s="59">
        <f t="shared" si="11"/>
        <v>77.599999999999994</v>
      </c>
      <c r="U84" s="59">
        <f t="shared" si="11"/>
        <v>79.400000000000006</v>
      </c>
      <c r="V84" s="59">
        <f t="shared" si="11"/>
        <v>73.099999999999994</v>
      </c>
      <c r="W84" s="59">
        <f t="shared" si="11"/>
        <v>79</v>
      </c>
      <c r="X84" s="59">
        <f t="shared" si="11"/>
        <v>32</v>
      </c>
      <c r="Y84" s="59">
        <f t="shared" si="11"/>
        <v>52.1</v>
      </c>
      <c r="Z84" s="59">
        <f t="shared" si="11"/>
        <v>42</v>
      </c>
      <c r="AA84" s="59">
        <f t="shared" si="11"/>
        <v>0</v>
      </c>
      <c r="AB84" s="59">
        <f t="shared" si="11"/>
        <v>57</v>
      </c>
      <c r="AC84" s="59">
        <f t="shared" si="11"/>
        <v>5</v>
      </c>
      <c r="AD84" s="59">
        <f t="shared" si="11"/>
        <v>72.2</v>
      </c>
      <c r="AE84" s="59">
        <f t="shared" si="11"/>
        <v>68</v>
      </c>
      <c r="AF84" s="59">
        <f t="shared" si="11"/>
        <v>0</v>
      </c>
      <c r="AG84" s="88">
        <f>SUM(AG73:AG83)</f>
        <v>0</v>
      </c>
      <c r="AH84" s="47">
        <f t="shared" si="9"/>
        <v>86</v>
      </c>
      <c r="AI84" s="48">
        <f t="shared" si="10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9"/>
        <v>0</v>
      </c>
      <c r="AI85" s="48">
        <f t="shared" si="10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9"/>
        <v>0</v>
      </c>
      <c r="AI86" s="48">
        <f t="shared" si="10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9"/>
        <v>0</v>
      </c>
      <c r="AI87" s="48">
        <f t="shared" si="10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9"/>
        <v>0</v>
      </c>
      <c r="AI88" s="48">
        <f t="shared" si="10"/>
        <v>0</v>
      </c>
    </row>
    <row r="89" spans="1:40" ht="15.75" thickBot="1" x14ac:dyDescent="0.3">
      <c r="A89" s="73" t="s">
        <v>108</v>
      </c>
      <c r="B89" s="95">
        <f t="shared" ref="B89:AG89" si="12">B50+B54+B72+B68+B84+B88</f>
        <v>1825.1399999999999</v>
      </c>
      <c r="C89" s="95">
        <f t="shared" si="12"/>
        <v>1814.84</v>
      </c>
      <c r="D89" s="95">
        <f t="shared" si="12"/>
        <v>1779.6399999999999</v>
      </c>
      <c r="E89" s="95">
        <f t="shared" si="12"/>
        <v>1770.1399999999999</v>
      </c>
      <c r="F89" s="95">
        <f t="shared" si="12"/>
        <v>68.540000000000006</v>
      </c>
      <c r="G89" s="95">
        <f t="shared" si="12"/>
        <v>1670.7399999999998</v>
      </c>
      <c r="H89" s="95">
        <f t="shared" si="12"/>
        <v>1725.2399999999998</v>
      </c>
      <c r="I89" s="95">
        <f t="shared" si="12"/>
        <v>1728.0399999999997</v>
      </c>
      <c r="J89" s="95">
        <f t="shared" si="12"/>
        <v>1759.04</v>
      </c>
      <c r="K89" s="95">
        <f t="shared" si="12"/>
        <v>1796.34</v>
      </c>
      <c r="L89" s="95">
        <f t="shared" si="12"/>
        <v>1842.6399999999996</v>
      </c>
      <c r="M89" s="95">
        <f t="shared" si="12"/>
        <v>1822.7399999999998</v>
      </c>
      <c r="N89" s="95">
        <f t="shared" si="12"/>
        <v>1847.34</v>
      </c>
      <c r="O89" s="95">
        <f t="shared" si="12"/>
        <v>1795.9399999999998</v>
      </c>
      <c r="P89" s="95">
        <f t="shared" si="12"/>
        <v>1839.5399999999997</v>
      </c>
      <c r="Q89" s="95">
        <f t="shared" si="12"/>
        <v>1870.9399999999998</v>
      </c>
      <c r="R89" s="95">
        <f t="shared" si="12"/>
        <v>1908.74</v>
      </c>
      <c r="S89" s="95">
        <f t="shared" si="12"/>
        <v>1897.54</v>
      </c>
      <c r="T89" s="95">
        <f t="shared" si="12"/>
        <v>1860.1399999999999</v>
      </c>
      <c r="U89" s="95">
        <f t="shared" si="12"/>
        <v>1825.7399999999998</v>
      </c>
      <c r="V89" s="95">
        <f t="shared" si="12"/>
        <v>1702.1399999999999</v>
      </c>
      <c r="W89" s="95">
        <f t="shared" si="12"/>
        <v>1748.94</v>
      </c>
      <c r="X89" s="95">
        <f t="shared" si="12"/>
        <v>1770.6399999999999</v>
      </c>
      <c r="Y89" s="95">
        <f t="shared" si="12"/>
        <v>1791.6399999999999</v>
      </c>
      <c r="Z89" s="95">
        <f t="shared" si="12"/>
        <v>1829.44</v>
      </c>
      <c r="AA89" s="95">
        <f t="shared" si="12"/>
        <v>129.74</v>
      </c>
      <c r="AB89" s="95">
        <f t="shared" si="12"/>
        <v>1771.9399999999998</v>
      </c>
      <c r="AC89" s="95">
        <f t="shared" si="12"/>
        <v>8.5399999999999991</v>
      </c>
      <c r="AD89" s="95">
        <f t="shared" si="12"/>
        <v>1852.1399999999999</v>
      </c>
      <c r="AE89" s="95">
        <f t="shared" si="12"/>
        <v>1902.4399999999996</v>
      </c>
      <c r="AF89" s="95">
        <f t="shared" si="12"/>
        <v>3.54</v>
      </c>
      <c r="AG89" s="60">
        <f t="shared" si="12"/>
        <v>2111.5500000000002</v>
      </c>
      <c r="AH89" s="47">
        <f t="shared" si="9"/>
        <v>1908.74</v>
      </c>
      <c r="AI89" s="48">
        <f t="shared" si="10"/>
        <v>3.54</v>
      </c>
    </row>
    <row r="90" spans="1:40" ht="15.75" thickBot="1" x14ac:dyDescent="0.3">
      <c r="A90" s="96" t="s">
        <v>109</v>
      </c>
      <c r="B90" s="97">
        <v>50</v>
      </c>
      <c r="C90" s="97">
        <v>50</v>
      </c>
      <c r="D90" s="97">
        <v>50</v>
      </c>
      <c r="E90" s="97">
        <v>50</v>
      </c>
      <c r="F90" s="97"/>
      <c r="G90" s="97">
        <v>100</v>
      </c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>
        <v>150</v>
      </c>
      <c r="AE90" s="97">
        <v>150</v>
      </c>
      <c r="AF90" s="97"/>
      <c r="AG90" s="88"/>
      <c r="AH90" s="47">
        <f t="shared" si="9"/>
        <v>150</v>
      </c>
      <c r="AI90" s="48">
        <f t="shared" si="10"/>
        <v>50</v>
      </c>
    </row>
    <row r="91" spans="1:40" ht="15.75" thickBot="1" x14ac:dyDescent="0.3">
      <c r="A91" s="73" t="s">
        <v>110</v>
      </c>
      <c r="B91" s="95">
        <f t="shared" ref="B91:AF91" si="13">B89+B90</f>
        <v>1875.1399999999999</v>
      </c>
      <c r="C91" s="95">
        <f t="shared" si="13"/>
        <v>1864.84</v>
      </c>
      <c r="D91" s="95">
        <f t="shared" si="13"/>
        <v>1829.6399999999999</v>
      </c>
      <c r="E91" s="95">
        <f t="shared" si="13"/>
        <v>1820.1399999999999</v>
      </c>
      <c r="F91" s="95">
        <f t="shared" si="13"/>
        <v>68.540000000000006</v>
      </c>
      <c r="G91" s="95">
        <f t="shared" si="13"/>
        <v>1770.7399999999998</v>
      </c>
      <c r="H91" s="95">
        <f t="shared" si="13"/>
        <v>1725.2399999999998</v>
      </c>
      <c r="I91" s="95">
        <f t="shared" si="13"/>
        <v>1728.0399999999997</v>
      </c>
      <c r="J91" s="95">
        <f t="shared" si="13"/>
        <v>1759.04</v>
      </c>
      <c r="K91" s="95">
        <f t="shared" si="13"/>
        <v>1796.34</v>
      </c>
      <c r="L91" s="95">
        <f t="shared" si="13"/>
        <v>1842.6399999999996</v>
      </c>
      <c r="M91" s="95">
        <f t="shared" si="13"/>
        <v>1822.7399999999998</v>
      </c>
      <c r="N91" s="95">
        <f t="shared" si="13"/>
        <v>1847.34</v>
      </c>
      <c r="O91" s="95">
        <f t="shared" si="13"/>
        <v>1795.9399999999998</v>
      </c>
      <c r="P91" s="95">
        <f t="shared" si="13"/>
        <v>1839.5399999999997</v>
      </c>
      <c r="Q91" s="95">
        <f t="shared" si="13"/>
        <v>1870.9399999999998</v>
      </c>
      <c r="R91" s="95">
        <f t="shared" si="13"/>
        <v>1908.74</v>
      </c>
      <c r="S91" s="95">
        <f t="shared" si="13"/>
        <v>1897.54</v>
      </c>
      <c r="T91" s="95">
        <f t="shared" si="13"/>
        <v>1860.1399999999999</v>
      </c>
      <c r="U91" s="95">
        <f t="shared" si="13"/>
        <v>1825.7399999999998</v>
      </c>
      <c r="V91" s="95">
        <f t="shared" si="13"/>
        <v>1702.1399999999999</v>
      </c>
      <c r="W91" s="95">
        <f t="shared" si="13"/>
        <v>1748.94</v>
      </c>
      <c r="X91" s="95">
        <f t="shared" si="13"/>
        <v>1770.6399999999999</v>
      </c>
      <c r="Y91" s="95">
        <f t="shared" si="13"/>
        <v>1791.6399999999999</v>
      </c>
      <c r="Z91" s="95">
        <f t="shared" si="13"/>
        <v>1829.44</v>
      </c>
      <c r="AA91" s="95">
        <f t="shared" si="13"/>
        <v>129.74</v>
      </c>
      <c r="AB91" s="95">
        <f t="shared" si="13"/>
        <v>1771.9399999999998</v>
      </c>
      <c r="AC91" s="95">
        <f t="shared" si="13"/>
        <v>8.5399999999999991</v>
      </c>
      <c r="AD91" s="95">
        <f t="shared" si="13"/>
        <v>2002.1399999999999</v>
      </c>
      <c r="AE91" s="95">
        <f t="shared" si="13"/>
        <v>2052.4399999999996</v>
      </c>
      <c r="AF91" s="95">
        <f t="shared" si="13"/>
        <v>3.54</v>
      </c>
      <c r="AG91" s="88">
        <f>AG88+AG84+AG72+AG68+AG50+AG90</f>
        <v>1573.45</v>
      </c>
      <c r="AH91" s="47">
        <f t="shared" si="9"/>
        <v>2052.4399999999996</v>
      </c>
      <c r="AI91" s="48">
        <f t="shared" si="10"/>
        <v>3.54</v>
      </c>
    </row>
    <row r="92" spans="1:40" ht="15.75" thickBot="1" x14ac:dyDescent="0.3">
      <c r="A92" s="73" t="s">
        <v>111</v>
      </c>
      <c r="B92" s="95">
        <f t="shared" ref="B92:AF92" si="14">B91-B99</f>
        <v>1875.1399999999999</v>
      </c>
      <c r="C92" s="95">
        <f t="shared" si="14"/>
        <v>1864.84</v>
      </c>
      <c r="D92" s="95">
        <f t="shared" si="14"/>
        <v>1829.6399999999999</v>
      </c>
      <c r="E92" s="95">
        <f t="shared" si="14"/>
        <v>1820.1399999999999</v>
      </c>
      <c r="F92" s="95">
        <f t="shared" si="14"/>
        <v>68.540000000000006</v>
      </c>
      <c r="G92" s="95">
        <f t="shared" si="14"/>
        <v>1770.7399999999998</v>
      </c>
      <c r="H92" s="95">
        <f t="shared" si="14"/>
        <v>1725.2399999999998</v>
      </c>
      <c r="I92" s="95">
        <f t="shared" si="14"/>
        <v>1728.0399999999997</v>
      </c>
      <c r="J92" s="95">
        <f t="shared" si="14"/>
        <v>1759.04</v>
      </c>
      <c r="K92" s="95">
        <f t="shared" si="14"/>
        <v>1796.34</v>
      </c>
      <c r="L92" s="95">
        <f t="shared" si="14"/>
        <v>1842.6399999999996</v>
      </c>
      <c r="M92" s="95">
        <f t="shared" si="14"/>
        <v>1822.7399999999998</v>
      </c>
      <c r="N92" s="95">
        <f t="shared" si="14"/>
        <v>1847.34</v>
      </c>
      <c r="O92" s="95">
        <f t="shared" si="14"/>
        <v>1795.9399999999998</v>
      </c>
      <c r="P92" s="95">
        <f t="shared" si="14"/>
        <v>1839.5399999999997</v>
      </c>
      <c r="Q92" s="95">
        <f t="shared" si="14"/>
        <v>1870.9399999999998</v>
      </c>
      <c r="R92" s="95">
        <f t="shared" si="14"/>
        <v>1908.74</v>
      </c>
      <c r="S92" s="95">
        <f t="shared" si="14"/>
        <v>1897.54</v>
      </c>
      <c r="T92" s="95">
        <f t="shared" si="14"/>
        <v>1860.1399999999999</v>
      </c>
      <c r="U92" s="95">
        <f t="shared" si="14"/>
        <v>1825.7399999999998</v>
      </c>
      <c r="V92" s="95">
        <f t="shared" si="14"/>
        <v>1702.1399999999999</v>
      </c>
      <c r="W92" s="95">
        <f t="shared" si="14"/>
        <v>1748.94</v>
      </c>
      <c r="X92" s="95">
        <f t="shared" si="14"/>
        <v>1770.6399999999999</v>
      </c>
      <c r="Y92" s="95">
        <f t="shared" si="14"/>
        <v>1791.6399999999999</v>
      </c>
      <c r="Z92" s="95">
        <f t="shared" si="14"/>
        <v>1829.44</v>
      </c>
      <c r="AA92" s="95">
        <f t="shared" si="14"/>
        <v>129.74</v>
      </c>
      <c r="AB92" s="95">
        <f t="shared" si="14"/>
        <v>1771.9399999999998</v>
      </c>
      <c r="AC92" s="95">
        <f t="shared" si="14"/>
        <v>8.5399999999999991</v>
      </c>
      <c r="AD92" s="95">
        <f t="shared" si="14"/>
        <v>2002.1399999999999</v>
      </c>
      <c r="AE92" s="95">
        <f t="shared" si="14"/>
        <v>2052.4399999999996</v>
      </c>
      <c r="AF92" s="95">
        <f t="shared" si="14"/>
        <v>3.54</v>
      </c>
      <c r="AG92" s="88"/>
      <c r="AH92" s="47">
        <f t="shared" si="9"/>
        <v>2052.4399999999996</v>
      </c>
      <c r="AI92" s="48">
        <f t="shared" si="10"/>
        <v>3.54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9"/>
        <v>0</v>
      </c>
      <c r="AI93" s="48">
        <f t="shared" si="10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9"/>
        <v>0</v>
      </c>
      <c r="AI94" s="48">
        <f t="shared" si="10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9"/>
        <v>0</v>
      </c>
      <c r="AI95" s="48">
        <f t="shared" si="10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9"/>
        <v>0</v>
      </c>
      <c r="AI96" s="48">
        <f t="shared" si="10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9"/>
        <v>0</v>
      </c>
      <c r="AI97" s="48">
        <f t="shared" si="10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9"/>
        <v>0</v>
      </c>
      <c r="AI98" s="48">
        <f t="shared" si="10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9"/>
        <v>0</v>
      </c>
      <c r="AI99" s="48">
        <f t="shared" si="10"/>
        <v>0</v>
      </c>
      <c r="AK99" s="74"/>
    </row>
    <row r="100" spans="1:37" ht="15.75" thickBot="1" x14ac:dyDescent="0.3">
      <c r="A100" s="73" t="s">
        <v>116</v>
      </c>
      <c r="B100" s="59">
        <f t="shared" ref="B100:AF100" si="15">B84-B99</f>
        <v>64</v>
      </c>
      <c r="C100" s="59">
        <f t="shared" si="15"/>
        <v>54</v>
      </c>
      <c r="D100" s="59">
        <f t="shared" si="15"/>
        <v>86</v>
      </c>
      <c r="E100" s="59">
        <f t="shared" si="15"/>
        <v>51.5</v>
      </c>
      <c r="F100" s="59">
        <f t="shared" si="15"/>
        <v>0</v>
      </c>
      <c r="G100" s="59">
        <f t="shared" si="15"/>
        <v>73.2</v>
      </c>
      <c r="H100" s="59">
        <f t="shared" si="15"/>
        <v>74.2</v>
      </c>
      <c r="I100" s="59">
        <f t="shared" si="15"/>
        <v>72.599999999999994</v>
      </c>
      <c r="J100" s="59">
        <f t="shared" si="15"/>
        <v>74.099999999999994</v>
      </c>
      <c r="K100" s="59">
        <f t="shared" si="15"/>
        <v>61.2</v>
      </c>
      <c r="L100" s="59">
        <f t="shared" si="15"/>
        <v>57.8</v>
      </c>
      <c r="M100" s="59">
        <f t="shared" si="15"/>
        <v>57</v>
      </c>
      <c r="N100" s="59">
        <f t="shared" si="15"/>
        <v>71</v>
      </c>
      <c r="O100" s="59">
        <f t="shared" si="15"/>
        <v>76.8</v>
      </c>
      <c r="P100" s="59">
        <f t="shared" si="15"/>
        <v>77.3</v>
      </c>
      <c r="Q100" s="59">
        <f t="shared" si="15"/>
        <v>58</v>
      </c>
      <c r="R100" s="59">
        <f t="shared" si="15"/>
        <v>54</v>
      </c>
      <c r="S100" s="59">
        <f t="shared" si="15"/>
        <v>74.8</v>
      </c>
      <c r="T100" s="59">
        <f t="shared" si="15"/>
        <v>77.599999999999994</v>
      </c>
      <c r="U100" s="59">
        <f t="shared" si="15"/>
        <v>79.400000000000006</v>
      </c>
      <c r="V100" s="59">
        <f t="shared" si="15"/>
        <v>73.099999999999994</v>
      </c>
      <c r="W100" s="59">
        <f t="shared" si="15"/>
        <v>79</v>
      </c>
      <c r="X100" s="59">
        <f t="shared" si="15"/>
        <v>32</v>
      </c>
      <c r="Y100" s="59">
        <f t="shared" si="15"/>
        <v>52.1</v>
      </c>
      <c r="Z100" s="59">
        <f t="shared" si="15"/>
        <v>42</v>
      </c>
      <c r="AA100" s="59">
        <f t="shared" si="15"/>
        <v>0</v>
      </c>
      <c r="AB100" s="59">
        <f t="shared" si="15"/>
        <v>57</v>
      </c>
      <c r="AC100" s="59">
        <f t="shared" si="15"/>
        <v>5</v>
      </c>
      <c r="AD100" s="59">
        <f t="shared" si="15"/>
        <v>72.2</v>
      </c>
      <c r="AE100" s="59">
        <f t="shared" si="15"/>
        <v>68</v>
      </c>
      <c r="AF100" s="59">
        <f t="shared" si="15"/>
        <v>0</v>
      </c>
      <c r="AG100" s="88"/>
      <c r="AH100" s="47">
        <f t="shared" si="9"/>
        <v>86</v>
      </c>
      <c r="AI100" s="48">
        <f t="shared" si="10"/>
        <v>0</v>
      </c>
    </row>
    <row r="101" spans="1:37" x14ac:dyDescent="0.25">
      <c r="A101" s="100" t="s">
        <v>117</v>
      </c>
      <c r="B101" s="101">
        <v>50.07</v>
      </c>
      <c r="C101" s="101">
        <v>50.04</v>
      </c>
      <c r="D101" s="101">
        <v>49.99</v>
      </c>
      <c r="E101" s="101">
        <v>49.948999999999998</v>
      </c>
      <c r="F101" s="101"/>
      <c r="G101" s="101">
        <v>49.976999999999997</v>
      </c>
      <c r="H101" s="101">
        <v>49.994999999999997</v>
      </c>
      <c r="I101" s="101">
        <v>49.959000000000003</v>
      </c>
      <c r="J101" s="101">
        <v>49.987000000000002</v>
      </c>
      <c r="K101" s="101">
        <v>49.993000000000002</v>
      </c>
      <c r="L101" s="101">
        <v>50.12</v>
      </c>
      <c r="M101" s="101">
        <v>50.131999999999998</v>
      </c>
      <c r="N101" s="101">
        <v>49.835999999999999</v>
      </c>
      <c r="O101" s="101">
        <v>49.996000000000002</v>
      </c>
      <c r="P101" s="101">
        <v>50.000999999999998</v>
      </c>
      <c r="Q101" s="101">
        <v>49.984999999999999</v>
      </c>
      <c r="R101" s="101">
        <v>50.002000000000002</v>
      </c>
      <c r="S101" s="101">
        <v>49.85</v>
      </c>
      <c r="T101" s="101">
        <v>49.829000000000001</v>
      </c>
      <c r="U101" s="101">
        <v>49.991999999999997</v>
      </c>
      <c r="V101" s="101">
        <v>50.078899999999997</v>
      </c>
      <c r="W101" s="101">
        <v>50.054000000000002</v>
      </c>
      <c r="X101" s="101">
        <v>50.027000000000001</v>
      </c>
      <c r="Y101" s="101">
        <v>50.113999999999997</v>
      </c>
      <c r="Z101" s="101">
        <v>49.948999999999998</v>
      </c>
      <c r="AA101" s="101"/>
      <c r="AB101" s="101">
        <v>49.847999999999999</v>
      </c>
      <c r="AC101" s="101">
        <v>49.847999999999999</v>
      </c>
      <c r="AD101" s="101">
        <v>49.847999999999999</v>
      </c>
      <c r="AE101" s="101">
        <v>49.726999999999997</v>
      </c>
      <c r="AF101" s="101"/>
      <c r="AG101" s="102"/>
      <c r="AH101" s="47">
        <f t="shared" si="9"/>
        <v>50.131999999999998</v>
      </c>
      <c r="AI101" s="48">
        <f t="shared" si="10"/>
        <v>49.726999999999997</v>
      </c>
    </row>
    <row r="102" spans="1:37" x14ac:dyDescent="0.25">
      <c r="A102" s="103" t="s">
        <v>118</v>
      </c>
      <c r="B102" s="64">
        <v>121.8</v>
      </c>
      <c r="C102" s="64">
        <v>122.7</v>
      </c>
      <c r="D102" s="64">
        <v>122.7</v>
      </c>
      <c r="E102" s="64">
        <v>122.9</v>
      </c>
      <c r="F102" s="64"/>
      <c r="G102" s="64">
        <v>122.4</v>
      </c>
      <c r="H102" s="64">
        <v>123.1</v>
      </c>
      <c r="I102" s="64">
        <v>122.7</v>
      </c>
      <c r="J102" s="64">
        <v>122.6</v>
      </c>
      <c r="K102" s="64">
        <v>122.9</v>
      </c>
      <c r="L102" s="64">
        <v>123.6</v>
      </c>
      <c r="M102" s="64">
        <v>121.3</v>
      </c>
      <c r="N102" s="64">
        <v>119.5</v>
      </c>
      <c r="O102" s="64">
        <v>120</v>
      </c>
      <c r="P102" s="64">
        <v>120</v>
      </c>
      <c r="Q102" s="64">
        <v>117.5</v>
      </c>
      <c r="R102" s="64">
        <v>121</v>
      </c>
      <c r="S102" s="64">
        <v>121.4</v>
      </c>
      <c r="T102" s="64">
        <v>118.3</v>
      </c>
      <c r="U102" s="64">
        <v>119.7</v>
      </c>
      <c r="V102" s="64">
        <v>123.5</v>
      </c>
      <c r="W102" s="64">
        <v>125.2</v>
      </c>
      <c r="X102" s="64">
        <v>124.5</v>
      </c>
      <c r="Y102" s="64">
        <v>123.9</v>
      </c>
      <c r="Z102" s="64">
        <v>125</v>
      </c>
      <c r="AA102" s="64"/>
      <c r="AB102" s="64">
        <v>124.5</v>
      </c>
      <c r="AC102" s="64">
        <v>124.5</v>
      </c>
      <c r="AD102" s="64">
        <v>124.5</v>
      </c>
      <c r="AE102" s="64">
        <v>123.3</v>
      </c>
      <c r="AF102" s="64"/>
      <c r="AG102" s="104"/>
      <c r="AH102" s="47">
        <f t="shared" si="9"/>
        <v>125.2</v>
      </c>
      <c r="AI102" s="48">
        <f t="shared" si="10"/>
        <v>117.5</v>
      </c>
    </row>
    <row r="103" spans="1:37" x14ac:dyDescent="0.25">
      <c r="A103" s="103" t="s">
        <v>119</v>
      </c>
      <c r="B103" s="64">
        <v>128.30000000000001</v>
      </c>
      <c r="C103" s="64">
        <v>128.69999999999999</v>
      </c>
      <c r="D103" s="64">
        <v>129.19999999999999</v>
      </c>
      <c r="E103" s="64">
        <v>128.69999999999999</v>
      </c>
      <c r="F103" s="64"/>
      <c r="G103" s="64">
        <v>127.9</v>
      </c>
      <c r="H103" s="64">
        <v>128.4</v>
      </c>
      <c r="I103" s="64">
        <v>127.7</v>
      </c>
      <c r="J103" s="64">
        <v>127.2</v>
      </c>
      <c r="K103" s="64">
        <v>128</v>
      </c>
      <c r="L103" s="64">
        <v>127.1</v>
      </c>
      <c r="M103" s="64">
        <v>125.4</v>
      </c>
      <c r="N103" s="64">
        <v>123.7</v>
      </c>
      <c r="O103" s="64">
        <v>124.2</v>
      </c>
      <c r="P103" s="64">
        <v>124.2</v>
      </c>
      <c r="Q103" s="64">
        <v>122.4</v>
      </c>
      <c r="R103" s="64">
        <v>125.3</v>
      </c>
      <c r="S103" s="64">
        <v>125.4</v>
      </c>
      <c r="T103" s="64">
        <v>123.2</v>
      </c>
      <c r="U103" s="64">
        <v>124.2</v>
      </c>
      <c r="V103" s="64">
        <v>127.5</v>
      </c>
      <c r="W103" s="64">
        <v>128.19999999999999</v>
      </c>
      <c r="X103" s="64">
        <v>127.9</v>
      </c>
      <c r="Y103" s="64">
        <v>127.3</v>
      </c>
      <c r="Z103" s="64">
        <v>127.8</v>
      </c>
      <c r="AA103" s="64"/>
      <c r="AB103" s="64">
        <v>127.1</v>
      </c>
      <c r="AC103" s="64">
        <v>127.1</v>
      </c>
      <c r="AD103" s="64">
        <v>127.1</v>
      </c>
      <c r="AE103" s="64">
        <v>128.1</v>
      </c>
      <c r="AF103" s="64"/>
      <c r="AG103" s="104"/>
      <c r="AH103" s="47">
        <f t="shared" si="9"/>
        <v>129.19999999999999</v>
      </c>
      <c r="AI103" s="48">
        <f t="shared" si="10"/>
        <v>122.4</v>
      </c>
    </row>
    <row r="104" spans="1:37" x14ac:dyDescent="0.25">
      <c r="A104" s="103" t="s">
        <v>120</v>
      </c>
      <c r="B104" s="64">
        <v>128.4</v>
      </c>
      <c r="C104" s="64">
        <v>127.9</v>
      </c>
      <c r="D104" s="64">
        <v>127.7</v>
      </c>
      <c r="E104" s="64">
        <v>128</v>
      </c>
      <c r="F104" s="64"/>
      <c r="G104" s="64">
        <v>127.2</v>
      </c>
      <c r="H104" s="64">
        <v>128.5</v>
      </c>
      <c r="I104" s="64">
        <v>128.5</v>
      </c>
      <c r="J104" s="64">
        <v>128</v>
      </c>
      <c r="K104" s="64">
        <v>130.19999999999999</v>
      </c>
      <c r="L104" s="64">
        <v>127.5</v>
      </c>
      <c r="M104" s="64">
        <v>126.8</v>
      </c>
      <c r="N104" s="64">
        <v>128.1</v>
      </c>
      <c r="O104" s="64">
        <v>125.7</v>
      </c>
      <c r="P104" s="64">
        <v>125.7</v>
      </c>
      <c r="Q104" s="64">
        <v>127.1</v>
      </c>
      <c r="R104" s="64">
        <v>125.2</v>
      </c>
      <c r="S104" s="64">
        <v>127.1</v>
      </c>
      <c r="T104" s="64">
        <v>127.3</v>
      </c>
      <c r="U104" s="64">
        <v>126.4</v>
      </c>
      <c r="V104" s="64">
        <v>126.8</v>
      </c>
      <c r="W104" s="64">
        <v>127.1</v>
      </c>
      <c r="X104" s="64">
        <v>129.80000000000001</v>
      </c>
      <c r="Y104" s="64">
        <v>129.4</v>
      </c>
      <c r="Z104" s="64">
        <v>126.5</v>
      </c>
      <c r="AA104" s="64"/>
      <c r="AB104" s="64">
        <v>124.8</v>
      </c>
      <c r="AC104" s="64">
        <v>124.8</v>
      </c>
      <c r="AD104" s="64">
        <v>124.8</v>
      </c>
      <c r="AE104" s="64">
        <v>127.2</v>
      </c>
      <c r="AF104" s="64"/>
      <c r="AG104" s="104"/>
      <c r="AH104" s="47">
        <f t="shared" si="9"/>
        <v>130.19999999999999</v>
      </c>
      <c r="AI104" s="48">
        <f t="shared" si="10"/>
        <v>124.8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9"/>
        <v>0</v>
      </c>
      <c r="AI105" s="48">
        <f t="shared" si="10"/>
        <v>0</v>
      </c>
    </row>
    <row r="106" spans="1:37" x14ac:dyDescent="0.25">
      <c r="A106" s="105" t="s">
        <v>122</v>
      </c>
      <c r="B106" s="106">
        <v>127.5</v>
      </c>
      <c r="C106" s="106">
        <v>129.30000000000001</v>
      </c>
      <c r="D106" s="106">
        <v>129.5</v>
      </c>
      <c r="E106" s="106">
        <v>125.4</v>
      </c>
      <c r="F106" s="106"/>
      <c r="G106" s="106">
        <v>126.2</v>
      </c>
      <c r="H106" s="106">
        <v>128</v>
      </c>
      <c r="I106" s="106">
        <v>128.6</v>
      </c>
      <c r="J106" s="106">
        <v>124.3</v>
      </c>
      <c r="K106" s="106">
        <v>122.5</v>
      </c>
      <c r="L106" s="106">
        <v>125</v>
      </c>
      <c r="M106" s="106">
        <v>127</v>
      </c>
      <c r="N106" s="106">
        <v>124.2</v>
      </c>
      <c r="O106" s="106">
        <v>131.69999999999999</v>
      </c>
      <c r="P106" s="106">
        <v>131.69999999999999</v>
      </c>
      <c r="Q106" s="106">
        <v>126.5</v>
      </c>
      <c r="R106" s="106">
        <v>131</v>
      </c>
      <c r="S106" s="106">
        <v>127.2</v>
      </c>
      <c r="T106" s="106">
        <v>129.9</v>
      </c>
      <c r="U106" s="106">
        <v>135.5</v>
      </c>
      <c r="V106" s="106">
        <v>131.6</v>
      </c>
      <c r="W106" s="106">
        <v>133.6</v>
      </c>
      <c r="X106" s="106">
        <v>130.9</v>
      </c>
      <c r="Y106" s="106">
        <v>130.69999999999999</v>
      </c>
      <c r="Z106" s="106">
        <v>129.69999999999999</v>
      </c>
      <c r="AA106" s="106"/>
      <c r="AB106" s="106">
        <v>128.80000000000001</v>
      </c>
      <c r="AC106" s="106">
        <v>128.80000000000001</v>
      </c>
      <c r="AD106" s="106">
        <v>128.80000000000001</v>
      </c>
      <c r="AE106" s="106">
        <v>129.30000000000001</v>
      </c>
      <c r="AF106" s="106"/>
      <c r="AG106" s="107"/>
      <c r="AH106" s="47">
        <f t="shared" si="9"/>
        <v>135.5</v>
      </c>
      <c r="AI106" s="48">
        <f t="shared" si="10"/>
        <v>122.5</v>
      </c>
    </row>
    <row r="107" spans="1:37" x14ac:dyDescent="0.25">
      <c r="A107" s="103" t="s">
        <v>123</v>
      </c>
      <c r="B107" s="64">
        <v>126.4</v>
      </c>
      <c r="C107" s="64">
        <v>129.80000000000001</v>
      </c>
      <c r="D107" s="64">
        <v>129.69999999999999</v>
      </c>
      <c r="E107" s="64">
        <v>126.8</v>
      </c>
      <c r="F107" s="64"/>
      <c r="G107" s="64">
        <v>129.4</v>
      </c>
      <c r="H107" s="64">
        <v>130.4</v>
      </c>
      <c r="I107" s="64">
        <v>131.1</v>
      </c>
      <c r="J107" s="64">
        <v>130.1</v>
      </c>
      <c r="K107" s="64">
        <v>129</v>
      </c>
      <c r="L107" s="64">
        <v>130</v>
      </c>
      <c r="M107" s="64">
        <v>134</v>
      </c>
      <c r="N107" s="64">
        <v>123.5</v>
      </c>
      <c r="O107" s="64">
        <v>130.9</v>
      </c>
      <c r="P107" s="64">
        <v>130.9</v>
      </c>
      <c r="Q107" s="64">
        <v>133.1</v>
      </c>
      <c r="R107" s="64">
        <v>126.7</v>
      </c>
      <c r="S107" s="64">
        <v>133</v>
      </c>
      <c r="T107" s="64">
        <v>128.30000000000001</v>
      </c>
      <c r="U107" s="64">
        <v>131.5</v>
      </c>
      <c r="V107" s="64">
        <v>126.3</v>
      </c>
      <c r="W107" s="64">
        <v>127.2</v>
      </c>
      <c r="X107" s="64">
        <v>130.4</v>
      </c>
      <c r="Y107" s="64">
        <v>130.1</v>
      </c>
      <c r="Z107" s="64">
        <v>128.69999999999999</v>
      </c>
      <c r="AA107" s="64"/>
      <c r="AB107" s="64">
        <v>129.9</v>
      </c>
      <c r="AC107" s="64">
        <v>129.9</v>
      </c>
      <c r="AD107" s="64">
        <v>129.9</v>
      </c>
      <c r="AE107" s="64">
        <v>128.6</v>
      </c>
      <c r="AF107" s="64"/>
      <c r="AG107" s="104"/>
      <c r="AH107" s="47">
        <f t="shared" si="9"/>
        <v>134</v>
      </c>
      <c r="AI107" s="48">
        <f t="shared" si="10"/>
        <v>123.5</v>
      </c>
    </row>
    <row r="108" spans="1:37" ht="15.75" thickBot="1" x14ac:dyDescent="0.3">
      <c r="A108" s="103" t="s">
        <v>124</v>
      </c>
      <c r="B108" s="92">
        <v>64.900000000000006</v>
      </c>
      <c r="C108" s="92">
        <v>65</v>
      </c>
      <c r="D108" s="92">
        <v>65.099999999999994</v>
      </c>
      <c r="E108" s="92">
        <v>65</v>
      </c>
      <c r="F108" s="92"/>
      <c r="G108" s="92">
        <v>64.400000000000006</v>
      </c>
      <c r="H108" s="92">
        <v>64.3</v>
      </c>
      <c r="I108" s="92">
        <v>64</v>
      </c>
      <c r="J108" s="92">
        <v>63.7</v>
      </c>
      <c r="K108" s="92">
        <v>64.7</v>
      </c>
      <c r="L108" s="92">
        <v>63.4</v>
      </c>
      <c r="M108" s="92">
        <v>63.3</v>
      </c>
      <c r="N108" s="92">
        <v>62.3</v>
      </c>
      <c r="O108" s="92">
        <v>62.2</v>
      </c>
      <c r="P108" s="92">
        <v>62.2</v>
      </c>
      <c r="Q108" s="92">
        <v>61.2</v>
      </c>
      <c r="R108" s="92">
        <v>62.8</v>
      </c>
      <c r="S108" s="92">
        <v>62.8</v>
      </c>
      <c r="T108" s="92">
        <v>61.5</v>
      </c>
      <c r="U108" s="92">
        <v>62</v>
      </c>
      <c r="V108" s="92">
        <v>64.099999999999994</v>
      </c>
      <c r="W108" s="92">
        <v>64.3</v>
      </c>
      <c r="X108" s="92">
        <v>64.3</v>
      </c>
      <c r="Y108" s="92">
        <v>63.8</v>
      </c>
      <c r="Z108" s="92">
        <v>64.2</v>
      </c>
      <c r="AA108" s="92"/>
      <c r="AB108" s="92">
        <v>63.5</v>
      </c>
      <c r="AC108" s="92">
        <v>63.5</v>
      </c>
      <c r="AD108" s="92">
        <v>63.5</v>
      </c>
      <c r="AE108" s="92">
        <v>64.2</v>
      </c>
      <c r="AF108" s="92"/>
      <c r="AG108" s="108"/>
      <c r="AH108" s="47">
        <f t="shared" si="9"/>
        <v>65.099999999999994</v>
      </c>
      <c r="AI108" s="48">
        <f t="shared" si="10"/>
        <v>61.2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9"/>
        <v>0</v>
      </c>
      <c r="AI109" s="48">
        <f t="shared" si="10"/>
        <v>0</v>
      </c>
    </row>
    <row r="110" spans="1:37" ht="15.75" thickBot="1" x14ac:dyDescent="0.3">
      <c r="A110" s="110" t="s">
        <v>126</v>
      </c>
      <c r="B110" s="111">
        <f t="shared" ref="B110:O110" si="16">SUM(B20,B26,B29:B30,B58,B60:B61,B63,B65,B111:B115,B138,B144,B150,B159,B161,B173,B180,B183:B184,B191,B193,B195,B199:B201,B203:B205,B210,B216:B217,B219:B221,B229,B234)</f>
        <v>81.300000000000011</v>
      </c>
      <c r="C110" s="111">
        <f t="shared" si="16"/>
        <v>63.940000000000033</v>
      </c>
      <c r="D110" s="111">
        <f t="shared" si="16"/>
        <v>50.739999999999988</v>
      </c>
      <c r="E110" s="111">
        <f t="shared" si="16"/>
        <v>25.84</v>
      </c>
      <c r="F110" s="111">
        <f t="shared" si="16"/>
        <v>0.94</v>
      </c>
      <c r="G110" s="111">
        <f t="shared" si="16"/>
        <v>56.739999999999988</v>
      </c>
      <c r="H110" s="111">
        <f t="shared" si="16"/>
        <v>78.740000000000009</v>
      </c>
      <c r="I110" s="111">
        <f t="shared" si="16"/>
        <v>98.54000000000002</v>
      </c>
      <c r="J110" s="111">
        <f t="shared" si="16"/>
        <v>136.23999999999998</v>
      </c>
      <c r="K110" s="111">
        <f t="shared" si="16"/>
        <v>167.73999999999995</v>
      </c>
      <c r="L110" s="111">
        <f t="shared" si="16"/>
        <v>264.23999999999995</v>
      </c>
      <c r="M110" s="111">
        <f t="shared" si="16"/>
        <v>215.94</v>
      </c>
      <c r="N110" s="111">
        <f t="shared" si="16"/>
        <v>204.54</v>
      </c>
      <c r="O110" s="111">
        <f t="shared" si="16"/>
        <v>220.94</v>
      </c>
      <c r="P110" s="111">
        <v>42</v>
      </c>
      <c r="Q110" s="111">
        <f t="shared" ref="Q110:AF110" si="17">SUM(Q20,Q26,Q29:Q30,Q58,Q60:Q61,Q63,Q65,Q111:Q115,Q138,Q144,Q150,Q159,Q161,Q173,Q180,Q183:Q184,Q191,Q193,Q195,Q199:Q201,Q203:Q205,Q210,Q216:Q217,Q219:Q221,Q229,Q234)</f>
        <v>219.99999999999997</v>
      </c>
      <c r="R110" s="111">
        <f t="shared" si="17"/>
        <v>209.9</v>
      </c>
      <c r="S110" s="111">
        <f t="shared" si="17"/>
        <v>213.1</v>
      </c>
      <c r="T110" s="111">
        <f t="shared" si="17"/>
        <v>222.4</v>
      </c>
      <c r="U110" s="111">
        <f t="shared" si="17"/>
        <v>203.60000000000002</v>
      </c>
      <c r="V110" s="111">
        <f t="shared" si="17"/>
        <v>234.4</v>
      </c>
      <c r="W110" s="111">
        <f t="shared" si="17"/>
        <v>222.7</v>
      </c>
      <c r="X110" s="111">
        <f t="shared" si="17"/>
        <v>230.99999999999997</v>
      </c>
      <c r="Y110" s="111">
        <f t="shared" si="17"/>
        <v>265.5</v>
      </c>
      <c r="Z110" s="111">
        <f t="shared" si="17"/>
        <v>270.60000000000002</v>
      </c>
      <c r="AA110" s="111">
        <f t="shared" si="17"/>
        <v>61.2</v>
      </c>
      <c r="AB110" s="111">
        <f t="shared" si="17"/>
        <v>302.7</v>
      </c>
      <c r="AC110" s="111">
        <f t="shared" si="17"/>
        <v>136.10000000000002</v>
      </c>
      <c r="AD110" s="111"/>
      <c r="AE110" s="111">
        <f t="shared" si="17"/>
        <v>136.40000000000003</v>
      </c>
      <c r="AF110" s="111">
        <f t="shared" si="17"/>
        <v>0</v>
      </c>
      <c r="AG110" s="112"/>
      <c r="AH110" s="47">
        <f t="shared" si="9"/>
        <v>302.7</v>
      </c>
      <c r="AI110" s="48">
        <f t="shared" si="10"/>
        <v>0</v>
      </c>
    </row>
    <row r="111" spans="1:37" x14ac:dyDescent="0.25">
      <c r="A111" s="100" t="s">
        <v>127</v>
      </c>
      <c r="B111" s="113">
        <v>27</v>
      </c>
      <c r="C111" s="113">
        <v>23.3</v>
      </c>
      <c r="D111" s="113">
        <v>22.1</v>
      </c>
      <c r="E111" s="113">
        <v>14.1</v>
      </c>
      <c r="F111" s="113"/>
      <c r="G111" s="113">
        <v>42</v>
      </c>
      <c r="H111" s="113">
        <v>43.9</v>
      </c>
      <c r="I111" s="113">
        <v>39.4</v>
      </c>
      <c r="J111" s="113">
        <v>28.5</v>
      </c>
      <c r="K111" s="113">
        <v>23.7</v>
      </c>
      <c r="L111" s="113">
        <v>24.7</v>
      </c>
      <c r="M111" s="113">
        <v>47.9</v>
      </c>
      <c r="N111" s="113">
        <v>37.6</v>
      </c>
      <c r="O111" s="113">
        <v>33.299999999999997</v>
      </c>
      <c r="P111" s="113">
        <v>41.8</v>
      </c>
      <c r="Q111" s="113">
        <v>50.9</v>
      </c>
      <c r="R111" s="113">
        <v>30.8</v>
      </c>
      <c r="S111" s="113">
        <v>35.6</v>
      </c>
      <c r="T111" s="113">
        <v>50.8</v>
      </c>
      <c r="U111" s="113">
        <v>71</v>
      </c>
      <c r="V111" s="113">
        <v>69.099999999999994</v>
      </c>
      <c r="W111" s="113">
        <v>53.8</v>
      </c>
      <c r="X111" s="113">
        <v>70.2</v>
      </c>
      <c r="Y111" s="113">
        <v>58.9</v>
      </c>
      <c r="Z111" s="113">
        <v>36.9</v>
      </c>
      <c r="AA111" s="113"/>
      <c r="AB111" s="113">
        <v>20.6</v>
      </c>
      <c r="AC111" s="113">
        <v>20.6</v>
      </c>
      <c r="AD111" s="113">
        <v>20.6</v>
      </c>
      <c r="AE111" s="113">
        <v>21.4</v>
      </c>
      <c r="AF111" s="113"/>
      <c r="AG111" s="114">
        <v>75</v>
      </c>
      <c r="AH111" s="47">
        <f t="shared" si="9"/>
        <v>71</v>
      </c>
      <c r="AI111" s="48">
        <f t="shared" si="10"/>
        <v>14.1</v>
      </c>
    </row>
    <row r="112" spans="1:37" x14ac:dyDescent="0.25">
      <c r="A112" s="103" t="s">
        <v>128</v>
      </c>
      <c r="B112" s="115">
        <v>54.6</v>
      </c>
      <c r="C112" s="115">
        <v>45.8</v>
      </c>
      <c r="D112" s="115">
        <v>43</v>
      </c>
      <c r="E112" s="115">
        <v>34</v>
      </c>
      <c r="F112" s="115"/>
      <c r="G112" s="115">
        <v>66.599999999999994</v>
      </c>
      <c r="H112" s="115">
        <v>72.8</v>
      </c>
      <c r="I112" s="115">
        <v>65.5</v>
      </c>
      <c r="J112" s="115">
        <v>52</v>
      </c>
      <c r="K112" s="115">
        <v>43.3</v>
      </c>
      <c r="L112" s="115">
        <v>30.6</v>
      </c>
      <c r="M112" s="115">
        <v>71.400000000000006</v>
      </c>
      <c r="N112" s="115">
        <v>61.6</v>
      </c>
      <c r="O112" s="115">
        <v>56.3</v>
      </c>
      <c r="P112" s="115">
        <v>66.7</v>
      </c>
      <c r="Q112" s="115">
        <v>82.3</v>
      </c>
      <c r="R112" s="115">
        <v>56</v>
      </c>
      <c r="S112" s="115">
        <v>63.2</v>
      </c>
      <c r="T112" s="115">
        <v>83.2</v>
      </c>
      <c r="U112" s="115">
        <v>113</v>
      </c>
      <c r="V112" s="115">
        <v>111.1</v>
      </c>
      <c r="W112" s="115">
        <v>80.599999999999994</v>
      </c>
      <c r="X112" s="115">
        <v>104.2</v>
      </c>
      <c r="Y112" s="115">
        <v>88.4</v>
      </c>
      <c r="Z112" s="115">
        <v>58.6</v>
      </c>
      <c r="AA112" s="115"/>
      <c r="AB112" s="115">
        <v>33</v>
      </c>
      <c r="AC112" s="115">
        <v>33</v>
      </c>
      <c r="AD112" s="115">
        <v>33</v>
      </c>
      <c r="AE112" s="115">
        <v>44.9</v>
      </c>
      <c r="AF112" s="115"/>
      <c r="AG112" s="114">
        <v>240</v>
      </c>
      <c r="AH112" s="47">
        <f t="shared" si="9"/>
        <v>113</v>
      </c>
      <c r="AI112" s="48">
        <f t="shared" si="10"/>
        <v>30.6</v>
      </c>
    </row>
    <row r="113" spans="1:37" x14ac:dyDescent="0.25">
      <c r="A113" s="103" t="s">
        <v>129</v>
      </c>
      <c r="B113" s="115">
        <f>-100.7-106.8</f>
        <v>-207.5</v>
      </c>
      <c r="C113" s="115">
        <f>-92.4-98.6</f>
        <v>-191</v>
      </c>
      <c r="D113" s="115">
        <f>-95-97.8</f>
        <v>-192.8</v>
      </c>
      <c r="E113" s="115">
        <v>-212</v>
      </c>
      <c r="F113" s="115"/>
      <c r="G113" s="115">
        <v>-197</v>
      </c>
      <c r="H113" s="115">
        <v>-213</v>
      </c>
      <c r="I113" s="115">
        <v>-186</v>
      </c>
      <c r="J113" s="115">
        <v>-130</v>
      </c>
      <c r="K113" s="115">
        <v>-92</v>
      </c>
      <c r="L113" s="115">
        <v>-62.3</v>
      </c>
      <c r="M113" s="115">
        <v>-128</v>
      </c>
      <c r="N113" s="115">
        <v>-101</v>
      </c>
      <c r="O113" s="115">
        <v>-100</v>
      </c>
      <c r="P113" s="115">
        <v>-142</v>
      </c>
      <c r="Q113" s="115">
        <v>-145</v>
      </c>
      <c r="R113" s="115">
        <v>-120</v>
      </c>
      <c r="S113" s="115">
        <v>-126.9</v>
      </c>
      <c r="T113" s="115">
        <v>-145.6</v>
      </c>
      <c r="U113" s="115">
        <v>-192</v>
      </c>
      <c r="V113" s="115">
        <v>-179</v>
      </c>
      <c r="W113" s="115">
        <v>-132.6</v>
      </c>
      <c r="X113" s="115">
        <v>-148.30000000000001</v>
      </c>
      <c r="Y113" s="115">
        <v>-124.8</v>
      </c>
      <c r="Z113" s="115">
        <v>-98</v>
      </c>
      <c r="AA113" s="115"/>
      <c r="AB113" s="115">
        <f>-16-26.8</f>
        <v>-42.8</v>
      </c>
      <c r="AC113" s="115">
        <f t="shared" ref="AC113:AD113" si="18">-16-26.8</f>
        <v>-42.8</v>
      </c>
      <c r="AD113" s="115">
        <f t="shared" si="18"/>
        <v>-42.8</v>
      </c>
      <c r="AE113" s="115">
        <v>-135</v>
      </c>
      <c r="AF113" s="115"/>
      <c r="AG113" s="114">
        <v>240</v>
      </c>
      <c r="AH113" s="47">
        <f t="shared" si="9"/>
        <v>-42.8</v>
      </c>
      <c r="AI113" s="48">
        <f t="shared" si="10"/>
        <v>-213</v>
      </c>
    </row>
    <row r="114" spans="1:37" x14ac:dyDescent="0.25">
      <c r="A114" s="103" t="s">
        <v>130</v>
      </c>
      <c r="B114" s="115">
        <v>-15.6</v>
      </c>
      <c r="C114" s="115">
        <v>-31.5</v>
      </c>
      <c r="D114" s="115">
        <v>-8.4</v>
      </c>
      <c r="E114" s="115">
        <v>2.9</v>
      </c>
      <c r="F114" s="115"/>
      <c r="G114" s="115">
        <v>-17.399999999999999</v>
      </c>
      <c r="H114" s="115">
        <v>0.5</v>
      </c>
      <c r="I114" s="115">
        <v>4.5</v>
      </c>
      <c r="J114" s="115">
        <v>10.4</v>
      </c>
      <c r="K114" s="115">
        <v>17.2</v>
      </c>
      <c r="L114" s="115">
        <v>23.1</v>
      </c>
      <c r="M114" s="115">
        <v>3.9</v>
      </c>
      <c r="N114" s="115">
        <v>8.9</v>
      </c>
      <c r="O114" s="115">
        <v>20</v>
      </c>
      <c r="P114" s="115">
        <v>6.5</v>
      </c>
      <c r="Q114" s="115">
        <v>8.5</v>
      </c>
      <c r="R114" s="115">
        <v>16.399999999999999</v>
      </c>
      <c r="S114" s="115">
        <v>18</v>
      </c>
      <c r="T114" s="115">
        <v>14.4</v>
      </c>
      <c r="U114" s="115">
        <v>7.5</v>
      </c>
      <c r="V114" s="115">
        <v>34</v>
      </c>
      <c r="W114" s="115">
        <v>2.8</v>
      </c>
      <c r="X114" s="115">
        <v>0.4</v>
      </c>
      <c r="Y114" s="115">
        <v>3.8</v>
      </c>
      <c r="Z114" s="115">
        <v>30.9</v>
      </c>
      <c r="AA114" s="115"/>
      <c r="AB114" s="115">
        <v>54.1</v>
      </c>
      <c r="AC114" s="115">
        <v>54.1</v>
      </c>
      <c r="AD114" s="115">
        <v>54.1</v>
      </c>
      <c r="AE114" s="115">
        <v>0.3</v>
      </c>
      <c r="AF114" s="115"/>
      <c r="AG114" s="114">
        <v>60</v>
      </c>
      <c r="AH114" s="47">
        <f t="shared" si="9"/>
        <v>54.1</v>
      </c>
      <c r="AI114" s="48">
        <f t="shared" si="10"/>
        <v>-31.5</v>
      </c>
    </row>
    <row r="115" spans="1:37" x14ac:dyDescent="0.25">
      <c r="A115" s="116" t="s">
        <v>131</v>
      </c>
      <c r="B115" s="117">
        <v>36.799999999999997</v>
      </c>
      <c r="C115" s="117">
        <v>30.6</v>
      </c>
      <c r="D115" s="117">
        <v>0</v>
      </c>
      <c r="E115" s="117">
        <v>0</v>
      </c>
      <c r="F115" s="117"/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72.599999999999994</v>
      </c>
      <c r="M115" s="117">
        <v>45.2</v>
      </c>
      <c r="N115" s="117">
        <v>55.1</v>
      </c>
      <c r="O115" s="117">
        <v>69</v>
      </c>
      <c r="P115" s="117">
        <v>43.4</v>
      </c>
      <c r="Q115" s="117">
        <v>52.1</v>
      </c>
      <c r="R115" s="117">
        <v>55.5</v>
      </c>
      <c r="S115" s="117">
        <v>49.5</v>
      </c>
      <c r="T115" s="117">
        <v>45.9</v>
      </c>
      <c r="U115" s="117">
        <v>30.5</v>
      </c>
      <c r="V115" s="117">
        <v>25.6</v>
      </c>
      <c r="W115" s="117">
        <v>47.7</v>
      </c>
      <c r="X115" s="117">
        <v>28.2</v>
      </c>
      <c r="Y115" s="117">
        <v>62.9</v>
      </c>
      <c r="Z115" s="117">
        <v>65.900000000000006</v>
      </c>
      <c r="AA115" s="117"/>
      <c r="AB115" s="117">
        <v>71.2</v>
      </c>
      <c r="AC115" s="117">
        <v>71.2</v>
      </c>
      <c r="AD115" s="117">
        <v>71.2</v>
      </c>
      <c r="AE115" s="117">
        <v>20</v>
      </c>
      <c r="AF115" s="117"/>
      <c r="AG115" s="118">
        <v>120</v>
      </c>
      <c r="AH115" s="47">
        <f t="shared" si="9"/>
        <v>72.599999999999994</v>
      </c>
      <c r="AI115" s="48">
        <f t="shared" si="10"/>
        <v>0</v>
      </c>
    </row>
    <row r="116" spans="1:37" x14ac:dyDescent="0.25">
      <c r="A116" s="116" t="s">
        <v>132</v>
      </c>
      <c r="B116" s="117">
        <v>34.6</v>
      </c>
      <c r="C116" s="117">
        <v>40</v>
      </c>
      <c r="D116" s="117">
        <v>36.4</v>
      </c>
      <c r="E116" s="117">
        <v>21.8</v>
      </c>
      <c r="F116" s="117"/>
      <c r="G116" s="117">
        <v>26.9</v>
      </c>
      <c r="H116" s="117">
        <v>15.8</v>
      </c>
      <c r="I116" s="117">
        <v>24.4</v>
      </c>
      <c r="J116" s="117">
        <v>62.2</v>
      </c>
      <c r="K116" s="117">
        <v>81.900000000000006</v>
      </c>
      <c r="L116" s="117">
        <v>71.8</v>
      </c>
      <c r="M116" s="117">
        <v>62.3</v>
      </c>
      <c r="N116" s="117">
        <v>71.900000000000006</v>
      </c>
      <c r="O116" s="117">
        <v>79.400000000000006</v>
      </c>
      <c r="P116" s="117">
        <v>70</v>
      </c>
      <c r="Q116" s="117">
        <v>79.2</v>
      </c>
      <c r="R116" s="117">
        <v>72.3</v>
      </c>
      <c r="S116" s="117">
        <v>59.8</v>
      </c>
      <c r="T116" s="117">
        <v>65.900000000000006</v>
      </c>
      <c r="U116" s="117">
        <v>50.4</v>
      </c>
      <c r="V116" s="117">
        <v>29.5</v>
      </c>
      <c r="W116" s="117">
        <v>45.9</v>
      </c>
      <c r="X116" s="117">
        <v>26.5</v>
      </c>
      <c r="Y116" s="117">
        <v>52.9</v>
      </c>
      <c r="Z116" s="117">
        <v>43.5</v>
      </c>
      <c r="AA116" s="117"/>
      <c r="AB116" s="117">
        <v>53.2</v>
      </c>
      <c r="AC116" s="117">
        <v>53.2</v>
      </c>
      <c r="AD116" s="117">
        <v>53.2</v>
      </c>
      <c r="AE116" s="117">
        <v>16</v>
      </c>
      <c r="AF116" s="117"/>
      <c r="AG116" s="118"/>
      <c r="AH116" s="47">
        <f t="shared" si="9"/>
        <v>81.900000000000006</v>
      </c>
      <c r="AI116" s="48">
        <f t="shared" si="10"/>
        <v>15.8</v>
      </c>
    </row>
    <row r="117" spans="1:37" x14ac:dyDescent="0.25">
      <c r="A117" s="116" t="s">
        <v>133</v>
      </c>
      <c r="B117" s="117">
        <v>60.6</v>
      </c>
      <c r="C117" s="117">
        <v>60.9</v>
      </c>
      <c r="D117" s="117">
        <v>58.9</v>
      </c>
      <c r="E117" s="117">
        <v>50.3</v>
      </c>
      <c r="F117" s="117"/>
      <c r="G117" s="117">
        <v>26.8</v>
      </c>
      <c r="H117" s="117">
        <v>26.6</v>
      </c>
      <c r="I117" s="117">
        <v>39.4</v>
      </c>
      <c r="J117" s="117">
        <v>40</v>
      </c>
      <c r="K117" s="117">
        <v>45.3</v>
      </c>
      <c r="L117" s="117">
        <v>21.5</v>
      </c>
      <c r="M117" s="117">
        <v>20.100000000000001</v>
      </c>
      <c r="N117" s="117">
        <v>33.1</v>
      </c>
      <c r="O117" s="117">
        <v>42.4</v>
      </c>
      <c r="P117" s="117">
        <v>33.1</v>
      </c>
      <c r="Q117" s="117">
        <v>22.3</v>
      </c>
      <c r="R117" s="117">
        <v>38.9</v>
      </c>
      <c r="S117" s="117">
        <v>34.6</v>
      </c>
      <c r="T117" s="117">
        <v>21.1</v>
      </c>
      <c r="U117" s="117">
        <v>7.9</v>
      </c>
      <c r="V117" s="117">
        <v>-4.7</v>
      </c>
      <c r="W117" s="117">
        <v>22.9</v>
      </c>
      <c r="X117" s="117">
        <v>-2.1</v>
      </c>
      <c r="Y117" s="117">
        <v>17.8</v>
      </c>
      <c r="Z117" s="117">
        <v>49.7</v>
      </c>
      <c r="AA117" s="117"/>
      <c r="AB117" s="117"/>
      <c r="AC117" s="117"/>
      <c r="AD117" s="117"/>
      <c r="AE117" s="117">
        <v>29</v>
      </c>
      <c r="AF117" s="117"/>
      <c r="AG117" s="119"/>
      <c r="AH117" s="47">
        <f t="shared" si="9"/>
        <v>60.9</v>
      </c>
      <c r="AI117" s="48">
        <f t="shared" si="10"/>
        <v>-4.7</v>
      </c>
    </row>
    <row r="118" spans="1:37" x14ac:dyDescent="0.25">
      <c r="A118" s="120" t="s">
        <v>134</v>
      </c>
      <c r="B118" s="106">
        <v>66.099999999999994</v>
      </c>
      <c r="C118" s="106"/>
      <c r="D118" s="106"/>
      <c r="E118" s="106"/>
      <c r="F118" s="106"/>
      <c r="G118" s="106"/>
      <c r="H118" s="106"/>
      <c r="I118" s="106"/>
      <c r="J118" s="106"/>
      <c r="K118" s="106">
        <v>62.8</v>
      </c>
      <c r="L118" s="106">
        <v>64.900000000000006</v>
      </c>
      <c r="M118" s="106">
        <v>60.5</v>
      </c>
      <c r="N118" s="106">
        <v>38.299999999999997</v>
      </c>
      <c r="O118" s="106">
        <v>24.8</v>
      </c>
      <c r="P118" s="106">
        <v>42.9</v>
      </c>
      <c r="Q118" s="106">
        <v>46.1</v>
      </c>
      <c r="R118" s="106">
        <v>51</v>
      </c>
      <c r="S118" s="106">
        <v>50.1</v>
      </c>
      <c r="T118" s="106">
        <v>44.5</v>
      </c>
      <c r="U118" s="106">
        <v>48.1</v>
      </c>
      <c r="V118" s="106">
        <v>49.2</v>
      </c>
      <c r="W118" s="106">
        <v>40.5</v>
      </c>
      <c r="X118" s="106">
        <v>45.5</v>
      </c>
      <c r="Y118" s="106">
        <v>43.6</v>
      </c>
      <c r="Z118" s="106">
        <v>36</v>
      </c>
      <c r="AA118" s="106"/>
      <c r="AB118" s="106">
        <v>25.8</v>
      </c>
      <c r="AC118" s="106">
        <v>25.8</v>
      </c>
      <c r="AD118" s="106">
        <v>25.8</v>
      </c>
      <c r="AE118" s="106">
        <v>25</v>
      </c>
      <c r="AF118" s="106"/>
      <c r="AG118" s="119"/>
      <c r="AH118" s="47">
        <f t="shared" si="9"/>
        <v>66.099999999999994</v>
      </c>
      <c r="AI118" s="48">
        <f t="shared" si="10"/>
        <v>24.8</v>
      </c>
    </row>
    <row r="119" spans="1:37" x14ac:dyDescent="0.25">
      <c r="A119" s="121" t="s">
        <v>135</v>
      </c>
      <c r="B119" s="106">
        <v>106.3</v>
      </c>
      <c r="C119" s="106">
        <v>96.5</v>
      </c>
      <c r="D119" s="106">
        <v>102.8</v>
      </c>
      <c r="E119" s="106">
        <v>117</v>
      </c>
      <c r="F119" s="106"/>
      <c r="G119" s="106">
        <v>95.6</v>
      </c>
      <c r="H119" s="106">
        <v>110</v>
      </c>
      <c r="I119" s="106">
        <v>89.3</v>
      </c>
      <c r="J119" s="106">
        <v>63</v>
      </c>
      <c r="K119" s="106">
        <v>58</v>
      </c>
      <c r="L119" s="106">
        <v>22</v>
      </c>
      <c r="M119" s="106">
        <v>16.5</v>
      </c>
      <c r="N119" s="106">
        <v>24.2</v>
      </c>
      <c r="O119" s="106">
        <v>20.100000000000001</v>
      </c>
      <c r="P119" s="106">
        <v>21.1</v>
      </c>
      <c r="Q119" s="106">
        <v>20.3</v>
      </c>
      <c r="R119" s="106">
        <v>24.1</v>
      </c>
      <c r="S119" s="106">
        <v>24.3</v>
      </c>
      <c r="T119" s="106">
        <v>24.7</v>
      </c>
      <c r="U119" s="106">
        <v>22.6</v>
      </c>
      <c r="V119" s="106">
        <v>89.2</v>
      </c>
      <c r="W119" s="106">
        <v>53</v>
      </c>
      <c r="X119" s="106">
        <v>64.400000000000006</v>
      </c>
      <c r="Y119" s="106">
        <v>49.9</v>
      </c>
      <c r="Z119" s="106">
        <v>45.9</v>
      </c>
      <c r="AA119" s="106"/>
      <c r="AB119" s="106">
        <v>43.3</v>
      </c>
      <c r="AC119" s="106">
        <v>43.3</v>
      </c>
      <c r="AD119" s="106">
        <v>43.3</v>
      </c>
      <c r="AE119" s="106">
        <v>85</v>
      </c>
      <c r="AF119" s="106"/>
      <c r="AG119" s="119"/>
      <c r="AH119" s="47">
        <f t="shared" si="9"/>
        <v>117</v>
      </c>
      <c r="AI119" s="48">
        <f t="shared" si="10"/>
        <v>16.5</v>
      </c>
    </row>
    <row r="120" spans="1:37" ht="15.75" thickBot="1" x14ac:dyDescent="0.3">
      <c r="A120" s="120" t="s">
        <v>136</v>
      </c>
      <c r="B120" s="106">
        <v>-38.9</v>
      </c>
      <c r="C120" s="106">
        <v>-35.200000000000003</v>
      </c>
      <c r="D120" s="106">
        <v>-27</v>
      </c>
      <c r="E120" s="106">
        <v>-29</v>
      </c>
      <c r="F120" s="106"/>
      <c r="G120" s="106">
        <v>-41.1</v>
      </c>
      <c r="H120" s="106">
        <v>-38.1</v>
      </c>
      <c r="I120" s="106">
        <v>42.1</v>
      </c>
      <c r="J120" s="106">
        <v>-37.1</v>
      </c>
      <c r="K120" s="106">
        <v>-24.4</v>
      </c>
      <c r="L120" s="106">
        <v>-20.8</v>
      </c>
      <c r="M120" s="106">
        <v>-19</v>
      </c>
      <c r="N120" s="106">
        <v>-0.5</v>
      </c>
      <c r="O120" s="106">
        <v>11.5</v>
      </c>
      <c r="P120" s="106">
        <v>12</v>
      </c>
      <c r="Q120" s="106">
        <v>4.7</v>
      </c>
      <c r="R120" s="106">
        <v>21.7</v>
      </c>
      <c r="S120" s="106">
        <v>27</v>
      </c>
      <c r="T120" s="106">
        <v>19.100000000000001</v>
      </c>
      <c r="U120" s="106">
        <v>32</v>
      </c>
      <c r="V120" s="106">
        <v>15.2</v>
      </c>
      <c r="W120" s="106">
        <v>21</v>
      </c>
      <c r="X120" s="106">
        <v>18.100000000000001</v>
      </c>
      <c r="Y120" s="106">
        <v>19.899999999999999</v>
      </c>
      <c r="Z120" s="106">
        <v>45.5</v>
      </c>
      <c r="AA120" s="106"/>
      <c r="AB120" s="106">
        <v>70.900000000000006</v>
      </c>
      <c r="AC120" s="106">
        <v>70.900000000000006</v>
      </c>
      <c r="AD120" s="106">
        <v>70.900000000000006</v>
      </c>
      <c r="AE120" s="106">
        <v>60</v>
      </c>
      <c r="AF120" s="106"/>
      <c r="AG120" s="119"/>
      <c r="AH120" s="47">
        <f t="shared" si="9"/>
        <v>70.900000000000006</v>
      </c>
      <c r="AI120" s="48">
        <f t="shared" si="10"/>
        <v>-41.1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19">SUM(B122:B226)</f>
        <v>0</v>
      </c>
      <c r="C227" s="137">
        <f t="shared" si="19"/>
        <v>0</v>
      </c>
      <c r="D227" s="137">
        <f t="shared" si="19"/>
        <v>0</v>
      </c>
      <c r="E227" s="137">
        <f t="shared" si="19"/>
        <v>0</v>
      </c>
      <c r="F227" s="137">
        <f t="shared" si="19"/>
        <v>0</v>
      </c>
      <c r="G227" s="137">
        <f t="shared" si="19"/>
        <v>0</v>
      </c>
      <c r="H227" s="137">
        <f t="shared" si="19"/>
        <v>0</v>
      </c>
      <c r="I227" s="137">
        <f t="shared" si="19"/>
        <v>0</v>
      </c>
      <c r="J227" s="137">
        <f t="shared" si="19"/>
        <v>0</v>
      </c>
      <c r="K227" s="137">
        <f t="shared" si="19"/>
        <v>0</v>
      </c>
      <c r="L227" s="137">
        <f t="shared" si="19"/>
        <v>0</v>
      </c>
      <c r="M227" s="137">
        <f t="shared" si="19"/>
        <v>0</v>
      </c>
      <c r="N227" s="137">
        <f t="shared" si="19"/>
        <v>0</v>
      </c>
      <c r="O227" s="137">
        <f t="shared" si="19"/>
        <v>0</v>
      </c>
      <c r="P227" s="137">
        <f t="shared" si="19"/>
        <v>0</v>
      </c>
      <c r="Q227" s="137">
        <f t="shared" si="19"/>
        <v>0</v>
      </c>
      <c r="R227" s="137">
        <f t="shared" si="19"/>
        <v>0</v>
      </c>
      <c r="S227" s="137">
        <f t="shared" si="19"/>
        <v>0</v>
      </c>
      <c r="T227" s="137">
        <f t="shared" si="19"/>
        <v>0</v>
      </c>
      <c r="U227" s="137">
        <f t="shared" si="19"/>
        <v>0</v>
      </c>
      <c r="V227" s="137">
        <f t="shared" si="19"/>
        <v>0</v>
      </c>
      <c r="W227" s="137">
        <f t="shared" si="19"/>
        <v>0</v>
      </c>
      <c r="X227" s="137">
        <f t="shared" si="19"/>
        <v>0</v>
      </c>
      <c r="Y227" s="137">
        <f t="shared" si="19"/>
        <v>0</v>
      </c>
      <c r="Z227" s="137">
        <f t="shared" si="19"/>
        <v>0</v>
      </c>
      <c r="AA227" s="137">
        <f t="shared" si="19"/>
        <v>0</v>
      </c>
      <c r="AB227" s="137">
        <f t="shared" si="19"/>
        <v>0</v>
      </c>
      <c r="AC227" s="137">
        <f t="shared" si="19"/>
        <v>0</v>
      </c>
      <c r="AD227" s="137">
        <f t="shared" si="19"/>
        <v>0</v>
      </c>
      <c r="AE227" s="137">
        <f t="shared" si="19"/>
        <v>0</v>
      </c>
      <c r="AF227" s="138">
        <f t="shared" si="19"/>
        <v>0</v>
      </c>
      <c r="AG227" s="139">
        <f t="shared" si="19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20">AF229</f>
        <v>0</v>
      </c>
      <c r="C229" s="141">
        <v>0.3</v>
      </c>
      <c r="D229" s="141">
        <f t="shared" ref="D229:P234" si="21">C229</f>
        <v>0.3</v>
      </c>
      <c r="E229" s="141">
        <f t="shared" si="21"/>
        <v>0.3</v>
      </c>
      <c r="F229" s="141">
        <f t="shared" si="21"/>
        <v>0.3</v>
      </c>
      <c r="G229" s="141">
        <f t="shared" si="21"/>
        <v>0.3</v>
      </c>
      <c r="H229" s="141">
        <f t="shared" si="21"/>
        <v>0.3</v>
      </c>
      <c r="I229" s="141">
        <f t="shared" si="21"/>
        <v>0.3</v>
      </c>
      <c r="J229" s="141">
        <f t="shared" si="21"/>
        <v>0.3</v>
      </c>
      <c r="K229" s="141">
        <f t="shared" si="21"/>
        <v>0.3</v>
      </c>
      <c r="L229" s="141">
        <f t="shared" si="21"/>
        <v>0.3</v>
      </c>
      <c r="M229" s="141">
        <f t="shared" si="21"/>
        <v>0.3</v>
      </c>
      <c r="N229" s="141">
        <f t="shared" si="21"/>
        <v>0.3</v>
      </c>
      <c r="O229" s="141">
        <f t="shared" si="21"/>
        <v>0.3</v>
      </c>
      <c r="P229" s="141">
        <f t="shared" si="21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20"/>
        <v>0</v>
      </c>
      <c r="C230" s="129">
        <v>0.4</v>
      </c>
      <c r="D230" s="129">
        <f t="shared" si="21"/>
        <v>0.4</v>
      </c>
      <c r="E230" s="129">
        <f t="shared" si="21"/>
        <v>0.4</v>
      </c>
      <c r="F230" s="129">
        <f t="shared" si="21"/>
        <v>0.4</v>
      </c>
      <c r="G230" s="129">
        <f t="shared" si="21"/>
        <v>0.4</v>
      </c>
      <c r="H230" s="129">
        <f t="shared" si="21"/>
        <v>0.4</v>
      </c>
      <c r="I230" s="129">
        <f t="shared" si="21"/>
        <v>0.4</v>
      </c>
      <c r="J230" s="129">
        <f t="shared" si="21"/>
        <v>0.4</v>
      </c>
      <c r="K230" s="129">
        <f t="shared" si="21"/>
        <v>0.4</v>
      </c>
      <c r="L230" s="129">
        <f t="shared" si="21"/>
        <v>0.4</v>
      </c>
      <c r="M230" s="129">
        <f t="shared" si="21"/>
        <v>0.4</v>
      </c>
      <c r="N230" s="129">
        <f t="shared" si="21"/>
        <v>0.4</v>
      </c>
      <c r="O230" s="129">
        <f t="shared" si="21"/>
        <v>0.4</v>
      </c>
      <c r="P230" s="129">
        <f t="shared" si="21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20"/>
        <v>0</v>
      </c>
      <c r="C231" s="129">
        <v>1.5</v>
      </c>
      <c r="D231" s="129">
        <f t="shared" si="21"/>
        <v>1.5</v>
      </c>
      <c r="E231" s="129">
        <f t="shared" si="21"/>
        <v>1.5</v>
      </c>
      <c r="F231" s="129">
        <f t="shared" si="21"/>
        <v>1.5</v>
      </c>
      <c r="G231" s="129">
        <f t="shared" si="21"/>
        <v>1.5</v>
      </c>
      <c r="H231" s="129">
        <f t="shared" si="21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21"/>
        <v>123.21900000000009</v>
      </c>
      <c r="K231" s="129">
        <f t="shared" ca="1" si="21"/>
        <v>123.21900000000009</v>
      </c>
      <c r="L231" s="129">
        <f t="shared" ca="1" si="21"/>
        <v>123.21900000000009</v>
      </c>
      <c r="M231" s="129">
        <f t="shared" ca="1" si="21"/>
        <v>119.19900000000008</v>
      </c>
      <c r="N231" s="129">
        <f t="shared" ca="1" si="21"/>
        <v>119.19900000000008</v>
      </c>
      <c r="O231" s="129">
        <f t="shared" ca="1" si="21"/>
        <v>119.19900000000008</v>
      </c>
      <c r="P231" s="129">
        <f t="shared" ca="1" si="21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20"/>
        <v>0</v>
      </c>
      <c r="C232" s="129">
        <v>0.3</v>
      </c>
      <c r="D232" s="129">
        <f t="shared" si="21"/>
        <v>0.3</v>
      </c>
      <c r="E232" s="129">
        <f t="shared" si="21"/>
        <v>0.3</v>
      </c>
      <c r="F232" s="129">
        <f t="shared" si="21"/>
        <v>0.3</v>
      </c>
      <c r="G232" s="129">
        <f t="shared" si="21"/>
        <v>0.3</v>
      </c>
      <c r="H232" s="129">
        <f t="shared" si="21"/>
        <v>0.3</v>
      </c>
      <c r="I232" s="129">
        <f t="shared" si="21"/>
        <v>0.3</v>
      </c>
      <c r="J232" s="129">
        <f t="shared" si="21"/>
        <v>0.3</v>
      </c>
      <c r="K232" s="129">
        <f t="shared" si="21"/>
        <v>0.3</v>
      </c>
      <c r="L232" s="129">
        <f t="shared" si="21"/>
        <v>0.3</v>
      </c>
      <c r="M232" s="129">
        <f t="shared" si="21"/>
        <v>0.3</v>
      </c>
      <c r="N232" s="129">
        <f t="shared" si="21"/>
        <v>0.3</v>
      </c>
      <c r="O232" s="129">
        <f t="shared" si="21"/>
        <v>0.3</v>
      </c>
      <c r="P232" s="129">
        <f t="shared" si="21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20"/>
        <v>0</v>
      </c>
      <c r="C233" s="129">
        <v>0.4</v>
      </c>
      <c r="D233" s="129">
        <f t="shared" si="21"/>
        <v>0.4</v>
      </c>
      <c r="E233" s="129">
        <f t="shared" si="21"/>
        <v>0.4</v>
      </c>
      <c r="F233" s="129">
        <f t="shared" si="21"/>
        <v>0.4</v>
      </c>
      <c r="G233" s="129">
        <f t="shared" si="21"/>
        <v>0.4</v>
      </c>
      <c r="H233" s="129">
        <f t="shared" si="21"/>
        <v>0.4</v>
      </c>
      <c r="I233" s="129">
        <f t="shared" si="21"/>
        <v>0.4</v>
      </c>
      <c r="J233" s="129">
        <f t="shared" si="21"/>
        <v>0.4</v>
      </c>
      <c r="K233" s="129">
        <f t="shared" si="21"/>
        <v>0.4</v>
      </c>
      <c r="L233" s="129">
        <f t="shared" si="21"/>
        <v>0.4</v>
      </c>
      <c r="M233" s="129">
        <f t="shared" si="21"/>
        <v>0.4</v>
      </c>
      <c r="N233" s="129">
        <f t="shared" si="21"/>
        <v>0.4</v>
      </c>
      <c r="O233" s="129">
        <f t="shared" si="21"/>
        <v>0.4</v>
      </c>
      <c r="P233" s="129">
        <f t="shared" si="21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20"/>
        <v>0</v>
      </c>
      <c r="C234" s="133">
        <v>0.64</v>
      </c>
      <c r="D234" s="133">
        <f t="shared" si="21"/>
        <v>0.64</v>
      </c>
      <c r="E234" s="133">
        <f t="shared" si="21"/>
        <v>0.64</v>
      </c>
      <c r="F234" s="133">
        <f t="shared" si="21"/>
        <v>0.64</v>
      </c>
      <c r="G234" s="133">
        <f t="shared" si="21"/>
        <v>0.64</v>
      </c>
      <c r="H234" s="133">
        <f t="shared" si="21"/>
        <v>0.64</v>
      </c>
      <c r="I234" s="133">
        <f t="shared" si="21"/>
        <v>0.64</v>
      </c>
      <c r="J234" s="133">
        <f t="shared" si="21"/>
        <v>0.64</v>
      </c>
      <c r="K234" s="133">
        <f t="shared" si="21"/>
        <v>0.64</v>
      </c>
      <c r="L234" s="133">
        <f t="shared" si="21"/>
        <v>0.64</v>
      </c>
      <c r="M234" s="133">
        <f t="shared" si="21"/>
        <v>0.64</v>
      </c>
      <c r="N234" s="133">
        <f t="shared" si="21"/>
        <v>0.64</v>
      </c>
      <c r="O234" s="133">
        <f t="shared" si="21"/>
        <v>0.64</v>
      </c>
      <c r="P234" s="133">
        <f t="shared" si="21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2">SUM(B229:B234)</f>
        <v>0</v>
      </c>
      <c r="C235" s="137">
        <f t="shared" si="22"/>
        <v>3.54</v>
      </c>
      <c r="D235" s="137">
        <f t="shared" si="22"/>
        <v>3.54</v>
      </c>
      <c r="E235" s="137">
        <f t="shared" si="22"/>
        <v>3.54</v>
      </c>
      <c r="F235" s="137">
        <f t="shared" si="22"/>
        <v>3.54</v>
      </c>
      <c r="G235" s="137">
        <f t="shared" si="22"/>
        <v>3.54</v>
      </c>
      <c r="H235" s="137">
        <f t="shared" si="22"/>
        <v>3.54</v>
      </c>
      <c r="I235" s="137">
        <f t="shared" ca="1" si="22"/>
        <v>121.23900000000009</v>
      </c>
      <c r="J235" s="137">
        <f t="shared" ca="1" si="22"/>
        <v>121.23900000000009</v>
      </c>
      <c r="K235" s="137">
        <f t="shared" ca="1" si="22"/>
        <v>121.23900000000009</v>
      </c>
      <c r="L235" s="137">
        <f t="shared" ca="1" si="22"/>
        <v>125.2590000000001</v>
      </c>
      <c r="M235" s="137">
        <f t="shared" ca="1" si="22"/>
        <v>121.23900000000009</v>
      </c>
      <c r="N235" s="137">
        <f t="shared" ca="1" si="22"/>
        <v>121.23900000000009</v>
      </c>
      <c r="O235" s="137">
        <f t="shared" ca="1" si="22"/>
        <v>121.23900000000009</v>
      </c>
      <c r="P235" s="137">
        <f t="shared" ca="1" si="22"/>
        <v>121.23900000000009</v>
      </c>
      <c r="Q235" s="137">
        <f t="shared" si="22"/>
        <v>0</v>
      </c>
      <c r="R235" s="137">
        <f t="shared" si="22"/>
        <v>0</v>
      </c>
      <c r="S235" s="137">
        <f t="shared" si="22"/>
        <v>0</v>
      </c>
      <c r="T235" s="137">
        <f t="shared" si="22"/>
        <v>0</v>
      </c>
      <c r="U235" s="137">
        <f t="shared" si="22"/>
        <v>0</v>
      </c>
      <c r="V235" s="137">
        <f t="shared" si="22"/>
        <v>0</v>
      </c>
      <c r="W235" s="137">
        <f t="shared" si="22"/>
        <v>0</v>
      </c>
      <c r="X235" s="137">
        <f t="shared" si="22"/>
        <v>0</v>
      </c>
      <c r="Y235" s="137">
        <f t="shared" si="22"/>
        <v>0</v>
      </c>
      <c r="Z235" s="137">
        <f t="shared" si="22"/>
        <v>0</v>
      </c>
      <c r="AA235" s="137">
        <f t="shared" si="22"/>
        <v>0</v>
      </c>
      <c r="AB235" s="137">
        <f t="shared" si="22"/>
        <v>0</v>
      </c>
      <c r="AC235" s="137">
        <f t="shared" si="22"/>
        <v>0</v>
      </c>
      <c r="AD235" s="137">
        <f t="shared" si="22"/>
        <v>0</v>
      </c>
      <c r="AE235" s="137">
        <f t="shared" si="22"/>
        <v>0</v>
      </c>
      <c r="AF235" s="137">
        <f t="shared" si="22"/>
        <v>0</v>
      </c>
      <c r="AG235" s="146">
        <f t="shared" si="22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1847.34</v>
      </c>
      <c r="C244" s="162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00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2080/02/0)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2080/02/0)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3">B91</f>
        <v>1875.1399999999999</v>
      </c>
      <c r="U249" s="171">
        <f t="shared" si="23"/>
        <v>1864.84</v>
      </c>
      <c r="V249" s="171">
        <f t="shared" si="23"/>
        <v>1829.6399999999999</v>
      </c>
      <c r="W249" s="171">
        <f t="shared" si="23"/>
        <v>1820.1399999999999</v>
      </c>
      <c r="X249" s="171">
        <f t="shared" si="23"/>
        <v>68.540000000000006</v>
      </c>
      <c r="Y249" s="171">
        <f t="shared" si="23"/>
        <v>1770.7399999999998</v>
      </c>
      <c r="Z249" s="171">
        <f t="shared" si="23"/>
        <v>1725.2399999999998</v>
      </c>
      <c r="AA249" s="171">
        <f t="shared" si="23"/>
        <v>1728.0399999999997</v>
      </c>
      <c r="AB249" s="171">
        <f t="shared" si="23"/>
        <v>1759.04</v>
      </c>
      <c r="AC249" s="171">
        <f t="shared" si="23"/>
        <v>1796.34</v>
      </c>
      <c r="AD249" s="171">
        <f t="shared" si="23"/>
        <v>1842.6399999999996</v>
      </c>
      <c r="AE249" s="171">
        <f t="shared" si="23"/>
        <v>1822.7399999999998</v>
      </c>
      <c r="AF249" s="171">
        <f t="shared" si="23"/>
        <v>1847.34</v>
      </c>
      <c r="AG249" s="171">
        <f t="shared" si="23"/>
        <v>1795.9399999999998</v>
      </c>
      <c r="AH249" s="171">
        <f t="shared" si="23"/>
        <v>1839.5399999999997</v>
      </c>
      <c r="AI249" s="171">
        <f t="shared" si="23"/>
        <v>1870.9399999999998</v>
      </c>
      <c r="AJ249" s="171">
        <f t="shared" si="23"/>
        <v>1908.74</v>
      </c>
      <c r="AK249" s="171">
        <f t="shared" si="23"/>
        <v>1897.54</v>
      </c>
      <c r="AL249" s="171">
        <f t="shared" si="23"/>
        <v>1860.1399999999999</v>
      </c>
      <c r="AM249" s="171">
        <f t="shared" si="23"/>
        <v>1825.7399999999998</v>
      </c>
      <c r="AN249" s="171">
        <f t="shared" si="23"/>
        <v>1702.1399999999999</v>
      </c>
      <c r="AO249" s="171">
        <f t="shared" si="23"/>
        <v>1748.94</v>
      </c>
      <c r="AP249" s="171">
        <f t="shared" si="23"/>
        <v>1770.6399999999999</v>
      </c>
      <c r="AQ249" s="171">
        <f t="shared" si="23"/>
        <v>1791.6399999999999</v>
      </c>
      <c r="AR249" s="171">
        <f t="shared" si="23"/>
        <v>1829.44</v>
      </c>
      <c r="AS249" s="171">
        <f t="shared" si="23"/>
        <v>129.74</v>
      </c>
      <c r="AT249" s="171">
        <f t="shared" si="23"/>
        <v>1771.9399999999998</v>
      </c>
      <c r="AU249" s="171">
        <f t="shared" si="23"/>
        <v>8.5399999999999991</v>
      </c>
      <c r="AV249" s="171">
        <f t="shared" si="23"/>
        <v>2002.1399999999999</v>
      </c>
      <c r="AW249" s="171">
        <f t="shared" si="23"/>
        <v>2052.4399999999996</v>
      </c>
      <c r="AX249" s="171">
        <f t="shared" si="23"/>
        <v>3.54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24">C234</f>
        <v>0.64</v>
      </c>
      <c r="C270" s="174">
        <f t="shared" si="24"/>
        <v>0.64</v>
      </c>
      <c r="D270" s="174">
        <f t="shared" si="24"/>
        <v>0.64</v>
      </c>
      <c r="E270" s="174">
        <f t="shared" si="24"/>
        <v>0.64</v>
      </c>
      <c r="F270" s="174">
        <f t="shared" si="24"/>
        <v>0.64</v>
      </c>
      <c r="G270" s="174">
        <f t="shared" si="24"/>
        <v>0.64</v>
      </c>
      <c r="H270" s="174">
        <f t="shared" si="24"/>
        <v>0.64</v>
      </c>
      <c r="I270" s="174">
        <f t="shared" si="24"/>
        <v>0.64</v>
      </c>
      <c r="J270" s="174">
        <f t="shared" si="24"/>
        <v>0.64</v>
      </c>
      <c r="K270" s="174">
        <f t="shared" si="24"/>
        <v>0.64</v>
      </c>
      <c r="L270" s="174">
        <f t="shared" si="24"/>
        <v>0.64</v>
      </c>
      <c r="M270" s="174">
        <f t="shared" si="24"/>
        <v>0.64</v>
      </c>
      <c r="N270" s="174">
        <f t="shared" si="24"/>
        <v>0.64</v>
      </c>
      <c r="O270" s="174">
        <f t="shared" si="24"/>
        <v>0.64</v>
      </c>
      <c r="P270" s="174">
        <f t="shared" si="24"/>
        <v>0</v>
      </c>
      <c r="Q270" s="174">
        <f t="shared" si="24"/>
        <v>0</v>
      </c>
      <c r="R270" s="174">
        <f t="shared" si="24"/>
        <v>0</v>
      </c>
      <c r="S270" s="174">
        <f t="shared" si="24"/>
        <v>0</v>
      </c>
      <c r="T270" s="174">
        <f t="shared" si="24"/>
        <v>0</v>
      </c>
      <c r="U270" s="174">
        <f t="shared" si="24"/>
        <v>0</v>
      </c>
      <c r="V270" s="174">
        <f t="shared" si="24"/>
        <v>0</v>
      </c>
      <c r="W270" s="174">
        <f t="shared" si="24"/>
        <v>0</v>
      </c>
      <c r="X270" s="174">
        <f t="shared" si="24"/>
        <v>0</v>
      </c>
      <c r="Y270" s="174">
        <f t="shared" si="24"/>
        <v>0</v>
      </c>
      <c r="Z270" s="174">
        <f t="shared" si="24"/>
        <v>0</v>
      </c>
      <c r="AA270" s="174">
        <f t="shared" si="24"/>
        <v>0</v>
      </c>
      <c r="AB270" s="174">
        <f t="shared" si="24"/>
        <v>0</v>
      </c>
      <c r="AC270" s="174">
        <f t="shared" si="24"/>
        <v>0</v>
      </c>
      <c r="AD270" s="174">
        <f t="shared" si="24"/>
        <v>0</v>
      </c>
      <c r="AE270" s="174">
        <f t="shared" si="24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25">IF(B238&lt;100,"",B238-520)</f>
        <v/>
      </c>
      <c r="C271" s="175" t="str">
        <f t="shared" si="25"/>
        <v/>
      </c>
      <c r="D271" s="175" t="str">
        <f t="shared" si="25"/>
        <v/>
      </c>
      <c r="E271" s="175" t="str">
        <f t="shared" si="25"/>
        <v/>
      </c>
      <c r="F271" s="175" t="str">
        <f t="shared" si="25"/>
        <v/>
      </c>
      <c r="G271" s="175" t="str">
        <f t="shared" si="25"/>
        <v/>
      </c>
      <c r="H271" s="175" t="str">
        <f t="shared" si="25"/>
        <v/>
      </c>
      <c r="I271" s="175" t="str">
        <f t="shared" si="25"/>
        <v/>
      </c>
      <c r="J271" s="175" t="str">
        <f t="shared" si="25"/>
        <v/>
      </c>
      <c r="K271" s="175" t="str">
        <f t="shared" si="25"/>
        <v/>
      </c>
      <c r="L271" s="175" t="str">
        <f t="shared" si="25"/>
        <v/>
      </c>
      <c r="M271" s="175" t="str">
        <f t="shared" si="25"/>
        <v/>
      </c>
      <c r="N271" s="175" t="str">
        <f t="shared" si="25"/>
        <v/>
      </c>
      <c r="O271" s="175" t="str">
        <f t="shared" si="25"/>
        <v/>
      </c>
      <c r="P271" s="175" t="str">
        <f t="shared" si="25"/>
        <v/>
      </c>
      <c r="Q271" s="175" t="str">
        <f t="shared" si="25"/>
        <v/>
      </c>
      <c r="R271" s="175" t="str">
        <f t="shared" si="25"/>
        <v/>
      </c>
      <c r="S271" s="175" t="str">
        <f t="shared" si="25"/>
        <v/>
      </c>
      <c r="T271" s="175" t="str">
        <f t="shared" si="25"/>
        <v/>
      </c>
      <c r="U271" s="175" t="str">
        <f t="shared" si="25"/>
        <v/>
      </c>
      <c r="V271" s="175" t="str">
        <f t="shared" si="25"/>
        <v/>
      </c>
      <c r="W271" s="175" t="str">
        <f t="shared" si="25"/>
        <v/>
      </c>
      <c r="X271" s="175" t="str">
        <f t="shared" si="25"/>
        <v/>
      </c>
      <c r="Y271" s="175" t="str">
        <f t="shared" si="25"/>
        <v/>
      </c>
      <c r="Z271" s="175" t="str">
        <f t="shared" si="25"/>
        <v/>
      </c>
      <c r="AA271" s="175" t="str">
        <f t="shared" si="25"/>
        <v/>
      </c>
      <c r="AB271" s="175" t="str">
        <f t="shared" si="25"/>
        <v/>
      </c>
      <c r="AC271" s="175" t="str">
        <f t="shared" si="25"/>
        <v/>
      </c>
      <c r="AD271" s="175" t="str">
        <f t="shared" si="25"/>
        <v/>
      </c>
      <c r="AE271" s="175" t="str">
        <f t="shared" si="25"/>
        <v/>
      </c>
      <c r="AF271" s="175" t="str">
        <f t="shared" si="25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26">IF(B239&lt;100,"",B239-620)</f>
        <v/>
      </c>
      <c r="C272" s="175" t="str">
        <f t="shared" si="26"/>
        <v/>
      </c>
      <c r="D272" s="175" t="str">
        <f t="shared" si="26"/>
        <v/>
      </c>
      <c r="E272" s="175" t="str">
        <f t="shared" si="26"/>
        <v/>
      </c>
      <c r="F272" s="175" t="str">
        <f t="shared" si="26"/>
        <v/>
      </c>
      <c r="G272" s="175" t="str">
        <f t="shared" si="26"/>
        <v/>
      </c>
      <c r="H272" s="175" t="str">
        <f t="shared" si="26"/>
        <v/>
      </c>
      <c r="I272" s="175" t="str">
        <f t="shared" si="26"/>
        <v/>
      </c>
      <c r="J272" s="175" t="str">
        <f t="shared" si="26"/>
        <v/>
      </c>
      <c r="K272" s="175" t="str">
        <f t="shared" si="26"/>
        <v/>
      </c>
      <c r="L272" s="175" t="str">
        <f t="shared" si="26"/>
        <v/>
      </c>
      <c r="M272" s="175" t="str">
        <f t="shared" si="26"/>
        <v/>
      </c>
      <c r="N272" s="175" t="str">
        <f t="shared" si="26"/>
        <v/>
      </c>
      <c r="O272" s="175" t="str">
        <f t="shared" si="26"/>
        <v/>
      </c>
      <c r="P272" s="175" t="str">
        <f t="shared" si="26"/>
        <v/>
      </c>
      <c r="Q272" s="175" t="str">
        <f t="shared" si="26"/>
        <v/>
      </c>
      <c r="R272" s="175" t="str">
        <f t="shared" si="26"/>
        <v/>
      </c>
      <c r="S272" s="175" t="str">
        <f t="shared" si="26"/>
        <v/>
      </c>
      <c r="T272" s="175" t="str">
        <f t="shared" si="26"/>
        <v/>
      </c>
      <c r="U272" s="175" t="str">
        <f t="shared" si="26"/>
        <v/>
      </c>
      <c r="V272" s="175" t="str">
        <f t="shared" si="26"/>
        <v/>
      </c>
      <c r="W272" s="175" t="str">
        <f t="shared" si="26"/>
        <v/>
      </c>
      <c r="X272" s="175" t="str">
        <f t="shared" si="26"/>
        <v/>
      </c>
      <c r="Y272" s="175" t="str">
        <f t="shared" si="26"/>
        <v/>
      </c>
      <c r="Z272" s="175" t="str">
        <f t="shared" si="26"/>
        <v/>
      </c>
      <c r="AA272" s="175" t="str">
        <f t="shared" si="26"/>
        <v/>
      </c>
      <c r="AB272" s="175" t="str">
        <f t="shared" si="26"/>
        <v/>
      </c>
      <c r="AC272" s="175" t="str">
        <f t="shared" si="26"/>
        <v/>
      </c>
      <c r="AD272" s="175" t="str">
        <f t="shared" si="26"/>
        <v/>
      </c>
      <c r="AE272" s="175" t="str">
        <f t="shared" si="26"/>
        <v/>
      </c>
      <c r="AF272" s="175" t="str">
        <f t="shared" si="26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27">IF(B240&lt;100,"",B240-330)</f>
        <v/>
      </c>
      <c r="C273" s="175" t="str">
        <f t="shared" si="27"/>
        <v/>
      </c>
      <c r="D273" s="175" t="str">
        <f t="shared" si="27"/>
        <v/>
      </c>
      <c r="E273" s="175" t="str">
        <f t="shared" si="27"/>
        <v/>
      </c>
      <c r="F273" s="175" t="str">
        <f t="shared" si="27"/>
        <v/>
      </c>
      <c r="G273" s="175" t="str">
        <f t="shared" si="27"/>
        <v/>
      </c>
      <c r="H273" s="175" t="str">
        <f t="shared" si="27"/>
        <v/>
      </c>
      <c r="I273" s="175" t="str">
        <f t="shared" si="27"/>
        <v/>
      </c>
      <c r="J273" s="175" t="str">
        <f t="shared" si="27"/>
        <v/>
      </c>
      <c r="K273" s="175" t="str">
        <f t="shared" si="27"/>
        <v/>
      </c>
      <c r="L273" s="175" t="str">
        <f t="shared" si="27"/>
        <v/>
      </c>
      <c r="M273" s="175" t="str">
        <f t="shared" si="27"/>
        <v/>
      </c>
      <c r="N273" s="175" t="str">
        <f t="shared" si="27"/>
        <v/>
      </c>
      <c r="O273" s="175" t="str">
        <f t="shared" si="27"/>
        <v/>
      </c>
      <c r="P273" s="175" t="str">
        <f t="shared" si="27"/>
        <v/>
      </c>
      <c r="Q273" s="175" t="str">
        <f t="shared" si="27"/>
        <v/>
      </c>
      <c r="R273" s="175" t="str">
        <f t="shared" si="27"/>
        <v/>
      </c>
      <c r="S273" s="175" t="str">
        <f t="shared" si="27"/>
        <v/>
      </c>
      <c r="T273" s="175" t="str">
        <f t="shared" si="27"/>
        <v/>
      </c>
      <c r="U273" s="175" t="str">
        <f t="shared" si="27"/>
        <v/>
      </c>
      <c r="V273" s="175" t="str">
        <f t="shared" si="27"/>
        <v/>
      </c>
      <c r="W273" s="175" t="str">
        <f t="shared" si="27"/>
        <v/>
      </c>
      <c r="X273" s="175" t="str">
        <f t="shared" si="27"/>
        <v/>
      </c>
      <c r="Y273" s="175" t="str">
        <f t="shared" si="27"/>
        <v/>
      </c>
      <c r="Z273" s="175" t="str">
        <f t="shared" si="27"/>
        <v/>
      </c>
      <c r="AA273" s="175" t="str">
        <f t="shared" si="27"/>
        <v/>
      </c>
      <c r="AB273" s="175" t="str">
        <f t="shared" si="27"/>
        <v/>
      </c>
      <c r="AC273" s="175" t="str">
        <f t="shared" si="27"/>
        <v/>
      </c>
      <c r="AD273" s="175" t="str">
        <f t="shared" si="27"/>
        <v/>
      </c>
      <c r="AE273" s="175" t="str">
        <f t="shared" si="27"/>
        <v/>
      </c>
      <c r="AF273" s="175" t="str">
        <f t="shared" si="27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28">IF(B241&lt;100,"",B241-1500)</f>
        <v/>
      </c>
      <c r="C274" s="175" t="str">
        <f t="shared" si="28"/>
        <v/>
      </c>
      <c r="D274" s="175" t="str">
        <f t="shared" si="28"/>
        <v/>
      </c>
      <c r="E274" s="175" t="str">
        <f t="shared" si="28"/>
        <v/>
      </c>
      <c r="F274" s="175" t="str">
        <f t="shared" si="28"/>
        <v/>
      </c>
      <c r="G274" s="175" t="str">
        <f t="shared" si="28"/>
        <v/>
      </c>
      <c r="H274" s="175" t="str">
        <f t="shared" si="28"/>
        <v/>
      </c>
      <c r="I274" s="175" t="str">
        <f t="shared" si="28"/>
        <v/>
      </c>
      <c r="J274" s="175" t="str">
        <f t="shared" si="28"/>
        <v/>
      </c>
      <c r="K274" s="175" t="str">
        <f t="shared" si="28"/>
        <v/>
      </c>
      <c r="L274" s="175" t="str">
        <f t="shared" si="28"/>
        <v/>
      </c>
      <c r="M274" s="175" t="str">
        <f t="shared" si="28"/>
        <v/>
      </c>
      <c r="N274" s="175" t="str">
        <f t="shared" si="28"/>
        <v/>
      </c>
      <c r="O274" s="175" t="str">
        <f t="shared" si="28"/>
        <v/>
      </c>
      <c r="P274" s="175" t="str">
        <f t="shared" si="28"/>
        <v/>
      </c>
      <c r="Q274" s="175" t="str">
        <f t="shared" si="28"/>
        <v/>
      </c>
      <c r="R274" s="175" t="str">
        <f t="shared" si="28"/>
        <v/>
      </c>
      <c r="S274" s="175" t="str">
        <f t="shared" si="28"/>
        <v/>
      </c>
      <c r="T274" s="175" t="str">
        <f t="shared" si="28"/>
        <v/>
      </c>
      <c r="U274" s="175" t="str">
        <f t="shared" si="28"/>
        <v/>
      </c>
      <c r="V274" s="175" t="str">
        <f t="shared" si="28"/>
        <v/>
      </c>
      <c r="W274" s="175" t="str">
        <f t="shared" si="28"/>
        <v/>
      </c>
      <c r="X274" s="175" t="str">
        <f t="shared" si="28"/>
        <v/>
      </c>
      <c r="Y274" s="175" t="str">
        <f t="shared" si="28"/>
        <v/>
      </c>
      <c r="Z274" s="175" t="str">
        <f t="shared" si="28"/>
        <v/>
      </c>
      <c r="AA274" s="175" t="str">
        <f t="shared" si="28"/>
        <v/>
      </c>
      <c r="AB274" s="175" t="str">
        <f t="shared" si="28"/>
        <v/>
      </c>
      <c r="AC274" s="175" t="str">
        <f t="shared" si="28"/>
        <v/>
      </c>
      <c r="AD274" s="175" t="str">
        <f t="shared" si="28"/>
        <v/>
      </c>
      <c r="AE274" s="175" t="str">
        <f t="shared" si="28"/>
        <v/>
      </c>
      <c r="AF274" s="175" t="str">
        <f t="shared" si="28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3129" priority="251">
      <formula>$AH11=0</formula>
    </cfRule>
  </conditionalFormatting>
  <conditionalFormatting sqref="B8 M8 S8 AB8">
    <cfRule type="expression" dxfId="3128" priority="473">
      <formula>C$9&lt;8/24</formula>
    </cfRule>
    <cfRule type="expression" dxfId="3127" priority="472">
      <formula>AND(C$9&gt;=8/24,C$9&lt;14/24)</formula>
    </cfRule>
    <cfRule type="expression" dxfId="3126" priority="471">
      <formula>AND(C$9&gt;=14/24,C$9&lt;20/24)</formula>
    </cfRule>
  </conditionalFormatting>
  <conditionalFormatting sqref="B55:E66">
    <cfRule type="expression" dxfId="3125" priority="72">
      <formula>B55&gt;$AG55</formula>
    </cfRule>
    <cfRule type="expression" dxfId="3124" priority="76">
      <formula>B$9&lt;8/24</formula>
    </cfRule>
    <cfRule type="expression" dxfId="3123" priority="73">
      <formula>B$9&gt;=20/24</formula>
    </cfRule>
    <cfRule type="expression" dxfId="3122" priority="74">
      <formula>AND(B$9&gt;=14/24,B$9&lt;20/24)</formula>
    </cfRule>
    <cfRule type="expression" dxfId="3121" priority="75">
      <formula>AND(B$9&gt;=8/24,B$9&lt;14/24)</formula>
    </cfRule>
  </conditionalFormatting>
  <conditionalFormatting sqref="B20:F45">
    <cfRule type="expression" dxfId="3120" priority="85">
      <formula>AND(B$9&gt;=8/24,B$9&lt;14/24)</formula>
    </cfRule>
    <cfRule type="expression" dxfId="3119" priority="86">
      <formula>B$9&lt;8/24</formula>
    </cfRule>
    <cfRule type="expression" dxfId="3118" priority="84">
      <formula>AND(B$9&gt;=14/24,B$9&lt;20/24)</formula>
    </cfRule>
    <cfRule type="expression" dxfId="3117" priority="83">
      <formula>B$9&gt;=20/24</formula>
    </cfRule>
  </conditionalFormatting>
  <conditionalFormatting sqref="B20:F47">
    <cfRule type="expression" dxfId="3116" priority="82">
      <formula>B20&gt;$AG20</formula>
    </cfRule>
  </conditionalFormatting>
  <conditionalFormatting sqref="B69:W71">
    <cfRule type="expression" dxfId="3115" priority="173">
      <formula>AND(B$9&gt;=14/24,B$9&lt;20/24)</formula>
    </cfRule>
    <cfRule type="expression" dxfId="3114" priority="172">
      <formula>B$9&gt;=20/24</formula>
    </cfRule>
    <cfRule type="expression" dxfId="3113" priority="175">
      <formula>B$9&lt;8/24</formula>
    </cfRule>
    <cfRule type="expression" dxfId="3112" priority="174">
      <formula>AND(B$9&gt;=8/24,B$9&lt;14/24)</formula>
    </cfRule>
  </conditionalFormatting>
  <conditionalFormatting sqref="B19:AC19">
    <cfRule type="expression" dxfId="3111" priority="149">
      <formula>B$9&lt;8/24</formula>
    </cfRule>
    <cfRule type="expression" dxfId="3110" priority="147">
      <formula>AND(B$9&gt;=14/24,B$9&lt;20/24)</formula>
    </cfRule>
    <cfRule type="expression" dxfId="3109" priority="145">
      <formula>B19&gt;$AG19</formula>
    </cfRule>
    <cfRule type="expression" dxfId="3108" priority="146">
      <formula>B$9&gt;=20/24</formula>
    </cfRule>
    <cfRule type="expression" dxfId="3107" priority="148">
      <formula>AND(B$9&gt;=8/24,B$9&lt;14/24)</formula>
    </cfRule>
  </conditionalFormatting>
  <conditionalFormatting sqref="B9:AF18">
    <cfRule type="expression" dxfId="3106" priority="30">
      <formula>B$9&lt;8/24</formula>
    </cfRule>
    <cfRule type="expression" dxfId="3105" priority="29">
      <formula>AND(B$9&gt;=8/24,B$9&lt;14/24)</formula>
    </cfRule>
    <cfRule type="expression" dxfId="3104" priority="28">
      <formula>AND(B$9&gt;=14/24,B$9&lt;20/24)</formula>
    </cfRule>
    <cfRule type="expression" dxfId="3103" priority="27">
      <formula>B$9&gt;=20/24</formula>
    </cfRule>
  </conditionalFormatting>
  <conditionalFormatting sqref="B11:AF18">
    <cfRule type="expression" dxfId="3102" priority="26">
      <formula>B11&gt;$AG11</formula>
    </cfRule>
  </conditionalFormatting>
  <conditionalFormatting sqref="B46:AF46">
    <cfRule type="expression" dxfId="3101" priority="16">
      <formula>B$9&gt;=20/24</formula>
    </cfRule>
    <cfRule type="expression" dxfId="3100" priority="19">
      <formula>B$9&lt;8/24</formula>
    </cfRule>
    <cfRule type="expression" dxfId="3099" priority="18">
      <formula>AND(B$9&gt;=8/24,B$9&lt;14/24)</formula>
    </cfRule>
    <cfRule type="expression" dxfId="3098" priority="17">
      <formula>AND(B$9&gt;=14/24,B$9&lt;20/24)</formula>
    </cfRule>
  </conditionalFormatting>
  <conditionalFormatting sqref="B47:AF49">
    <cfRule type="expression" dxfId="3097" priority="35">
      <formula>B$9&lt;8/24</formula>
    </cfRule>
    <cfRule type="expression" dxfId="3096" priority="34">
      <formula>AND(B$9&gt;=8/24,B$9&lt;14/24)</formula>
    </cfRule>
    <cfRule type="expression" dxfId="3095" priority="33">
      <formula>AND(B$9&gt;=14/24,B$9&lt;20/24)</formula>
    </cfRule>
    <cfRule type="expression" dxfId="3094" priority="32">
      <formula>B$9&gt;=20/24</formula>
    </cfRule>
  </conditionalFormatting>
  <conditionalFormatting sqref="B48:AF54">
    <cfRule type="expression" dxfId="3093" priority="31">
      <formula>B48&gt;$AG48</formula>
    </cfRule>
  </conditionalFormatting>
  <conditionalFormatting sqref="B51:AF54">
    <cfRule type="expression" dxfId="3092" priority="131">
      <formula>B$9&lt;8/24</formula>
    </cfRule>
    <cfRule type="expression" dxfId="3091" priority="130">
      <formula>AND(B$9&gt;=8/24,B$9&lt;14/24)</formula>
    </cfRule>
    <cfRule type="expression" dxfId="3090" priority="129">
      <formula>AND(B$9&gt;=14/24,B$9&lt;20/24)</formula>
    </cfRule>
    <cfRule type="expression" dxfId="3089" priority="128">
      <formula>B$9&gt;=20/24</formula>
    </cfRule>
  </conditionalFormatting>
  <conditionalFormatting sqref="B67:AF71 B72:AG72">
    <cfRule type="expression" dxfId="3088" priority="136">
      <formula>B67&gt;$AG67</formula>
    </cfRule>
  </conditionalFormatting>
  <conditionalFormatting sqref="B73:AF91">
    <cfRule type="expression" dxfId="3087" priority="58">
      <formula>AND(B$9&gt;=8/24,B$9&lt;14/24)</formula>
    </cfRule>
    <cfRule type="expression" dxfId="3086" priority="56">
      <formula>B$9&gt;=20/24</formula>
    </cfRule>
    <cfRule type="expression" dxfId="3085" priority="59">
      <formula>B$9&lt;8/24</formula>
    </cfRule>
    <cfRule type="expression" dxfId="3084" priority="57">
      <formula>AND(B$9&gt;=14/24,B$9&lt;20/24)</formula>
    </cfRule>
  </conditionalFormatting>
  <conditionalFormatting sqref="B111:AF120">
    <cfRule type="expression" dxfId="3083" priority="88">
      <formula>AND(B$9&gt;=14/24,B$9&lt;20/24)</formula>
    </cfRule>
    <cfRule type="expression" dxfId="3082" priority="90">
      <formula>B$9&lt;8/24</formula>
    </cfRule>
    <cfRule type="expression" dxfId="3081" priority="89">
      <formula>AND(B$9&gt;=8/24,B$9&lt;14/24)</formula>
    </cfRule>
    <cfRule type="expression" dxfId="3080" priority="87">
      <formula>B$9&gt;=20/24</formula>
    </cfRule>
  </conditionalFormatting>
  <conditionalFormatting sqref="B227:AF227 D229:AF230 B229:B235 D231:H231 J231:AF231 D232:AF235 U248:AF248">
    <cfRule type="expression" dxfId="3079" priority="464">
      <formula>B$9&gt;=20/24</formula>
    </cfRule>
    <cfRule type="expression" dxfId="3078" priority="465">
      <formula>AND(B$9&gt;=14/24,B$9&lt;20/24)</formula>
    </cfRule>
    <cfRule type="expression" dxfId="3077" priority="466">
      <formula>AND(B$9&gt;=8/24,B$9&lt;14/24)</formula>
    </cfRule>
    <cfRule type="expression" dxfId="3076" priority="467">
      <formula>B$9&lt;8/24</formula>
    </cfRule>
  </conditionalFormatting>
  <conditionalFormatting sqref="B72:AG72 B93:AF109">
    <cfRule type="expression" dxfId="3075" priority="139">
      <formula>AND(B$9&gt;=8/24,B$9&lt;14/24)</formula>
    </cfRule>
    <cfRule type="expression" dxfId="3074" priority="140">
      <formula>B$9&lt;8/24</formula>
    </cfRule>
    <cfRule type="expression" dxfId="3073" priority="137">
      <formula>B$9&gt;=20/24</formula>
    </cfRule>
    <cfRule type="expression" dxfId="3072" priority="138">
      <formula>AND(B$9&gt;=14/24,B$9&lt;20/24)</formula>
    </cfRule>
  </conditionalFormatting>
  <conditionalFormatting sqref="F55:L55">
    <cfRule type="expression" dxfId="3071" priority="409">
      <formula>AND(F$9&gt;=8/24,F$9&lt;14/24)</formula>
    </cfRule>
    <cfRule type="expression" dxfId="3070" priority="408">
      <formula>AND(F$9&gt;=14/24,F$9&lt;20/24)</formula>
    </cfRule>
    <cfRule type="expression" dxfId="3069" priority="407">
      <formula>F$9&gt;=20/24</formula>
    </cfRule>
    <cfRule type="expression" dxfId="3068" priority="410">
      <formula>F$9&lt;8/24</formula>
    </cfRule>
  </conditionalFormatting>
  <conditionalFormatting sqref="F55:L57 M56:M57">
    <cfRule type="expression" dxfId="3067" priority="406">
      <formula>F55&gt;$AG55</formula>
    </cfRule>
  </conditionalFormatting>
  <conditionalFormatting sqref="F56:M57">
    <cfRule type="expression" dxfId="3066" priority="414">
      <formula>F$9&lt;8/24</formula>
    </cfRule>
    <cfRule type="expression" dxfId="3065" priority="411">
      <formula>F$9&gt;=20/24</formula>
    </cfRule>
    <cfRule type="expression" dxfId="3064" priority="412">
      <formula>AND(F$9&gt;=14/24,F$9&lt;20/24)</formula>
    </cfRule>
    <cfRule type="expression" dxfId="3063" priority="413">
      <formula>AND(F$9&gt;=8/24,F$9&lt;14/24)</formula>
    </cfRule>
  </conditionalFormatting>
  <conditionalFormatting sqref="F58:M59 N59:S59">
    <cfRule type="expression" dxfId="3062" priority="343">
      <formula>F58&gt;$AG58</formula>
    </cfRule>
  </conditionalFormatting>
  <conditionalFormatting sqref="F60:S60">
    <cfRule type="expression" dxfId="3061" priority="279">
      <formula>F60&gt;$AG60</formula>
    </cfRule>
    <cfRule type="expression" dxfId="3060" priority="280">
      <formula>F$9&gt;=20/24</formula>
    </cfRule>
    <cfRule type="expression" dxfId="3059" priority="283">
      <formula>F$9&lt;8/24</formula>
    </cfRule>
    <cfRule type="expression" dxfId="3058" priority="282">
      <formula>AND(F$9&gt;=8/24,F$9&lt;14/24)</formula>
    </cfRule>
    <cfRule type="expression" dxfId="3057" priority="281">
      <formula>AND(F$9&gt;=14/24,F$9&lt;20/24)</formula>
    </cfRule>
  </conditionalFormatting>
  <conditionalFormatting sqref="F61:AE66">
    <cfRule type="expression" dxfId="3056" priority="277">
      <formula>F$9&lt;8/24</formula>
    </cfRule>
    <cfRule type="expression" dxfId="3055" priority="276">
      <formula>AND(F$9&gt;=8/24,F$9&lt;14/24)</formula>
    </cfRule>
    <cfRule type="expression" dxfId="3054" priority="273">
      <formula>F61&gt;$AG61</formula>
    </cfRule>
    <cfRule type="expression" dxfId="3053" priority="274">
      <formula>F$9&gt;=20/24</formula>
    </cfRule>
    <cfRule type="expression" dxfId="3052" priority="275">
      <formula>AND(F$9&gt;=14/24,F$9&lt;20/24)</formula>
    </cfRule>
  </conditionalFormatting>
  <conditionalFormatting sqref="G20:AC30">
    <cfRule type="expression" dxfId="3051" priority="49">
      <formula>AND(G$9&gt;=8/24,G$9&lt;14/24)</formula>
    </cfRule>
    <cfRule type="expression" dxfId="3050" priority="48">
      <formula>AND(G$9&gt;=14/24,G$9&lt;20/24)</formula>
    </cfRule>
    <cfRule type="expression" dxfId="3049" priority="47">
      <formula>G$9&gt;=20/24</formula>
    </cfRule>
    <cfRule type="expression" dxfId="3048" priority="46">
      <formula>G20&gt;$AG20</formula>
    </cfRule>
    <cfRule type="expression" dxfId="3047" priority="50">
      <formula>G$9&lt;8/24</formula>
    </cfRule>
  </conditionalFormatting>
  <conditionalFormatting sqref="G31:AF31">
    <cfRule type="expression" dxfId="3046" priority="12">
      <formula>G$9&gt;=20/24</formula>
    </cfRule>
    <cfRule type="expression" dxfId="3045" priority="15">
      <formula>G$9&lt;8/24</formula>
    </cfRule>
    <cfRule type="expression" dxfId="3044" priority="14">
      <formula>AND(G$9&gt;=8/24,G$9&lt;14/24)</formula>
    </cfRule>
    <cfRule type="expression" dxfId="3043" priority="13">
      <formula>AND(G$9&gt;=14/24,G$9&lt;20/24)</formula>
    </cfRule>
    <cfRule type="expression" dxfId="3042" priority="11">
      <formula>G31&gt;$AG31</formula>
    </cfRule>
  </conditionalFormatting>
  <conditionalFormatting sqref="G32:AF45">
    <cfRule type="expression" dxfId="3041" priority="22">
      <formula>G$9&gt;=20/24</formula>
    </cfRule>
    <cfRule type="expression" dxfId="3040" priority="23">
      <formula>AND(G$9&gt;=14/24,G$9&lt;20/24)</formula>
    </cfRule>
    <cfRule type="expression" dxfId="3039" priority="25">
      <formula>G$9&lt;8/24</formula>
    </cfRule>
    <cfRule type="expression" dxfId="3038" priority="24">
      <formula>AND(G$9&gt;=8/24,G$9&lt;14/24)</formula>
    </cfRule>
  </conditionalFormatting>
  <conditionalFormatting sqref="G32:AF46">
    <cfRule type="expression" dxfId="3037" priority="20">
      <formula>G32&gt;$AG32</formula>
    </cfRule>
  </conditionalFormatting>
  <conditionalFormatting sqref="G47:AF47">
    <cfRule type="expression" dxfId="3036" priority="45">
      <formula>G47&gt;$AG47</formula>
    </cfRule>
  </conditionalFormatting>
  <conditionalFormatting sqref="M55:N55 O55:S58 N56:N58">
    <cfRule type="expression" dxfId="3035" priority="429">
      <formula>M55&gt;$AG55</formula>
    </cfRule>
  </conditionalFormatting>
  <conditionalFormatting sqref="M55:S55">
    <cfRule type="expression" dxfId="3034" priority="431">
      <formula>AND(M$9&gt;=14/24,M$9&lt;20/24)</formula>
    </cfRule>
    <cfRule type="expression" dxfId="3033" priority="433">
      <formula>M$9&lt;8/24</formula>
    </cfRule>
    <cfRule type="expression" dxfId="3032" priority="432">
      <formula>AND(M$9&gt;=8/24,M$9&lt;14/24)</formula>
    </cfRule>
    <cfRule type="expression" dxfId="3031" priority="430">
      <formula>M$9&gt;=20/24</formula>
    </cfRule>
  </conditionalFormatting>
  <conditionalFormatting sqref="N56:S58">
    <cfRule type="expression" dxfId="3030" priority="437">
      <formula>N$9&lt;8/24</formula>
    </cfRule>
    <cfRule type="expression" dxfId="3029" priority="436">
      <formula>AND(N$9&gt;=8/24,N$9&lt;14/24)</formula>
    </cfRule>
    <cfRule type="expression" dxfId="3028" priority="435">
      <formula>AND(N$9&gt;=14/24,N$9&lt;20/24)</formula>
    </cfRule>
    <cfRule type="expression" dxfId="3027" priority="434">
      <formula>N$9&gt;=20/24</formula>
    </cfRule>
  </conditionalFormatting>
  <conditionalFormatting sqref="O3:P3">
    <cfRule type="iconSet" priority="46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026" priority="470">
      <formula>C$9&gt;=20/24</formula>
    </cfRule>
  </conditionalFormatting>
  <conditionalFormatting sqref="S8">
    <cfRule type="expression" dxfId="3025" priority="446">
      <formula>U$9&lt;8/24</formula>
    </cfRule>
    <cfRule type="expression" dxfId="3024" priority="445">
      <formula>AND(U$9&gt;=8/24,U$9&lt;14/24)</formula>
    </cfRule>
    <cfRule type="expression" dxfId="3023" priority="444">
      <formula>AND(U$9&gt;=14/24,U$9&lt;20/24)</formula>
    </cfRule>
    <cfRule type="expression" dxfId="3022" priority="443">
      <formula>U$9&gt;=20/24</formula>
    </cfRule>
  </conditionalFormatting>
  <conditionalFormatting sqref="T248">
    <cfRule type="expression" dxfId="3021" priority="486">
      <formula>AX$9&lt;8/24</formula>
    </cfRule>
    <cfRule type="expression" dxfId="3020" priority="485">
      <formula>AND(AX$9&gt;=8/24,AX$9&lt;14/24)</formula>
    </cfRule>
    <cfRule type="expression" dxfId="3019" priority="484">
      <formula>AND(AX$9&gt;=14/24,AX$9&lt;20/24)</formula>
    </cfRule>
    <cfRule type="expression" dxfId="3018" priority="483">
      <formula>AX$9&gt;=20/24</formula>
    </cfRule>
  </conditionalFormatting>
  <conditionalFormatting sqref="T55:AE60">
    <cfRule type="expression" dxfId="3017" priority="5">
      <formula>T$9&lt;8/24</formula>
    </cfRule>
    <cfRule type="expression" dxfId="3016" priority="1">
      <formula>T55&gt;$AG55</formula>
    </cfRule>
    <cfRule type="expression" dxfId="3015" priority="2">
      <formula>T$9&gt;=20/24</formula>
    </cfRule>
    <cfRule type="expression" dxfId="3014" priority="3">
      <formula>AND(T$9&gt;=14/24,T$9&lt;20/24)</formula>
    </cfRule>
    <cfRule type="expression" dxfId="3013" priority="4">
      <formula>AND(T$9&gt;=8/24,T$9&lt;14/24)</formula>
    </cfRule>
  </conditionalFormatting>
  <conditionalFormatting sqref="V3 AB3">
    <cfRule type="iconSet" priority="469">
      <iconSet iconSet="3TrafficLights2" reverse="1">
        <cfvo type="percent" val="0"/>
        <cfvo type="num" val="1"/>
        <cfvo type="num" val="1"/>
      </iconSet>
    </cfRule>
  </conditionalFormatting>
  <conditionalFormatting sqref="X69:Z71 AH248:AX248">
    <cfRule type="expression" dxfId="3012" priority="481">
      <formula>AND(W$9&gt;=8/24,W$9&lt;14/24)</formula>
    </cfRule>
    <cfRule type="expression" dxfId="3011" priority="482">
      <formula>W$9&lt;8/24</formula>
    </cfRule>
    <cfRule type="expression" dxfId="3010" priority="480">
      <formula>AND(W$9&gt;=14/24,W$9&lt;20/24)</formula>
    </cfRule>
    <cfRule type="expression" dxfId="3009" priority="479">
      <formula>W$9&gt;=20/24</formula>
    </cfRule>
  </conditionalFormatting>
  <conditionalFormatting sqref="Z69:AF71">
    <cfRule type="expression" dxfId="3008" priority="426">
      <formula>AND(Z$9&gt;=14/24,Z$9&lt;20/24)</formula>
    </cfRule>
    <cfRule type="expression" dxfId="3007" priority="427">
      <formula>AND(Z$9&gt;=8/24,Z$9&lt;14/24)</formula>
    </cfRule>
    <cfRule type="expression" dxfId="3006" priority="428">
      <formula>Z$9&lt;8/24</formula>
    </cfRule>
    <cfRule type="expression" dxfId="3005" priority="425">
      <formula>Z$9&gt;=20/24</formula>
    </cfRule>
  </conditionalFormatting>
  <conditionalFormatting sqref="AB8">
    <cfRule type="expression" dxfId="3004" priority="442">
      <formula>AD$9&lt;8/24</formula>
    </cfRule>
    <cfRule type="expression" dxfId="3003" priority="439">
      <formula>AD$9&gt;=20/24</formula>
    </cfRule>
    <cfRule type="expression" dxfId="3002" priority="440">
      <formula>AND(AD$9&gt;=14/24,AD$9&lt;20/24)</formula>
    </cfRule>
    <cfRule type="expression" dxfId="3001" priority="441">
      <formula>AND(AD$9&gt;=8/24,AD$9&lt;14/24)</formula>
    </cfRule>
  </conditionalFormatting>
  <conditionalFormatting sqref="AD19:AF30">
    <cfRule type="expression" dxfId="3000" priority="359">
      <formula>AND(AD$9&gt;=8/24,AD$9&lt;14/24)</formula>
    </cfRule>
    <cfRule type="expression" dxfId="2999" priority="352">
      <formula>AD19&gt;$AG19</formula>
    </cfRule>
    <cfRule type="expression" dxfId="2998" priority="357">
      <formula>AD$9&gt;=20/24</formula>
    </cfRule>
    <cfRule type="expression" dxfId="2997" priority="358">
      <formula>AND(AD$9&gt;=14/24,AD$9&lt;20/24)</formula>
    </cfRule>
    <cfRule type="expression" dxfId="2996" priority="360">
      <formula>AD$9&lt;8/24</formula>
    </cfRule>
  </conditionalFormatting>
  <conditionalFormatting sqref="AF55:AF66">
    <cfRule type="expression" dxfId="2995" priority="193">
      <formula>AF55&gt;$AG55</formula>
    </cfRule>
    <cfRule type="expression" dxfId="2994" priority="194">
      <formula>AF$9&gt;=20/24</formula>
    </cfRule>
    <cfRule type="expression" dxfId="2993" priority="195">
      <formula>AND(AF$9&gt;=14/24,AF$9&lt;20/24)</formula>
    </cfRule>
    <cfRule type="expression" dxfId="2992" priority="196">
      <formula>AND(AF$9&gt;=8/24,AF$9&lt;14/24)</formula>
    </cfRule>
    <cfRule type="expression" dxfId="2991" priority="197">
      <formula>AF$9&lt;8/24</formula>
    </cfRule>
  </conditionalFormatting>
  <conditionalFormatting sqref="AG50 AG67:AG68">
    <cfRule type="expression" dxfId="2990" priority="401">
      <formula>AG50&gt;$AG50</formula>
    </cfRule>
  </conditionalFormatting>
  <conditionalFormatting sqref="AG54">
    <cfRule type="expression" dxfId="2989" priority="386">
      <formula>AG54&gt;$AG54</formula>
    </cfRule>
    <cfRule type="expression" dxfId="2988" priority="388">
      <formula>AND(AG$9&gt;=14/24,AG$9&lt;20/24)</formula>
    </cfRule>
    <cfRule type="expression" dxfId="2987" priority="387">
      <formula>AG$9&gt;=20/24</formula>
    </cfRule>
    <cfRule type="expression" dxfId="2986" priority="389">
      <formula>AND(AG$9&gt;=8/24,AG$9&lt;14/24)</formula>
    </cfRule>
    <cfRule type="expression" dxfId="2985" priority="390">
      <formula>AG$9&lt;8/24</formula>
    </cfRule>
  </conditionalFormatting>
  <conditionalFormatting sqref="AG89">
    <cfRule type="expression" dxfId="2984" priority="402">
      <formula>AG$9&gt;=20/24</formula>
    </cfRule>
    <cfRule type="expression" dxfId="2983" priority="404">
      <formula>AND(AG$9&gt;=8/24,AG$9&lt;14/24)</formula>
    </cfRule>
    <cfRule type="expression" dxfId="2982" priority="405">
      <formula>AG$9&lt;8/24</formula>
    </cfRule>
    <cfRule type="expression" dxfId="2981" priority="403">
      <formula>AND(AG$9&gt;=14/24,AG$9&lt;20/24)</formula>
    </cfRule>
  </conditionalFormatting>
  <conditionalFormatting sqref="AG248">
    <cfRule type="expression" dxfId="2980" priority="475">
      <formula>B$9&gt;=20/24</formula>
    </cfRule>
    <cfRule type="expression" dxfId="2979" priority="476">
      <formula>AND(B$9&gt;=14/24,B$9&lt;20/24)</formula>
    </cfRule>
    <cfRule type="expression" dxfId="2978" priority="478">
      <formula>B$9&lt;8/24</formula>
    </cfRule>
    <cfRule type="expression" dxfId="2977" priority="477">
      <formula>AND(B$9&gt;=8/24,B$9&lt;14/24)</formula>
    </cfRule>
  </conditionalFormatting>
  <conditionalFormatting sqref="AK11:AK71">
    <cfRule type="expression" dxfId="2976" priority="7">
      <formula>AK$9&gt;=20/24</formula>
    </cfRule>
    <cfRule type="expression" dxfId="2975" priority="6">
      <formula>AK11&gt;$AG11</formula>
    </cfRule>
    <cfRule type="expression" dxfId="2974" priority="8">
      <formula>AND(AK$9&gt;=14/24,AK$9&lt;20/24)</formula>
    </cfRule>
    <cfRule type="expression" dxfId="2973" priority="10">
      <formula>AK$9&lt;8/24</formula>
    </cfRule>
    <cfRule type="expression" dxfId="2972" priority="9">
      <formula>AND(AK$9&gt;=8/24,AK$9&lt;14/24)</formula>
    </cfRule>
  </conditionalFormatting>
  <conditionalFormatting sqref="AL4:AL6">
    <cfRule type="iconSet" priority="463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266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37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59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370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8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459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447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252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87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971" priority="488">
      <formula>AJ$9&gt;=20/24</formula>
    </cfRule>
    <cfRule type="expression" dxfId="2970" priority="489">
      <formula>AND(AJ$9&gt;=14/24,AJ$9&lt;20/24)</formula>
    </cfRule>
    <cfRule type="expression" dxfId="2969" priority="490">
      <formula>AND(AJ$9&gt;=8/24,AJ$9&lt;14/24)</formula>
    </cfRule>
    <cfRule type="expression" dxfId="2968" priority="491">
      <formula>AJ$9&lt;8/24</formula>
    </cfRule>
  </conditionalFormatting>
  <conditionalFormatting sqref="AL80:AN80 AL86:AN86">
    <cfRule type="expression" dxfId="2967" priority="298">
      <formula>AL$9&gt;=20/24</formula>
    </cfRule>
    <cfRule type="expression" dxfId="2966" priority="301">
      <formula>AL$9&lt;8/24</formula>
    </cfRule>
    <cfRule type="expression" dxfId="2965" priority="300">
      <formula>AND(AL$9&gt;=8/24,AL$9&lt;14/24)</formula>
    </cfRule>
    <cfRule type="expression" dxfId="2964" priority="299">
      <formula>AND(AL$9&gt;=14/24,AL$9&lt;20/24)</formula>
    </cfRule>
  </conditionalFormatting>
  <conditionalFormatting sqref="AN81:AN84">
    <cfRule type="expression" dxfId="2963" priority="294">
      <formula>AN$9&gt;=20/24</formula>
    </cfRule>
    <cfRule type="expression" dxfId="2962" priority="295">
      <formula>AND(AN$9&gt;=14/24,AN$9&lt;20/24)</formula>
    </cfRule>
    <cfRule type="expression" dxfId="2961" priority="296">
      <formula>AND(AN$9&gt;=8/24,AN$9&lt;14/24)</formula>
    </cfRule>
    <cfRule type="expression" dxfId="2960" priority="297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EF24-AAD6-4FDF-A739-04B05693294B}">
  <dimension ref="A1:CJ281"/>
  <sheetViews>
    <sheetView zoomScale="98" zoomScaleNormal="98" workbookViewId="0">
      <pane xSplit="1" ySplit="10" topLeftCell="B1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R113" sqref="R11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7.710937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8.57031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2080/03/1</v>
      </c>
      <c r="C4" s="187"/>
      <c r="D4" s="187"/>
      <c r="E4" s="188" t="str">
        <f ca="1">"2079/"&amp;"12/"&amp;INT(MID(CELL("filename",G6),FIND("]",CELL("filename",G6))+1,200))</f>
        <v>2079/12/1</v>
      </c>
      <c r="F4" s="188"/>
      <c r="G4" s="188"/>
      <c r="H4" s="188" t="str">
        <f ca="1">TEXT(E4,"dddd")</f>
        <v>Friday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63.1</v>
      </c>
      <c r="C5" s="30">
        <f t="shared" si="0"/>
        <v>56.1</v>
      </c>
      <c r="D5" s="30">
        <f t="shared" si="0"/>
        <v>58.1</v>
      </c>
      <c r="E5" s="30">
        <f t="shared" si="0"/>
        <v>79.599999999999994</v>
      </c>
      <c r="F5" s="30">
        <f t="shared" si="0"/>
        <v>61.9</v>
      </c>
      <c r="G5" s="30">
        <f t="shared" si="0"/>
        <v>59.7</v>
      </c>
      <c r="H5" s="30">
        <f t="shared" si="0"/>
        <v>63.3</v>
      </c>
      <c r="I5" s="30">
        <f t="shared" si="0"/>
        <v>73.2</v>
      </c>
      <c r="J5" s="30">
        <f t="shared" si="0"/>
        <v>74.5</v>
      </c>
      <c r="K5" s="30">
        <f t="shared" si="0"/>
        <v>69.7</v>
      </c>
      <c r="L5" s="30">
        <f t="shared" si="0"/>
        <v>71.400000000000006</v>
      </c>
      <c r="M5" s="30">
        <f t="shared" si="0"/>
        <v>71.400000000000006</v>
      </c>
      <c r="N5" s="30">
        <f t="shared" si="0"/>
        <v>87</v>
      </c>
      <c r="O5" s="30">
        <f t="shared" si="0"/>
        <v>87</v>
      </c>
      <c r="P5" s="30">
        <f t="shared" si="0"/>
        <v>82</v>
      </c>
      <c r="Q5" s="30">
        <f t="shared" si="0"/>
        <v>74.5</v>
      </c>
      <c r="R5" s="30">
        <f t="shared" si="0"/>
        <v>76.8</v>
      </c>
      <c r="S5" s="30">
        <f t="shared" si="0"/>
        <v>89</v>
      </c>
      <c r="T5" s="30">
        <f t="shared" si="0"/>
        <v>116</v>
      </c>
      <c r="U5" s="30">
        <f t="shared" si="0"/>
        <v>127.1</v>
      </c>
      <c r="V5" s="30">
        <f t="shared" si="0"/>
        <v>107.5</v>
      </c>
      <c r="W5" s="30">
        <f t="shared" si="0"/>
        <v>100.9</v>
      </c>
      <c r="X5" s="30">
        <f t="shared" si="0"/>
        <v>105.5</v>
      </c>
      <c r="Y5" s="30">
        <f t="shared" si="0"/>
        <v>104.9</v>
      </c>
      <c r="Z5" s="30">
        <f t="shared" si="0"/>
        <v>110.7</v>
      </c>
      <c r="AA5" s="30">
        <f t="shared" si="0"/>
        <v>135.4</v>
      </c>
      <c r="AB5" s="30">
        <f t="shared" si="0"/>
        <v>145.4</v>
      </c>
      <c r="AC5" s="30">
        <f t="shared" si="0"/>
        <v>142.6</v>
      </c>
      <c r="AD5" s="30">
        <f t="shared" si="0"/>
        <v>139.1</v>
      </c>
      <c r="AE5" s="30">
        <f t="shared" si="0"/>
        <v>144.1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1905MW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Load=69</v>
      </c>
      <c r="B7" s="35">
        <f t="shared" ref="B7:AF7" si="1">B91</f>
        <v>68.540000000000006</v>
      </c>
      <c r="C7" s="35">
        <f t="shared" si="1"/>
        <v>1870.04</v>
      </c>
      <c r="D7" s="35">
        <f t="shared" si="1"/>
        <v>1861.4399999999998</v>
      </c>
      <c r="E7" s="35">
        <f t="shared" si="1"/>
        <v>1853.4399999999998</v>
      </c>
      <c r="F7" s="35">
        <f t="shared" si="1"/>
        <v>1842.1399999999999</v>
      </c>
      <c r="G7" s="35">
        <f t="shared" si="1"/>
        <v>1884.24</v>
      </c>
      <c r="H7" s="35">
        <f t="shared" si="1"/>
        <v>1892.34</v>
      </c>
      <c r="I7" s="35">
        <f t="shared" si="1"/>
        <v>1903.4399999999998</v>
      </c>
      <c r="J7" s="35">
        <f t="shared" si="1"/>
        <v>1890.4399999999998</v>
      </c>
      <c r="K7" s="35">
        <f t="shared" si="1"/>
        <v>1904.6399999999999</v>
      </c>
      <c r="L7" s="35">
        <f t="shared" si="1"/>
        <v>1880.9399999999998</v>
      </c>
      <c r="M7" s="35">
        <f t="shared" si="1"/>
        <v>1904.84</v>
      </c>
      <c r="N7" s="35">
        <f>N91</f>
        <v>1804.94</v>
      </c>
      <c r="O7" s="35">
        <f t="shared" si="1"/>
        <v>1835.54</v>
      </c>
      <c r="P7" s="35">
        <f t="shared" si="1"/>
        <v>1841.9399999999998</v>
      </c>
      <c r="Q7" s="35">
        <f t="shared" si="1"/>
        <v>1596.14</v>
      </c>
      <c r="R7" s="35">
        <f t="shared" si="1"/>
        <v>1843.3399999999997</v>
      </c>
      <c r="S7" s="35">
        <f t="shared" si="1"/>
        <v>1857.5399999999997</v>
      </c>
      <c r="T7" s="35">
        <f t="shared" si="1"/>
        <v>1860.74</v>
      </c>
      <c r="U7" s="35">
        <f t="shared" si="1"/>
        <v>1889.54</v>
      </c>
      <c r="V7" s="35">
        <f t="shared" si="1"/>
        <v>1852.8399999999997</v>
      </c>
      <c r="W7" s="35">
        <f t="shared" si="1"/>
        <v>1785.3399999999997</v>
      </c>
      <c r="X7" s="35">
        <f t="shared" si="1"/>
        <v>1758.44</v>
      </c>
      <c r="Y7" s="35">
        <f t="shared" si="1"/>
        <v>1763.04</v>
      </c>
      <c r="Z7" s="35">
        <f t="shared" si="1"/>
        <v>1765.8400000000001</v>
      </c>
      <c r="AA7" s="35">
        <f t="shared" si="1"/>
        <v>2019.24</v>
      </c>
      <c r="AB7" s="35">
        <f t="shared" si="1"/>
        <v>1993.4399999999998</v>
      </c>
      <c r="AC7" s="35">
        <f t="shared" si="1"/>
        <v>1965.1399999999999</v>
      </c>
      <c r="AD7" s="35">
        <f t="shared" si="1"/>
        <v>1810.3399999999997</v>
      </c>
      <c r="AE7" s="35">
        <f t="shared" si="1"/>
        <v>1867.9399999999996</v>
      </c>
      <c r="AF7" s="35">
        <f t="shared" si="1"/>
        <v>1974.9399999999996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 t="s">
        <v>20</v>
      </c>
      <c r="C11" s="45">
        <v>50</v>
      </c>
      <c r="D11" s="45">
        <v>50</v>
      </c>
      <c r="E11" s="45">
        <v>50</v>
      </c>
      <c r="F11" s="45">
        <v>50</v>
      </c>
      <c r="G11" s="45">
        <v>60</v>
      </c>
      <c r="H11" s="45">
        <v>60</v>
      </c>
      <c r="I11" s="45">
        <v>60</v>
      </c>
      <c r="J11" s="45">
        <v>60</v>
      </c>
      <c r="K11" s="45">
        <v>60</v>
      </c>
      <c r="L11" s="45">
        <v>60</v>
      </c>
      <c r="M11" s="45">
        <v>60.5</v>
      </c>
      <c r="N11" s="45">
        <v>60.5</v>
      </c>
      <c r="O11" s="45">
        <v>60.5</v>
      </c>
      <c r="P11" s="45">
        <v>60.5</v>
      </c>
      <c r="Q11" s="45">
        <v>60.5</v>
      </c>
      <c r="R11" s="45">
        <v>60.5</v>
      </c>
      <c r="S11" s="45">
        <v>60.5</v>
      </c>
      <c r="T11" s="45">
        <v>60.5</v>
      </c>
      <c r="U11" s="45">
        <v>60.5</v>
      </c>
      <c r="V11" s="45">
        <v>60.5</v>
      </c>
      <c r="W11" s="45">
        <v>60.5</v>
      </c>
      <c r="X11" s="45">
        <v>60.5</v>
      </c>
      <c r="Y11" s="45">
        <v>60.5</v>
      </c>
      <c r="Z11" s="45">
        <v>60.5</v>
      </c>
      <c r="AA11" s="45">
        <v>60.5</v>
      </c>
      <c r="AB11" s="45">
        <v>60.5</v>
      </c>
      <c r="AC11" s="45">
        <v>60.5</v>
      </c>
      <c r="AD11" s="45">
        <v>60.5</v>
      </c>
      <c r="AE11" s="45">
        <v>60.5</v>
      </c>
      <c r="AF11" s="45">
        <v>60.5</v>
      </c>
      <c r="AG11" s="46">
        <v>86</v>
      </c>
      <c r="AH11" s="47">
        <f t="shared" ref="AH11:AH76" si="2">MAX(B11:AF11)</f>
        <v>60.5</v>
      </c>
      <c r="AI11" s="48">
        <f t="shared" ref="AI11:AI76" si="3">MIN(B11:AF11)</f>
        <v>50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 t="s">
        <v>22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9">
        <v>54</v>
      </c>
      <c r="AH12" s="47" t="s">
        <v>266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 t="s">
        <v>20</v>
      </c>
      <c r="C13" s="45">
        <v>46.2</v>
      </c>
      <c r="D13" s="45">
        <v>46.2</v>
      </c>
      <c r="E13" s="45">
        <v>46.2</v>
      </c>
      <c r="F13" s="45">
        <v>46.2</v>
      </c>
      <c r="G13" s="45">
        <v>45.8</v>
      </c>
      <c r="H13" s="45">
        <v>45.8</v>
      </c>
      <c r="I13" s="45">
        <v>45.8</v>
      </c>
      <c r="J13" s="45">
        <v>45.8</v>
      </c>
      <c r="K13" s="45">
        <v>45.8</v>
      </c>
      <c r="L13" s="45">
        <v>45.8</v>
      </c>
      <c r="M13" s="45">
        <v>45.7</v>
      </c>
      <c r="N13" s="45">
        <v>45.7</v>
      </c>
      <c r="O13" s="45">
        <v>45.7</v>
      </c>
      <c r="P13" s="45">
        <v>45.7</v>
      </c>
      <c r="Q13" s="45">
        <v>45.7</v>
      </c>
      <c r="R13" s="45">
        <v>45.7</v>
      </c>
      <c r="S13" s="45">
        <v>45.7</v>
      </c>
      <c r="T13" s="45">
        <v>45.7</v>
      </c>
      <c r="U13" s="45">
        <v>45.7</v>
      </c>
      <c r="V13" s="45">
        <v>45.7</v>
      </c>
      <c r="W13" s="45">
        <v>45.7</v>
      </c>
      <c r="X13" s="45">
        <v>46.1</v>
      </c>
      <c r="Y13" s="45">
        <v>46.1</v>
      </c>
      <c r="Z13" s="45">
        <v>46.1</v>
      </c>
      <c r="AA13" s="45">
        <v>46.1</v>
      </c>
      <c r="AB13" s="45">
        <v>46.1</v>
      </c>
      <c r="AC13" s="45">
        <v>46.1</v>
      </c>
      <c r="AD13" s="45">
        <v>46.1</v>
      </c>
      <c r="AE13" s="45">
        <v>46.1</v>
      </c>
      <c r="AF13" s="45">
        <v>46.1</v>
      </c>
      <c r="AG13" s="46">
        <v>52.4</v>
      </c>
      <c r="AH13" s="47">
        <f t="shared" si="2"/>
        <v>46.2</v>
      </c>
      <c r="AI13" s="48">
        <f t="shared" si="3"/>
        <v>45.7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 t="s">
        <v>25</v>
      </c>
      <c r="C14" s="50">
        <v>50.4</v>
      </c>
      <c r="D14" s="50">
        <v>50.4</v>
      </c>
      <c r="E14" s="50">
        <v>50.4</v>
      </c>
      <c r="F14" s="50">
        <v>50.4</v>
      </c>
      <c r="G14" s="50">
        <v>50.7</v>
      </c>
      <c r="H14" s="50">
        <v>50.7</v>
      </c>
      <c r="I14" s="50">
        <v>50.7</v>
      </c>
      <c r="J14" s="50">
        <v>50.7</v>
      </c>
      <c r="K14" s="50">
        <v>50.7</v>
      </c>
      <c r="L14" s="50">
        <v>50.7</v>
      </c>
      <c r="M14" s="50">
        <v>50.6</v>
      </c>
      <c r="N14" s="50">
        <v>50.6</v>
      </c>
      <c r="O14" s="50">
        <v>50.6</v>
      </c>
      <c r="P14" s="50">
        <v>50.6</v>
      </c>
      <c r="Q14" s="50">
        <v>0</v>
      </c>
      <c r="R14" s="50">
        <v>50.5</v>
      </c>
      <c r="S14" s="50">
        <v>50.5</v>
      </c>
      <c r="T14" s="50">
        <v>46.2</v>
      </c>
      <c r="U14" s="50">
        <v>50.6</v>
      </c>
      <c r="V14" s="50">
        <v>50.7</v>
      </c>
      <c r="W14" s="50">
        <v>50.7</v>
      </c>
      <c r="X14" s="50">
        <v>50.7</v>
      </c>
      <c r="Y14" s="50">
        <v>50.7</v>
      </c>
      <c r="Z14" s="50">
        <v>50.7</v>
      </c>
      <c r="AA14" s="45">
        <v>50.7</v>
      </c>
      <c r="AB14" s="45">
        <v>50.7</v>
      </c>
      <c r="AC14" s="45">
        <v>50.7</v>
      </c>
      <c r="AD14" s="45">
        <v>50.7</v>
      </c>
      <c r="AE14" s="45">
        <v>50.7</v>
      </c>
      <c r="AF14" s="45">
        <v>50.7</v>
      </c>
      <c r="AG14" s="49">
        <v>50</v>
      </c>
      <c r="AH14" s="47">
        <f t="shared" si="2"/>
        <v>50.7</v>
      </c>
      <c r="AI14" s="48">
        <f t="shared" si="3"/>
        <v>0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 t="s">
        <v>27</v>
      </c>
      <c r="C15" s="45">
        <v>45.9</v>
      </c>
      <c r="D15" s="45">
        <v>45.9</v>
      </c>
      <c r="E15" s="45">
        <v>45.9</v>
      </c>
      <c r="F15" s="45">
        <v>45.9</v>
      </c>
      <c r="G15" s="45">
        <v>46</v>
      </c>
      <c r="H15" s="45">
        <v>46</v>
      </c>
      <c r="I15" s="45">
        <v>46</v>
      </c>
      <c r="J15" s="45">
        <v>46</v>
      </c>
      <c r="K15" s="45">
        <v>46</v>
      </c>
      <c r="L15" s="45">
        <v>46</v>
      </c>
      <c r="M15" s="45">
        <v>46</v>
      </c>
      <c r="N15" s="45">
        <v>46</v>
      </c>
      <c r="O15" s="45">
        <v>46</v>
      </c>
      <c r="P15" s="45">
        <v>46</v>
      </c>
      <c r="Q15" s="45">
        <v>46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45.9</v>
      </c>
      <c r="AB15" s="45">
        <v>45.9</v>
      </c>
      <c r="AC15" s="45">
        <v>45.9</v>
      </c>
      <c r="AD15" s="45">
        <v>45.9</v>
      </c>
      <c r="AE15" s="45">
        <v>45.9</v>
      </c>
      <c r="AF15" s="45">
        <v>45.9</v>
      </c>
      <c r="AG15" s="49">
        <v>45</v>
      </c>
      <c r="AH15" s="47">
        <f t="shared" si="2"/>
        <v>46</v>
      </c>
      <c r="AI15" s="48">
        <f t="shared" si="3"/>
        <v>45.9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 t="s">
        <v>29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0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/>
      <c r="C17" s="45">
        <v>28</v>
      </c>
      <c r="D17" s="45">
        <v>28</v>
      </c>
      <c r="E17" s="45">
        <v>28</v>
      </c>
      <c r="F17" s="45">
        <v>28</v>
      </c>
      <c r="G17" s="45">
        <v>28</v>
      </c>
      <c r="H17" s="45">
        <v>28</v>
      </c>
      <c r="I17" s="45">
        <v>32</v>
      </c>
      <c r="J17" s="45">
        <v>34</v>
      </c>
      <c r="K17" s="45">
        <v>34</v>
      </c>
      <c r="L17" s="45">
        <v>34</v>
      </c>
      <c r="M17" s="45">
        <v>34</v>
      </c>
      <c r="N17" s="45">
        <v>34</v>
      </c>
      <c r="O17" s="45">
        <v>34</v>
      </c>
      <c r="P17" s="45">
        <v>34</v>
      </c>
      <c r="Q17" s="45">
        <v>0</v>
      </c>
      <c r="R17" s="45">
        <v>34</v>
      </c>
      <c r="S17" s="45">
        <v>34</v>
      </c>
      <c r="T17" s="45">
        <v>34</v>
      </c>
      <c r="U17" s="45">
        <v>34</v>
      </c>
      <c r="V17" s="45">
        <v>34</v>
      </c>
      <c r="W17" s="45">
        <v>36.5</v>
      </c>
      <c r="X17" s="45">
        <v>36.5</v>
      </c>
      <c r="Y17" s="45">
        <v>36.5</v>
      </c>
      <c r="Z17" s="45">
        <v>36.5</v>
      </c>
      <c r="AA17" s="45">
        <v>40.700000000000003</v>
      </c>
      <c r="AB17" s="45">
        <v>40.700000000000003</v>
      </c>
      <c r="AC17" s="45">
        <v>40.700000000000003</v>
      </c>
      <c r="AD17" s="45">
        <v>40.700000000000003</v>
      </c>
      <c r="AE17" s="45">
        <v>40.700000000000003</v>
      </c>
      <c r="AF17" s="45">
        <v>40.700000000000003</v>
      </c>
      <c r="AG17" s="49">
        <v>42</v>
      </c>
      <c r="AH17" s="47">
        <f t="shared" si="2"/>
        <v>40.700000000000003</v>
      </c>
      <c r="AI17" s="48">
        <f t="shared" si="3"/>
        <v>0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35</v>
      </c>
      <c r="C18" s="45">
        <v>35</v>
      </c>
      <c r="D18" s="45">
        <v>35</v>
      </c>
      <c r="E18" s="45">
        <v>35</v>
      </c>
      <c r="F18" s="45">
        <v>35</v>
      </c>
      <c r="G18" s="45">
        <v>35</v>
      </c>
      <c r="H18" s="45">
        <v>35</v>
      </c>
      <c r="I18" s="45">
        <v>35</v>
      </c>
      <c r="J18" s="45">
        <v>35</v>
      </c>
      <c r="K18" s="45">
        <v>35</v>
      </c>
      <c r="L18" s="45">
        <v>35</v>
      </c>
      <c r="M18" s="45">
        <v>20</v>
      </c>
      <c r="N18" s="45">
        <v>20</v>
      </c>
      <c r="O18" s="45">
        <v>20</v>
      </c>
      <c r="P18" s="45">
        <v>20</v>
      </c>
      <c r="Q18" s="45">
        <v>0</v>
      </c>
      <c r="R18" s="45">
        <v>35</v>
      </c>
      <c r="S18" s="45">
        <v>35</v>
      </c>
      <c r="T18" s="45">
        <v>35</v>
      </c>
      <c r="U18" s="45">
        <v>35</v>
      </c>
      <c r="V18" s="45">
        <v>35</v>
      </c>
      <c r="W18" s="45">
        <v>35</v>
      </c>
      <c r="X18" s="45">
        <v>35</v>
      </c>
      <c r="Y18" s="45">
        <v>35</v>
      </c>
      <c r="Z18" s="45">
        <v>35</v>
      </c>
      <c r="AA18" s="45">
        <v>35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9">
        <v>38.46</v>
      </c>
      <c r="AH18" s="47">
        <f t="shared" si="2"/>
        <v>35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30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30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 t="s">
        <v>20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5</v>
      </c>
      <c r="J20" s="45">
        <v>8</v>
      </c>
      <c r="K20" s="45">
        <v>8</v>
      </c>
      <c r="L20" s="45">
        <v>8</v>
      </c>
      <c r="M20" s="45">
        <v>20</v>
      </c>
      <c r="N20" s="45">
        <v>20</v>
      </c>
      <c r="O20" s="45">
        <v>20</v>
      </c>
      <c r="P20" s="45">
        <v>20</v>
      </c>
      <c r="Q20" s="45">
        <v>0</v>
      </c>
      <c r="R20" s="45">
        <v>20</v>
      </c>
      <c r="S20" s="45">
        <v>20</v>
      </c>
      <c r="T20" s="45">
        <v>20</v>
      </c>
      <c r="U20" s="45">
        <v>20</v>
      </c>
      <c r="V20" s="45">
        <v>20</v>
      </c>
      <c r="W20" s="45">
        <v>15.3</v>
      </c>
      <c r="X20" s="45">
        <v>15.3</v>
      </c>
      <c r="Y20" s="45">
        <v>15.3</v>
      </c>
      <c r="Z20" s="45">
        <v>15.3</v>
      </c>
      <c r="AA20" s="45">
        <v>25.3</v>
      </c>
      <c r="AB20" s="45">
        <v>25.3</v>
      </c>
      <c r="AC20" s="45">
        <v>25.3</v>
      </c>
      <c r="AD20" s="45">
        <v>25.3</v>
      </c>
      <c r="AE20" s="45">
        <v>25.3</v>
      </c>
      <c r="AF20" s="45">
        <v>25.3</v>
      </c>
      <c r="AG20" s="51">
        <v>30</v>
      </c>
      <c r="AH20" s="47">
        <f t="shared" si="2"/>
        <v>25.3</v>
      </c>
      <c r="AI20" s="48">
        <f t="shared" si="3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 t="s">
        <v>25</v>
      </c>
      <c r="C21" s="45">
        <v>20.7</v>
      </c>
      <c r="D21" s="45">
        <v>20.7</v>
      </c>
      <c r="E21" s="45">
        <v>20.7</v>
      </c>
      <c r="F21" s="45">
        <v>20.7</v>
      </c>
      <c r="G21" s="45">
        <v>20.7</v>
      </c>
      <c r="H21" s="45">
        <v>20.7</v>
      </c>
      <c r="I21" s="45">
        <v>20.7</v>
      </c>
      <c r="J21" s="45">
        <v>20.7</v>
      </c>
      <c r="K21" s="45">
        <v>20.7</v>
      </c>
      <c r="L21" s="45">
        <v>20.7</v>
      </c>
      <c r="M21" s="45">
        <v>20.7</v>
      </c>
      <c r="N21" s="45">
        <v>20.7</v>
      </c>
      <c r="O21" s="45">
        <v>20.7</v>
      </c>
      <c r="P21" s="45">
        <v>20.7</v>
      </c>
      <c r="Q21" s="45">
        <v>20.7</v>
      </c>
      <c r="R21" s="45">
        <v>20.7</v>
      </c>
      <c r="S21" s="45">
        <v>20.7</v>
      </c>
      <c r="T21" s="45">
        <v>20.7</v>
      </c>
      <c r="U21" s="45">
        <v>20.7</v>
      </c>
      <c r="V21" s="45">
        <v>20.7</v>
      </c>
      <c r="W21" s="45">
        <v>20.7</v>
      </c>
      <c r="X21" s="45">
        <v>20.7</v>
      </c>
      <c r="Y21" s="45">
        <v>20.7</v>
      </c>
      <c r="Z21" s="45">
        <v>20.7</v>
      </c>
      <c r="AA21" s="45">
        <v>20.7</v>
      </c>
      <c r="AB21" s="45">
        <v>20.7</v>
      </c>
      <c r="AC21" s="45">
        <v>20.7</v>
      </c>
      <c r="AD21" s="45">
        <v>20.7</v>
      </c>
      <c r="AE21" s="45">
        <v>20.7</v>
      </c>
      <c r="AF21" s="45">
        <v>20.7</v>
      </c>
      <c r="AG21" s="49">
        <v>24.2</v>
      </c>
      <c r="AH21" s="47">
        <f t="shared" si="2"/>
        <v>20.7</v>
      </c>
      <c r="AI21" s="48">
        <f t="shared" si="3"/>
        <v>20.7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 t="s">
        <v>36</v>
      </c>
      <c r="C22" s="45">
        <v>14</v>
      </c>
      <c r="D22" s="45">
        <v>14</v>
      </c>
      <c r="E22" s="45">
        <v>14</v>
      </c>
      <c r="F22" s="45">
        <v>14</v>
      </c>
      <c r="G22" s="45">
        <v>14</v>
      </c>
      <c r="H22" s="45">
        <v>14</v>
      </c>
      <c r="I22" s="45">
        <v>14</v>
      </c>
      <c r="J22" s="45">
        <v>14</v>
      </c>
      <c r="K22" s="45">
        <v>14</v>
      </c>
      <c r="L22" s="45">
        <v>14</v>
      </c>
      <c r="M22" s="45">
        <v>14</v>
      </c>
      <c r="N22" s="45">
        <v>14</v>
      </c>
      <c r="O22" s="45">
        <v>14</v>
      </c>
      <c r="P22" s="45">
        <v>14</v>
      </c>
      <c r="Q22" s="45">
        <v>14</v>
      </c>
      <c r="R22" s="45">
        <v>14</v>
      </c>
      <c r="S22" s="45">
        <v>14</v>
      </c>
      <c r="T22" s="45">
        <v>14</v>
      </c>
      <c r="U22" s="45">
        <v>14</v>
      </c>
      <c r="V22" s="45">
        <v>14</v>
      </c>
      <c r="W22" s="45">
        <v>14</v>
      </c>
      <c r="X22" s="45">
        <v>14</v>
      </c>
      <c r="Y22" s="45">
        <v>14</v>
      </c>
      <c r="Z22" s="45">
        <v>14</v>
      </c>
      <c r="AA22" s="45">
        <v>14</v>
      </c>
      <c r="AB22" s="45">
        <v>14</v>
      </c>
      <c r="AC22" s="45">
        <v>14</v>
      </c>
      <c r="AD22" s="45">
        <v>14</v>
      </c>
      <c r="AE22" s="45">
        <v>14</v>
      </c>
      <c r="AF22" s="45">
        <v>14</v>
      </c>
      <c r="AG22" s="49">
        <v>28</v>
      </c>
      <c r="AH22" s="47">
        <f t="shared" si="2"/>
        <v>14</v>
      </c>
      <c r="AI22" s="48">
        <f t="shared" si="3"/>
        <v>14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 t="s">
        <v>38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3</v>
      </c>
      <c r="J23" s="45">
        <v>5.5</v>
      </c>
      <c r="K23" s="45">
        <v>5.5</v>
      </c>
      <c r="L23" s="45">
        <v>5.5</v>
      </c>
      <c r="M23" s="45">
        <v>5.5</v>
      </c>
      <c r="N23" s="45">
        <v>5.5</v>
      </c>
      <c r="O23" s="45">
        <v>5.5</v>
      </c>
      <c r="P23" s="45">
        <v>5.5</v>
      </c>
      <c r="Q23" s="45">
        <v>0</v>
      </c>
      <c r="R23" s="45">
        <v>5.5</v>
      </c>
      <c r="S23" s="45">
        <v>5.5</v>
      </c>
      <c r="T23" s="45">
        <v>5.5</v>
      </c>
      <c r="U23" s="45">
        <v>5.5</v>
      </c>
      <c r="V23" s="45">
        <v>5.5</v>
      </c>
      <c r="W23" s="45">
        <v>5.5</v>
      </c>
      <c r="X23" s="45">
        <v>5.5</v>
      </c>
      <c r="Y23" s="45">
        <v>5.5</v>
      </c>
      <c r="Z23" s="45">
        <v>5.5</v>
      </c>
      <c r="AA23" s="45">
        <v>5.5</v>
      </c>
      <c r="AB23" s="45">
        <v>5.5</v>
      </c>
      <c r="AC23" s="45">
        <v>5.5</v>
      </c>
      <c r="AD23" s="45">
        <v>5.5</v>
      </c>
      <c r="AE23" s="45">
        <v>5.5</v>
      </c>
      <c r="AF23" s="45">
        <v>5.5</v>
      </c>
      <c r="AG23" s="51">
        <v>30</v>
      </c>
      <c r="AH23" s="47">
        <f t="shared" si="2"/>
        <v>5.5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 t="s">
        <v>40</v>
      </c>
      <c r="C24" s="45">
        <v>25.9</v>
      </c>
      <c r="D24" s="45">
        <v>25.9</v>
      </c>
      <c r="E24" s="45">
        <v>25.9</v>
      </c>
      <c r="F24" s="45">
        <v>25.9</v>
      </c>
      <c r="G24" s="45">
        <v>25.9</v>
      </c>
      <c r="H24" s="45">
        <v>25.9</v>
      </c>
      <c r="I24" s="45">
        <v>25.9</v>
      </c>
      <c r="J24" s="45">
        <v>25.9</v>
      </c>
      <c r="K24" s="45">
        <v>25.9</v>
      </c>
      <c r="L24" s="45">
        <v>25.9</v>
      </c>
      <c r="M24" s="45">
        <v>25.9</v>
      </c>
      <c r="N24" s="45">
        <v>25.9</v>
      </c>
      <c r="O24" s="45">
        <v>25.9</v>
      </c>
      <c r="P24" s="45">
        <v>25.9</v>
      </c>
      <c r="Q24" s="45">
        <v>0</v>
      </c>
      <c r="R24" s="45">
        <v>26.2</v>
      </c>
      <c r="S24" s="45">
        <v>26.2</v>
      </c>
      <c r="T24" s="45">
        <v>26.2</v>
      </c>
      <c r="U24" s="45">
        <v>26.2</v>
      </c>
      <c r="V24" s="45">
        <v>26.2</v>
      </c>
      <c r="W24" s="45">
        <v>26.2</v>
      </c>
      <c r="X24" s="45">
        <v>26.2</v>
      </c>
      <c r="Y24" s="45">
        <v>26.2</v>
      </c>
      <c r="Z24" s="45">
        <v>26.2</v>
      </c>
      <c r="AA24" s="45">
        <v>26.2</v>
      </c>
      <c r="AB24" s="45">
        <v>26.2</v>
      </c>
      <c r="AC24" s="45">
        <v>26.2</v>
      </c>
      <c r="AD24" s="45">
        <v>26.2</v>
      </c>
      <c r="AE24" s="45">
        <v>26.2</v>
      </c>
      <c r="AF24" s="45">
        <v>26.2</v>
      </c>
      <c r="AG24" s="49">
        <v>25</v>
      </c>
      <c r="AH24" s="47">
        <f t="shared" si="2"/>
        <v>26.2</v>
      </c>
      <c r="AI24" s="48">
        <f t="shared" si="3"/>
        <v>0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/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/>
      <c r="C26" s="45">
        <v>21.5</v>
      </c>
      <c r="D26" s="45">
        <v>21.5</v>
      </c>
      <c r="E26" s="45">
        <v>21.5</v>
      </c>
      <c r="F26" s="45">
        <v>21.5</v>
      </c>
      <c r="G26" s="45">
        <v>21.5</v>
      </c>
      <c r="H26" s="45">
        <v>21.5</v>
      </c>
      <c r="I26" s="45">
        <v>21.5</v>
      </c>
      <c r="J26" s="45">
        <v>21.5</v>
      </c>
      <c r="K26" s="45">
        <v>21.5</v>
      </c>
      <c r="L26" s="45">
        <v>21.5</v>
      </c>
      <c r="M26" s="45">
        <v>21.5</v>
      </c>
      <c r="N26" s="45">
        <v>21.5</v>
      </c>
      <c r="O26" s="45">
        <v>21.5</v>
      </c>
      <c r="P26" s="45">
        <v>21.5</v>
      </c>
      <c r="Q26" s="45">
        <v>21.5</v>
      </c>
      <c r="R26" s="45">
        <v>21.5</v>
      </c>
      <c r="S26" s="45">
        <v>21.5</v>
      </c>
      <c r="T26" s="45">
        <v>21.5</v>
      </c>
      <c r="U26" s="45">
        <v>21.5</v>
      </c>
      <c r="V26" s="45">
        <v>21.5</v>
      </c>
      <c r="W26" s="45">
        <v>21.5</v>
      </c>
      <c r="X26" s="45">
        <v>21.5</v>
      </c>
      <c r="Y26" s="45">
        <v>21.5</v>
      </c>
      <c r="Z26" s="45">
        <v>21.5</v>
      </c>
      <c r="AA26" s="45">
        <v>21.5</v>
      </c>
      <c r="AB26" s="45">
        <v>21.5</v>
      </c>
      <c r="AC26" s="45">
        <v>21.5</v>
      </c>
      <c r="AD26" s="45">
        <v>21.5</v>
      </c>
      <c r="AE26" s="45">
        <v>21.5</v>
      </c>
      <c r="AF26" s="45">
        <v>21.5</v>
      </c>
      <c r="AG26" s="49">
        <v>25</v>
      </c>
      <c r="AH26" s="47">
        <f t="shared" si="2"/>
        <v>21.5</v>
      </c>
      <c r="AI26" s="48">
        <f t="shared" si="3"/>
        <v>21.5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/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3</v>
      </c>
      <c r="J27" s="45">
        <v>5.5</v>
      </c>
      <c r="K27" s="45">
        <v>5.5</v>
      </c>
      <c r="L27" s="45">
        <v>5.5</v>
      </c>
      <c r="M27" s="45">
        <v>25</v>
      </c>
      <c r="N27" s="45">
        <v>25</v>
      </c>
      <c r="O27" s="45">
        <v>25</v>
      </c>
      <c r="P27" s="45">
        <v>25</v>
      </c>
      <c r="Q27" s="45">
        <v>0</v>
      </c>
      <c r="R27" s="45">
        <v>25</v>
      </c>
      <c r="S27" s="45">
        <v>25</v>
      </c>
      <c r="T27" s="45">
        <v>25</v>
      </c>
      <c r="U27" s="45">
        <v>25</v>
      </c>
      <c r="V27" s="45">
        <v>25</v>
      </c>
      <c r="W27" s="45">
        <v>25</v>
      </c>
      <c r="X27" s="45">
        <v>25</v>
      </c>
      <c r="Y27" s="45">
        <v>25</v>
      </c>
      <c r="Z27" s="45">
        <v>25</v>
      </c>
      <c r="AA27" s="45">
        <v>25</v>
      </c>
      <c r="AB27" s="45">
        <v>25</v>
      </c>
      <c r="AC27" s="45">
        <v>25</v>
      </c>
      <c r="AD27" s="45">
        <v>25</v>
      </c>
      <c r="AE27" s="45">
        <v>25</v>
      </c>
      <c r="AF27" s="45">
        <v>25</v>
      </c>
      <c r="AG27" s="49">
        <v>25</v>
      </c>
      <c r="AH27" s="47">
        <f t="shared" si="2"/>
        <v>25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/>
      <c r="C28" s="45">
        <v>23.7</v>
      </c>
      <c r="D28" s="45">
        <v>23.7</v>
      </c>
      <c r="E28" s="45">
        <v>23.7</v>
      </c>
      <c r="F28" s="45">
        <v>23.7</v>
      </c>
      <c r="G28" s="45">
        <v>23.7</v>
      </c>
      <c r="H28" s="45">
        <v>23.7</v>
      </c>
      <c r="I28" s="45">
        <v>23.7</v>
      </c>
      <c r="J28" s="45">
        <v>23.7</v>
      </c>
      <c r="K28" s="45">
        <v>23.7</v>
      </c>
      <c r="L28" s="45">
        <v>23.7</v>
      </c>
      <c r="M28" s="45">
        <v>23.7</v>
      </c>
      <c r="N28" s="45">
        <v>23.7</v>
      </c>
      <c r="O28" s="45">
        <v>23.7</v>
      </c>
      <c r="P28" s="45">
        <v>23.7</v>
      </c>
      <c r="Q28" s="45">
        <v>23.7</v>
      </c>
      <c r="R28" s="45">
        <v>23.7</v>
      </c>
      <c r="S28" s="45">
        <v>23.7</v>
      </c>
      <c r="T28" s="45">
        <v>23.7</v>
      </c>
      <c r="U28" s="45">
        <v>23.7</v>
      </c>
      <c r="V28" s="45">
        <v>23.7</v>
      </c>
      <c r="W28" s="45">
        <v>23.7</v>
      </c>
      <c r="X28" s="45">
        <v>23.7</v>
      </c>
      <c r="Y28" s="45">
        <v>23.7</v>
      </c>
      <c r="Z28" s="45">
        <v>23.7</v>
      </c>
      <c r="AA28" s="45">
        <v>23.7</v>
      </c>
      <c r="AB28" s="45">
        <v>23.7</v>
      </c>
      <c r="AC28" s="45">
        <v>23.7</v>
      </c>
      <c r="AD28" s="45">
        <v>23.7</v>
      </c>
      <c r="AE28" s="45">
        <v>23.7</v>
      </c>
      <c r="AF28" s="45">
        <v>23.7</v>
      </c>
      <c r="AG28" s="49">
        <v>23.5</v>
      </c>
      <c r="AH28" s="47">
        <f t="shared" si="2"/>
        <v>23.7</v>
      </c>
      <c r="AI28" s="48">
        <f t="shared" si="3"/>
        <v>23.7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/>
      <c r="C29" s="45">
        <v>20.5</v>
      </c>
      <c r="D29" s="45">
        <v>20.5</v>
      </c>
      <c r="E29" s="45">
        <v>20.5</v>
      </c>
      <c r="F29" s="45">
        <v>20.5</v>
      </c>
      <c r="G29" s="45">
        <v>20.5</v>
      </c>
      <c r="H29" s="45">
        <v>20.5</v>
      </c>
      <c r="I29" s="45">
        <v>20.5</v>
      </c>
      <c r="J29" s="45">
        <v>20.5</v>
      </c>
      <c r="K29" s="45">
        <v>20.5</v>
      </c>
      <c r="L29" s="45">
        <v>20.5</v>
      </c>
      <c r="M29" s="45">
        <v>20.5</v>
      </c>
      <c r="N29" s="45">
        <v>20.5</v>
      </c>
      <c r="O29" s="45">
        <v>20.5</v>
      </c>
      <c r="P29" s="45">
        <v>20.5</v>
      </c>
      <c r="Q29" s="45">
        <v>20.5</v>
      </c>
      <c r="R29" s="45">
        <v>20.5</v>
      </c>
      <c r="S29" s="45">
        <v>20.5</v>
      </c>
      <c r="T29" s="45">
        <v>20.5</v>
      </c>
      <c r="U29" s="45">
        <v>20.5</v>
      </c>
      <c r="V29" s="45">
        <v>20.5</v>
      </c>
      <c r="W29" s="45">
        <v>20.5</v>
      </c>
      <c r="X29" s="45">
        <v>20.5</v>
      </c>
      <c r="Y29" s="45">
        <v>20.5</v>
      </c>
      <c r="Z29" s="45">
        <v>20.5</v>
      </c>
      <c r="AA29" s="45">
        <v>20.5</v>
      </c>
      <c r="AB29" s="45">
        <v>20.5</v>
      </c>
      <c r="AC29" s="45">
        <v>20.5</v>
      </c>
      <c r="AD29" s="45">
        <v>20.5</v>
      </c>
      <c r="AE29" s="45">
        <v>20.5</v>
      </c>
      <c r="AF29" s="45">
        <v>20.5</v>
      </c>
      <c r="AG29" s="49">
        <v>22.2</v>
      </c>
      <c r="AH29" s="47">
        <f t="shared" si="2"/>
        <v>20.5</v>
      </c>
      <c r="AI29" s="48">
        <f t="shared" si="3"/>
        <v>20.5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/>
      <c r="C30" s="45">
        <v>19.2</v>
      </c>
      <c r="D30" s="45">
        <v>19.2</v>
      </c>
      <c r="E30" s="45">
        <v>19.2</v>
      </c>
      <c r="F30" s="45">
        <v>19.2</v>
      </c>
      <c r="G30" s="45">
        <v>19.2</v>
      </c>
      <c r="H30" s="45">
        <v>19.2</v>
      </c>
      <c r="I30" s="45">
        <v>19.2</v>
      </c>
      <c r="J30" s="45">
        <v>19.2</v>
      </c>
      <c r="K30" s="45">
        <v>19.2</v>
      </c>
      <c r="L30" s="45">
        <v>19.2</v>
      </c>
      <c r="M30" s="45">
        <v>19.2</v>
      </c>
      <c r="N30" s="45">
        <v>19.2</v>
      </c>
      <c r="O30" s="45">
        <v>19.2</v>
      </c>
      <c r="P30" s="45">
        <v>19.2</v>
      </c>
      <c r="Q30" s="45">
        <v>19.2</v>
      </c>
      <c r="R30" s="45">
        <v>19.2</v>
      </c>
      <c r="S30" s="45">
        <v>19.2</v>
      </c>
      <c r="T30" s="45">
        <v>19.2</v>
      </c>
      <c r="U30" s="45">
        <v>19.2</v>
      </c>
      <c r="V30" s="45">
        <v>19.2</v>
      </c>
      <c r="W30" s="45">
        <v>19.2</v>
      </c>
      <c r="X30" s="45">
        <v>19.2</v>
      </c>
      <c r="Y30" s="45">
        <v>19.2</v>
      </c>
      <c r="Z30" s="45">
        <v>19.2</v>
      </c>
      <c r="AA30" s="45">
        <v>19.2</v>
      </c>
      <c r="AB30" s="45">
        <v>19.2</v>
      </c>
      <c r="AC30" s="45">
        <v>19.2</v>
      </c>
      <c r="AD30" s="45">
        <v>19.2</v>
      </c>
      <c r="AE30" s="45">
        <v>19.2</v>
      </c>
      <c r="AF30" s="45">
        <v>19.2</v>
      </c>
      <c r="AG30" s="49">
        <v>22.1</v>
      </c>
      <c r="AH30" s="47">
        <f t="shared" si="2"/>
        <v>19.2</v>
      </c>
      <c r="AI30" s="48">
        <f t="shared" si="3"/>
        <v>19.2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/>
      <c r="C31" s="45">
        <v>15.5</v>
      </c>
      <c r="D31" s="45">
        <v>15.5</v>
      </c>
      <c r="E31" s="45">
        <v>15.5</v>
      </c>
      <c r="F31" s="45">
        <v>15.5</v>
      </c>
      <c r="G31" s="45">
        <v>15.5</v>
      </c>
      <c r="H31" s="45">
        <v>15.5</v>
      </c>
      <c r="I31" s="45">
        <v>15.5</v>
      </c>
      <c r="J31" s="45">
        <v>15.5</v>
      </c>
      <c r="K31" s="45">
        <v>15.5</v>
      </c>
      <c r="L31" s="45">
        <v>15.5</v>
      </c>
      <c r="M31" s="45">
        <v>15.5</v>
      </c>
      <c r="N31" s="45">
        <v>15.5</v>
      </c>
      <c r="O31" s="45">
        <v>15.5</v>
      </c>
      <c r="P31" s="45">
        <v>15.5</v>
      </c>
      <c r="Q31" s="45">
        <v>15.5</v>
      </c>
      <c r="R31" s="45">
        <v>15.5</v>
      </c>
      <c r="S31" s="45">
        <v>15.5</v>
      </c>
      <c r="T31" s="45">
        <v>15.5</v>
      </c>
      <c r="U31" s="45">
        <v>15.5</v>
      </c>
      <c r="V31" s="45">
        <v>15.5</v>
      </c>
      <c r="W31" s="45">
        <v>15.5</v>
      </c>
      <c r="X31" s="45">
        <v>15.5</v>
      </c>
      <c r="Y31" s="45">
        <v>15.5</v>
      </c>
      <c r="Z31" s="45">
        <v>15.5</v>
      </c>
      <c r="AA31" s="45">
        <v>15.5</v>
      </c>
      <c r="AB31" s="45">
        <v>15.5</v>
      </c>
      <c r="AC31" s="45">
        <v>15.5</v>
      </c>
      <c r="AD31" s="45">
        <v>15.5</v>
      </c>
      <c r="AE31" s="45">
        <v>15.5</v>
      </c>
      <c r="AF31" s="45">
        <v>15.5</v>
      </c>
      <c r="AG31" s="49">
        <v>22</v>
      </c>
      <c r="AH31" s="47">
        <f t="shared" si="2"/>
        <v>15.5</v>
      </c>
      <c r="AI31" s="48">
        <f t="shared" si="3"/>
        <v>15.5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/>
      <c r="C32" s="45">
        <v>24</v>
      </c>
      <c r="D32" s="45">
        <v>16</v>
      </c>
      <c r="E32" s="45">
        <v>16</v>
      </c>
      <c r="F32" s="45">
        <v>16</v>
      </c>
      <c r="G32" s="45">
        <v>16</v>
      </c>
      <c r="H32" s="45">
        <v>16</v>
      </c>
      <c r="I32" s="45">
        <v>16</v>
      </c>
      <c r="J32" s="45">
        <v>16</v>
      </c>
      <c r="K32" s="45">
        <v>16</v>
      </c>
      <c r="L32" s="45">
        <v>16</v>
      </c>
      <c r="M32" s="45">
        <v>16</v>
      </c>
      <c r="N32" s="45">
        <v>16</v>
      </c>
      <c r="O32" s="45">
        <v>16</v>
      </c>
      <c r="P32" s="45">
        <v>16</v>
      </c>
      <c r="Q32" s="45">
        <v>16</v>
      </c>
      <c r="R32" s="45">
        <v>17.399999999999999</v>
      </c>
      <c r="S32" s="45">
        <v>17.399999999999999</v>
      </c>
      <c r="T32" s="45">
        <v>17.399999999999999</v>
      </c>
      <c r="U32" s="45">
        <v>17.399999999999999</v>
      </c>
      <c r="V32" s="45">
        <v>17.399999999999999</v>
      </c>
      <c r="W32" s="45">
        <v>17.399999999999999</v>
      </c>
      <c r="X32" s="45">
        <v>17.399999999999999</v>
      </c>
      <c r="Y32" s="45">
        <v>17.399999999999999</v>
      </c>
      <c r="Z32" s="45">
        <v>17.399999999999999</v>
      </c>
      <c r="AA32" s="45">
        <v>17.399999999999999</v>
      </c>
      <c r="AB32" s="45">
        <v>17.399999999999999</v>
      </c>
      <c r="AC32" s="45">
        <v>17.399999999999999</v>
      </c>
      <c r="AD32" s="45">
        <v>17.399999999999999</v>
      </c>
      <c r="AE32" s="45">
        <v>17.399999999999999</v>
      </c>
      <c r="AF32" s="45">
        <v>17.399999999999999</v>
      </c>
      <c r="AG32" s="49">
        <v>22</v>
      </c>
      <c r="AH32" s="47">
        <f t="shared" si="2"/>
        <v>24</v>
      </c>
      <c r="AI32" s="48">
        <f t="shared" si="3"/>
        <v>16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/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49">
        <v>20</v>
      </c>
      <c r="AH33" s="47">
        <f t="shared" si="2"/>
        <v>6</v>
      </c>
      <c r="AI33" s="48">
        <f t="shared" si="3"/>
        <v>6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/>
      <c r="C34" s="45">
        <v>10</v>
      </c>
      <c r="D34" s="45">
        <v>10</v>
      </c>
      <c r="E34" s="45">
        <v>10</v>
      </c>
      <c r="F34" s="45">
        <v>10</v>
      </c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0</v>
      </c>
      <c r="R34" s="45">
        <v>10</v>
      </c>
      <c r="S34" s="45">
        <v>10</v>
      </c>
      <c r="T34" s="45">
        <v>10</v>
      </c>
      <c r="U34" s="45">
        <v>10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49">
        <v>18</v>
      </c>
      <c r="AH34" s="47">
        <f t="shared" si="2"/>
        <v>10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/>
      <c r="C35" s="45">
        <v>7.5</v>
      </c>
      <c r="D35" s="45">
        <v>7.5</v>
      </c>
      <c r="E35" s="45">
        <v>7.5</v>
      </c>
      <c r="F35" s="45">
        <v>7.5</v>
      </c>
      <c r="G35" s="45">
        <v>7.5</v>
      </c>
      <c r="H35" s="45">
        <v>7.5</v>
      </c>
      <c r="I35" s="45">
        <v>7.5</v>
      </c>
      <c r="J35" s="45">
        <v>7.5</v>
      </c>
      <c r="K35" s="45">
        <v>7.5</v>
      </c>
      <c r="L35" s="45">
        <v>7.5</v>
      </c>
      <c r="M35" s="45">
        <v>7.5</v>
      </c>
      <c r="N35" s="45">
        <v>7.5</v>
      </c>
      <c r="O35" s="45">
        <v>7.5</v>
      </c>
      <c r="P35" s="45">
        <v>7.5</v>
      </c>
      <c r="Q35" s="45">
        <v>7.5</v>
      </c>
      <c r="R35" s="45">
        <v>7.5</v>
      </c>
      <c r="S35" s="45">
        <v>7.5</v>
      </c>
      <c r="T35" s="45">
        <v>7.5</v>
      </c>
      <c r="U35" s="45">
        <v>7.5</v>
      </c>
      <c r="V35" s="45">
        <v>7.5</v>
      </c>
      <c r="W35" s="45">
        <v>7.5</v>
      </c>
      <c r="X35" s="45">
        <v>7.5</v>
      </c>
      <c r="Y35" s="45">
        <v>7.5</v>
      </c>
      <c r="Z35" s="45">
        <v>7.5</v>
      </c>
      <c r="AA35" s="45">
        <v>7.5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9">
        <v>14.9</v>
      </c>
      <c r="AH35" s="47">
        <f t="shared" si="2"/>
        <v>7.5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/>
      <c r="C36" s="45">
        <v>3.8</v>
      </c>
      <c r="D36" s="45">
        <v>3.8</v>
      </c>
      <c r="E36" s="45">
        <v>3.8</v>
      </c>
      <c r="F36" s="45">
        <v>3.8</v>
      </c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>
        <v>3.8</v>
      </c>
      <c r="AB36" s="45">
        <v>3.8</v>
      </c>
      <c r="AC36" s="45">
        <v>3.8</v>
      </c>
      <c r="AD36" s="45">
        <v>3.8</v>
      </c>
      <c r="AE36" s="45">
        <v>3.8</v>
      </c>
      <c r="AF36" s="45">
        <v>3.8</v>
      </c>
      <c r="AG36" s="49">
        <v>14.9</v>
      </c>
      <c r="AH36" s="47">
        <f t="shared" si="2"/>
        <v>3.8</v>
      </c>
      <c r="AI36" s="48">
        <f t="shared" si="3"/>
        <v>3.8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/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49">
        <v>13.6</v>
      </c>
      <c r="AH37" s="47">
        <f t="shared" si="2"/>
        <v>4</v>
      </c>
      <c r="AI37" s="48">
        <f t="shared" si="3"/>
        <v>4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/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/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2</v>
      </c>
      <c r="J39" s="45">
        <v>3.5</v>
      </c>
      <c r="K39" s="45">
        <v>3.5</v>
      </c>
      <c r="L39" s="45">
        <v>3.5</v>
      </c>
      <c r="M39" s="45">
        <v>9</v>
      </c>
      <c r="N39" s="45">
        <v>9</v>
      </c>
      <c r="O39" s="45">
        <v>9</v>
      </c>
      <c r="P39" s="45">
        <v>9</v>
      </c>
      <c r="Q39" s="45">
        <v>0</v>
      </c>
      <c r="R39" s="45">
        <v>9</v>
      </c>
      <c r="S39" s="45">
        <v>9</v>
      </c>
      <c r="T39" s="45">
        <v>9</v>
      </c>
      <c r="U39" s="45">
        <v>9</v>
      </c>
      <c r="V39" s="45">
        <v>9</v>
      </c>
      <c r="W39" s="45">
        <v>9</v>
      </c>
      <c r="X39" s="45">
        <v>9</v>
      </c>
      <c r="Y39" s="45">
        <v>9</v>
      </c>
      <c r="Z39" s="45">
        <v>9</v>
      </c>
      <c r="AA39" s="45">
        <v>9</v>
      </c>
      <c r="AB39" s="45">
        <v>9</v>
      </c>
      <c r="AC39" s="45">
        <v>9</v>
      </c>
      <c r="AD39" s="45">
        <v>9</v>
      </c>
      <c r="AE39" s="45">
        <v>9</v>
      </c>
      <c r="AF39" s="45">
        <v>9</v>
      </c>
      <c r="AG39" s="49">
        <v>12</v>
      </c>
      <c r="AH39" s="47">
        <f t="shared" si="2"/>
        <v>9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/>
      <c r="C40" s="45">
        <v>2.5</v>
      </c>
      <c r="D40" s="45">
        <v>2.5</v>
      </c>
      <c r="E40" s="45">
        <v>2.5</v>
      </c>
      <c r="F40" s="45">
        <v>2.5</v>
      </c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>
        <v>2.5</v>
      </c>
      <c r="N40" s="45">
        <v>2.5</v>
      </c>
      <c r="O40" s="45">
        <v>2.5</v>
      </c>
      <c r="P40" s="45">
        <v>2.5</v>
      </c>
      <c r="Q40" s="45">
        <v>0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>
        <v>2.5</v>
      </c>
      <c r="AB40" s="45">
        <v>2.5</v>
      </c>
      <c r="AC40" s="45">
        <v>2.5</v>
      </c>
      <c r="AD40" s="45">
        <v>2.5</v>
      </c>
      <c r="AE40" s="45">
        <v>2.5</v>
      </c>
      <c r="AF40" s="45">
        <v>2.5</v>
      </c>
      <c r="AG40" s="49">
        <v>12</v>
      </c>
      <c r="AH40" s="47">
        <f t="shared" si="2"/>
        <v>2.5</v>
      </c>
      <c r="AI40" s="48">
        <f t="shared" si="3"/>
        <v>0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/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49">
        <v>12</v>
      </c>
      <c r="AH41" s="47">
        <f t="shared" si="2"/>
        <v>8</v>
      </c>
      <c r="AI41" s="48">
        <f t="shared" si="3"/>
        <v>8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/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/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/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/>
      <c r="C45" s="45">
        <v>9.6</v>
      </c>
      <c r="D45" s="45">
        <v>9.6</v>
      </c>
      <c r="E45" s="45">
        <v>9.6</v>
      </c>
      <c r="F45" s="45">
        <v>9.6</v>
      </c>
      <c r="G45" s="45">
        <v>9.6</v>
      </c>
      <c r="H45" s="45">
        <v>9.6</v>
      </c>
      <c r="I45" s="45">
        <v>9.6</v>
      </c>
      <c r="J45" s="45">
        <v>9.6</v>
      </c>
      <c r="K45" s="45">
        <v>9.6</v>
      </c>
      <c r="L45" s="45">
        <v>9.6</v>
      </c>
      <c r="M45" s="45">
        <v>9.6</v>
      </c>
      <c r="N45" s="45">
        <v>9.6</v>
      </c>
      <c r="O45" s="45">
        <v>9.6</v>
      </c>
      <c r="P45" s="45">
        <v>9.6</v>
      </c>
      <c r="Q45" s="45">
        <v>0</v>
      </c>
      <c r="R45" s="45">
        <v>9.6</v>
      </c>
      <c r="S45" s="45">
        <v>9.6</v>
      </c>
      <c r="T45" s="45">
        <v>9.6</v>
      </c>
      <c r="U45" s="45">
        <v>9.6</v>
      </c>
      <c r="V45" s="45">
        <v>9.6</v>
      </c>
      <c r="W45" s="45">
        <v>9.6</v>
      </c>
      <c r="X45" s="45">
        <v>9.6</v>
      </c>
      <c r="Y45" s="45">
        <v>9.6</v>
      </c>
      <c r="Z45" s="45">
        <v>9.6</v>
      </c>
      <c r="AA45" s="45">
        <v>9.6</v>
      </c>
      <c r="AB45" s="45">
        <v>9.6</v>
      </c>
      <c r="AC45" s="45">
        <v>9.6</v>
      </c>
      <c r="AD45" s="45">
        <v>9.6</v>
      </c>
      <c r="AE45" s="45">
        <v>9.6</v>
      </c>
      <c r="AF45" s="45">
        <v>9.6</v>
      </c>
      <c r="AG45" s="54">
        <v>10</v>
      </c>
      <c r="AH45" s="47">
        <f t="shared" si="2"/>
        <v>9.6</v>
      </c>
      <c r="AI45" s="48">
        <f t="shared" si="3"/>
        <v>0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/>
      <c r="C46" s="45">
        <v>7</v>
      </c>
      <c r="D46" s="45">
        <v>7</v>
      </c>
      <c r="E46" s="45">
        <v>7</v>
      </c>
      <c r="F46" s="45">
        <v>7</v>
      </c>
      <c r="G46" s="45">
        <v>7</v>
      </c>
      <c r="H46" s="45">
        <v>7</v>
      </c>
      <c r="I46" s="45">
        <v>7</v>
      </c>
      <c r="J46" s="45">
        <v>7</v>
      </c>
      <c r="K46" s="45">
        <v>7</v>
      </c>
      <c r="L46" s="45">
        <v>7</v>
      </c>
      <c r="M46" s="45">
        <v>7</v>
      </c>
      <c r="N46" s="45">
        <v>7</v>
      </c>
      <c r="O46" s="45">
        <v>7</v>
      </c>
      <c r="P46" s="45">
        <v>7</v>
      </c>
      <c r="Q46" s="45">
        <v>7</v>
      </c>
      <c r="R46" s="45">
        <v>7</v>
      </c>
      <c r="S46" s="45">
        <v>7</v>
      </c>
      <c r="T46" s="45">
        <v>7</v>
      </c>
      <c r="U46" s="45">
        <v>7</v>
      </c>
      <c r="V46" s="45">
        <v>7</v>
      </c>
      <c r="W46" s="45">
        <v>7</v>
      </c>
      <c r="X46" s="45">
        <v>7</v>
      </c>
      <c r="Y46" s="45">
        <v>7</v>
      </c>
      <c r="Z46" s="45">
        <v>7</v>
      </c>
      <c r="AA46" s="45">
        <v>7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7</v>
      </c>
      <c r="AI46" s="48">
        <f t="shared" si="3"/>
        <v>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/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2</v>
      </c>
      <c r="L47" s="45">
        <v>6.8</v>
      </c>
      <c r="M47" s="45">
        <v>6.8</v>
      </c>
      <c r="N47" s="45">
        <v>6.8</v>
      </c>
      <c r="O47" s="45">
        <v>6.8</v>
      </c>
      <c r="P47" s="45">
        <v>6.8</v>
      </c>
      <c r="Q47" s="45">
        <v>6.8</v>
      </c>
      <c r="R47" s="45">
        <v>6.8</v>
      </c>
      <c r="S47" s="45">
        <v>6.8</v>
      </c>
      <c r="T47" s="45">
        <v>6.8</v>
      </c>
      <c r="U47" s="45">
        <v>6.8</v>
      </c>
      <c r="V47" s="45">
        <v>6.8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6.8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/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45">
        <v>250</v>
      </c>
      <c r="AB48" s="45">
        <v>250</v>
      </c>
      <c r="AC48" s="45">
        <v>250</v>
      </c>
      <c r="AD48" s="45">
        <v>250</v>
      </c>
      <c r="AE48" s="45">
        <v>250</v>
      </c>
      <c r="AF48" s="45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>
        <f t="shared" ref="L49:Q49" si="4">56+29</f>
        <v>85</v>
      </c>
      <c r="M49" s="50">
        <f t="shared" si="4"/>
        <v>85</v>
      </c>
      <c r="N49" s="50">
        <f t="shared" si="4"/>
        <v>85</v>
      </c>
      <c r="O49" s="50">
        <f t="shared" si="4"/>
        <v>85</v>
      </c>
      <c r="P49" s="50">
        <f t="shared" si="4"/>
        <v>85</v>
      </c>
      <c r="Q49" s="50">
        <f t="shared" si="4"/>
        <v>85</v>
      </c>
      <c r="R49" s="50">
        <v>85</v>
      </c>
      <c r="S49" s="50">
        <v>85</v>
      </c>
      <c r="T49" s="50">
        <v>85</v>
      </c>
      <c r="U49" s="50">
        <v>85</v>
      </c>
      <c r="V49" s="50">
        <v>85</v>
      </c>
      <c r="W49" s="50">
        <v>85</v>
      </c>
      <c r="X49" s="50">
        <v>85</v>
      </c>
      <c r="Y49" s="50">
        <v>85</v>
      </c>
      <c r="Z49" s="50">
        <v>85</v>
      </c>
      <c r="AA49" s="45">
        <v>85</v>
      </c>
      <c r="AB49" s="45">
        <v>85</v>
      </c>
      <c r="AC49" s="45">
        <v>85</v>
      </c>
      <c r="AD49" s="45">
        <v>85</v>
      </c>
      <c r="AE49" s="45">
        <v>85</v>
      </c>
      <c r="AF49" s="45">
        <v>85</v>
      </c>
      <c r="AG49" s="54">
        <v>240</v>
      </c>
      <c r="AH49" s="47">
        <f t="shared" si="2"/>
        <v>85</v>
      </c>
      <c r="AI49" s="48">
        <f t="shared" si="3"/>
        <v>85</v>
      </c>
      <c r="AK49" s="74"/>
    </row>
    <row r="50" spans="1:41" ht="15.75" thickBot="1" x14ac:dyDescent="0.3">
      <c r="A50" s="58" t="s">
        <v>66</v>
      </c>
      <c r="B50" s="59">
        <f t="shared" ref="B50:AF50" si="5">SUM(B11:B48)</f>
        <v>65</v>
      </c>
      <c r="C50" s="59">
        <f t="shared" si="5"/>
        <v>853.4</v>
      </c>
      <c r="D50" s="59">
        <f t="shared" si="5"/>
        <v>845.4</v>
      </c>
      <c r="E50" s="59">
        <f t="shared" si="5"/>
        <v>845.4</v>
      </c>
      <c r="F50" s="59">
        <f t="shared" si="5"/>
        <v>845.4</v>
      </c>
      <c r="G50" s="59">
        <f t="shared" si="5"/>
        <v>855.4</v>
      </c>
      <c r="H50" s="59">
        <f t="shared" si="5"/>
        <v>855.4</v>
      </c>
      <c r="I50" s="59">
        <f t="shared" si="5"/>
        <v>872.4</v>
      </c>
      <c r="J50" s="59">
        <f t="shared" si="5"/>
        <v>883.9</v>
      </c>
      <c r="K50" s="59">
        <f t="shared" si="5"/>
        <v>885.9</v>
      </c>
      <c r="L50" s="59">
        <f t="shared" si="5"/>
        <v>890.69999999999993</v>
      </c>
      <c r="M50" s="59">
        <f t="shared" si="5"/>
        <v>912.99999999999989</v>
      </c>
      <c r="N50" s="59">
        <f t="shared" si="5"/>
        <v>912.99999999999989</v>
      </c>
      <c r="O50" s="59">
        <f t="shared" si="5"/>
        <v>912.99999999999989</v>
      </c>
      <c r="P50" s="59">
        <f t="shared" si="5"/>
        <v>912.99999999999989</v>
      </c>
      <c r="Q50" s="59">
        <f t="shared" si="5"/>
        <v>656.9</v>
      </c>
      <c r="R50" s="59">
        <f t="shared" si="5"/>
        <v>929.59999999999991</v>
      </c>
      <c r="S50" s="59">
        <f t="shared" si="5"/>
        <v>929.59999999999991</v>
      </c>
      <c r="T50" s="59">
        <f t="shared" si="5"/>
        <v>925.3</v>
      </c>
      <c r="U50" s="59">
        <f t="shared" si="5"/>
        <v>929.69999999999993</v>
      </c>
      <c r="V50" s="59">
        <f t="shared" si="5"/>
        <v>929.8</v>
      </c>
      <c r="W50" s="59">
        <f t="shared" si="5"/>
        <v>920.8</v>
      </c>
      <c r="X50" s="59">
        <f t="shared" si="5"/>
        <v>921.2</v>
      </c>
      <c r="Y50" s="59">
        <f t="shared" si="5"/>
        <v>921.2</v>
      </c>
      <c r="Z50" s="59">
        <f t="shared" ref="Z50" si="6">SUM(Z11:Z48)</f>
        <v>921.2</v>
      </c>
      <c r="AA50" s="50">
        <f t="shared" ref="AA50" si="7">SUM(AA11:AA48)</f>
        <v>935.30000000000007</v>
      </c>
      <c r="AB50" s="59">
        <f t="shared" si="5"/>
        <v>885.8</v>
      </c>
      <c r="AC50" s="59">
        <f t="shared" si="5"/>
        <v>885.8</v>
      </c>
      <c r="AD50" s="59">
        <f t="shared" si="5"/>
        <v>885.8</v>
      </c>
      <c r="AE50" s="59">
        <f t="shared" si="5"/>
        <v>885.8</v>
      </c>
      <c r="AF50" s="59">
        <f t="shared" si="5"/>
        <v>885.8</v>
      </c>
      <c r="AG50" s="60">
        <f>SUM(AG13:AG48)</f>
        <v>922.14</v>
      </c>
      <c r="AH50" s="47">
        <f t="shared" si="2"/>
        <v>935.30000000000007</v>
      </c>
      <c r="AI50" s="48">
        <f t="shared" si="3"/>
        <v>65</v>
      </c>
      <c r="AK50" s="74"/>
    </row>
    <row r="51" spans="1:41" x14ac:dyDescent="0.25">
      <c r="A51" s="61" t="s">
        <v>67</v>
      </c>
      <c r="B51" s="45"/>
      <c r="C51" s="45">
        <v>350</v>
      </c>
      <c r="D51" s="45">
        <v>350</v>
      </c>
      <c r="E51" s="45">
        <v>350</v>
      </c>
      <c r="F51" s="45">
        <v>380</v>
      </c>
      <c r="G51" s="45">
        <v>380</v>
      </c>
      <c r="H51" s="45">
        <v>380</v>
      </c>
      <c r="I51" s="45">
        <v>370</v>
      </c>
      <c r="J51" s="45">
        <v>335</v>
      </c>
      <c r="K51" s="45">
        <v>335</v>
      </c>
      <c r="L51" s="45">
        <v>325</v>
      </c>
      <c r="M51" s="45">
        <v>325</v>
      </c>
      <c r="N51" s="45">
        <v>325</v>
      </c>
      <c r="O51" s="45">
        <v>325</v>
      </c>
      <c r="P51" s="45">
        <v>325</v>
      </c>
      <c r="Q51" s="45">
        <v>325</v>
      </c>
      <c r="R51" s="62">
        <v>316</v>
      </c>
      <c r="S51" s="62">
        <v>310</v>
      </c>
      <c r="T51" s="45">
        <v>310</v>
      </c>
      <c r="U51" s="45">
        <v>270</v>
      </c>
      <c r="V51" s="45">
        <v>240</v>
      </c>
      <c r="W51" s="45">
        <v>210</v>
      </c>
      <c r="X51" s="45">
        <v>209</v>
      </c>
      <c r="Y51" s="45">
        <v>190</v>
      </c>
      <c r="Z51" s="45">
        <v>190</v>
      </c>
      <c r="AA51" s="50">
        <v>250</v>
      </c>
      <c r="AB51" s="50">
        <v>220</v>
      </c>
      <c r="AC51" s="45">
        <v>222</v>
      </c>
      <c r="AD51" s="45">
        <v>250</v>
      </c>
      <c r="AE51" s="45">
        <v>354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190</v>
      </c>
      <c r="AK51" s="74"/>
    </row>
    <row r="52" spans="1:41" x14ac:dyDescent="0.25">
      <c r="A52" s="63" t="s">
        <v>68</v>
      </c>
      <c r="B52" s="64"/>
      <c r="C52" s="64">
        <v>45</v>
      </c>
      <c r="D52" s="64">
        <v>45</v>
      </c>
      <c r="E52" s="64">
        <v>45</v>
      </c>
      <c r="F52" s="64">
        <v>50</v>
      </c>
      <c r="G52" s="64">
        <v>50</v>
      </c>
      <c r="H52" s="64">
        <v>50</v>
      </c>
      <c r="I52" s="64">
        <v>50</v>
      </c>
      <c r="J52" s="64">
        <v>50</v>
      </c>
      <c r="K52" s="64">
        <v>52</v>
      </c>
      <c r="L52" s="64">
        <v>52</v>
      </c>
      <c r="M52" s="64">
        <v>52</v>
      </c>
      <c r="N52" s="64">
        <v>52</v>
      </c>
      <c r="O52" s="64">
        <v>52</v>
      </c>
      <c r="P52" s="64">
        <v>52</v>
      </c>
      <c r="Q52" s="64">
        <v>52</v>
      </c>
      <c r="R52" s="64">
        <v>52</v>
      </c>
      <c r="S52" s="64">
        <v>52</v>
      </c>
      <c r="T52" s="64">
        <v>52</v>
      </c>
      <c r="U52" s="64">
        <v>52</v>
      </c>
      <c r="V52" s="64">
        <v>52</v>
      </c>
      <c r="W52" s="64">
        <v>52</v>
      </c>
      <c r="X52" s="64">
        <v>52</v>
      </c>
      <c r="Y52" s="64">
        <v>52</v>
      </c>
      <c r="Z52" s="64">
        <v>52</v>
      </c>
      <c r="AA52" s="50">
        <v>52</v>
      </c>
      <c r="AB52" s="50">
        <v>52</v>
      </c>
      <c r="AC52" s="64">
        <v>52</v>
      </c>
      <c r="AD52" s="64">
        <v>52</v>
      </c>
      <c r="AE52" s="64">
        <v>52</v>
      </c>
      <c r="AF52" s="64">
        <v>52</v>
      </c>
      <c r="AG52" s="54">
        <v>60</v>
      </c>
      <c r="AH52" s="47">
        <f t="shared" si="2"/>
        <v>52</v>
      </c>
      <c r="AI52" s="48">
        <f t="shared" si="3"/>
        <v>45</v>
      </c>
      <c r="AK52" s="74"/>
    </row>
    <row r="53" spans="1:41" ht="15.75" thickBot="1" x14ac:dyDescent="0.3">
      <c r="A53" s="65" t="s">
        <v>69</v>
      </c>
      <c r="B53" s="66"/>
      <c r="C53" s="66">
        <v>20.100000000000001</v>
      </c>
      <c r="D53" s="66">
        <v>20.100000000000001</v>
      </c>
      <c r="E53" s="66">
        <v>20.100000000000001</v>
      </c>
      <c r="F53" s="66">
        <v>22.5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22.4</v>
      </c>
      <c r="M53" s="66">
        <v>22.3</v>
      </c>
      <c r="N53" s="66">
        <v>22.3</v>
      </c>
      <c r="O53" s="66">
        <v>22.3</v>
      </c>
      <c r="P53" s="66">
        <v>22.3</v>
      </c>
      <c r="Q53" s="66">
        <v>22.3</v>
      </c>
      <c r="R53" s="66">
        <v>22.3</v>
      </c>
      <c r="S53" s="66">
        <v>22.3</v>
      </c>
      <c r="T53" s="66">
        <v>22.3</v>
      </c>
      <c r="U53" s="66">
        <v>22.3</v>
      </c>
      <c r="V53" s="66">
        <v>22.3</v>
      </c>
      <c r="W53" s="66">
        <v>22.3</v>
      </c>
      <c r="X53" s="66">
        <v>22.3</v>
      </c>
      <c r="Y53" s="66">
        <v>22.3</v>
      </c>
      <c r="Z53" s="66">
        <v>22.5</v>
      </c>
      <c r="AA53" s="50">
        <v>22.5</v>
      </c>
      <c r="AB53" s="50">
        <v>22.5</v>
      </c>
      <c r="AC53" s="66">
        <v>22</v>
      </c>
      <c r="AD53" s="66">
        <v>22</v>
      </c>
      <c r="AE53" s="66">
        <v>22</v>
      </c>
      <c r="AF53" s="66">
        <v>22</v>
      </c>
      <c r="AG53" s="67">
        <v>22.1</v>
      </c>
      <c r="AH53" s="47">
        <f t="shared" si="2"/>
        <v>22.5</v>
      </c>
      <c r="AI53" s="48">
        <f t="shared" si="3"/>
        <v>20.100000000000001</v>
      </c>
      <c r="AK53" s="74"/>
    </row>
    <row r="54" spans="1:41" ht="15.75" thickBot="1" x14ac:dyDescent="0.3">
      <c r="A54" s="68" t="s">
        <v>70</v>
      </c>
      <c r="B54" s="59">
        <f t="shared" ref="B54:AG54" si="8">SUM(B51:B53)</f>
        <v>0</v>
      </c>
      <c r="C54" s="59">
        <f t="shared" si="8"/>
        <v>415.1</v>
      </c>
      <c r="D54" s="59">
        <f t="shared" si="8"/>
        <v>415.1</v>
      </c>
      <c r="E54" s="59">
        <f t="shared" si="8"/>
        <v>415.1</v>
      </c>
      <c r="F54" s="59">
        <f t="shared" si="8"/>
        <v>452.5</v>
      </c>
      <c r="G54" s="59">
        <f t="shared" si="8"/>
        <v>452.4</v>
      </c>
      <c r="H54" s="59">
        <f t="shared" si="8"/>
        <v>452.4</v>
      </c>
      <c r="I54" s="59">
        <f t="shared" si="8"/>
        <v>442.4</v>
      </c>
      <c r="J54" s="59">
        <f t="shared" si="8"/>
        <v>407.4</v>
      </c>
      <c r="K54" s="59">
        <f t="shared" si="8"/>
        <v>409.4</v>
      </c>
      <c r="L54" s="59">
        <f t="shared" si="8"/>
        <v>399.4</v>
      </c>
      <c r="M54" s="59">
        <f t="shared" si="8"/>
        <v>399.3</v>
      </c>
      <c r="N54" s="59">
        <f t="shared" si="8"/>
        <v>399.3</v>
      </c>
      <c r="O54" s="59">
        <f t="shared" si="8"/>
        <v>399.3</v>
      </c>
      <c r="P54" s="59">
        <f t="shared" si="8"/>
        <v>399.3</v>
      </c>
      <c r="Q54" s="59">
        <f t="shared" si="8"/>
        <v>399.3</v>
      </c>
      <c r="R54" s="59">
        <f t="shared" si="8"/>
        <v>390.3</v>
      </c>
      <c r="S54" s="59">
        <f t="shared" si="8"/>
        <v>384.3</v>
      </c>
      <c r="T54" s="59">
        <f t="shared" si="8"/>
        <v>384.3</v>
      </c>
      <c r="U54" s="59">
        <f t="shared" si="8"/>
        <v>344.3</v>
      </c>
      <c r="V54" s="59">
        <f t="shared" si="8"/>
        <v>314.3</v>
      </c>
      <c r="W54" s="59">
        <f t="shared" si="8"/>
        <v>284.3</v>
      </c>
      <c r="X54" s="59">
        <f t="shared" si="8"/>
        <v>283.3</v>
      </c>
      <c r="Y54" s="59">
        <f t="shared" si="8"/>
        <v>264.3</v>
      </c>
      <c r="Z54" s="59">
        <f t="shared" si="8"/>
        <v>264.5</v>
      </c>
      <c r="AA54" s="50">
        <f t="shared" ref="AA54" si="9">SUM(AA51:AA53)</f>
        <v>324.5</v>
      </c>
      <c r="AB54" s="59">
        <f t="shared" si="8"/>
        <v>294.5</v>
      </c>
      <c r="AC54" s="59">
        <f t="shared" si="8"/>
        <v>296</v>
      </c>
      <c r="AD54" s="59">
        <f t="shared" si="8"/>
        <v>324</v>
      </c>
      <c r="AE54" s="59">
        <f t="shared" si="8"/>
        <v>428</v>
      </c>
      <c r="AF54" s="59">
        <f t="shared" si="8"/>
        <v>530</v>
      </c>
      <c r="AG54" s="60">
        <f t="shared" si="8"/>
        <v>538.1</v>
      </c>
      <c r="AH54" s="47">
        <f t="shared" si="2"/>
        <v>530</v>
      </c>
      <c r="AI54" s="48">
        <f t="shared" si="3"/>
        <v>0</v>
      </c>
      <c r="AK54" s="74"/>
    </row>
    <row r="55" spans="1:41" x14ac:dyDescent="0.25">
      <c r="A55" s="44" t="s">
        <v>71</v>
      </c>
      <c r="B55" s="45"/>
      <c r="C55" s="45">
        <v>101</v>
      </c>
      <c r="D55" s="45">
        <v>137</v>
      </c>
      <c r="E55" s="45">
        <v>137</v>
      </c>
      <c r="F55" s="45">
        <v>137.4</v>
      </c>
      <c r="G55" s="45">
        <v>143.1</v>
      </c>
      <c r="H55" s="45">
        <v>142.69999999999999</v>
      </c>
      <c r="I55" s="45">
        <v>142.80000000000001</v>
      </c>
      <c r="J55" s="45">
        <v>143</v>
      </c>
      <c r="K55" s="45">
        <v>145.19999999999999</v>
      </c>
      <c r="L55" s="45">
        <v>145.19999999999999</v>
      </c>
      <c r="M55" s="45">
        <v>145.19999999999999</v>
      </c>
      <c r="N55" s="45">
        <v>143.30000000000001</v>
      </c>
      <c r="O55" s="45">
        <v>143.30000000000001</v>
      </c>
      <c r="P55" s="45">
        <v>144</v>
      </c>
      <c r="Q55" s="45">
        <v>0</v>
      </c>
      <c r="R55" s="45">
        <v>144</v>
      </c>
      <c r="S55" s="45">
        <v>142.69999999999999</v>
      </c>
      <c r="T55" s="45">
        <v>142.80000000000001</v>
      </c>
      <c r="U55" s="45">
        <v>142</v>
      </c>
      <c r="V55" s="45">
        <v>142.5</v>
      </c>
      <c r="W55" s="45">
        <v>142.5</v>
      </c>
      <c r="X55" s="45">
        <v>143</v>
      </c>
      <c r="Y55" s="45">
        <v>143.6</v>
      </c>
      <c r="Z55" s="45">
        <v>143.9</v>
      </c>
      <c r="AA55" s="50">
        <v>143.80000000000001</v>
      </c>
      <c r="AB55" s="50">
        <v>143.80000000000001</v>
      </c>
      <c r="AC55" s="45">
        <v>144</v>
      </c>
      <c r="AD55" s="45">
        <v>144</v>
      </c>
      <c r="AE55" s="45">
        <v>144</v>
      </c>
      <c r="AF55" s="45">
        <v>144</v>
      </c>
      <c r="AG55" s="51">
        <v>144</v>
      </c>
      <c r="AH55" s="47">
        <f t="shared" si="2"/>
        <v>145.19999999999999</v>
      </c>
      <c r="AI55" s="48">
        <f t="shared" si="3"/>
        <v>0</v>
      </c>
      <c r="AK55" s="74"/>
    </row>
    <row r="56" spans="1:41" x14ac:dyDescent="0.25">
      <c r="A56" s="53" t="s">
        <v>72</v>
      </c>
      <c r="B56" s="64"/>
      <c r="C56" s="64">
        <v>45</v>
      </c>
      <c r="D56" s="64">
        <v>65</v>
      </c>
      <c r="E56" s="64">
        <v>55</v>
      </c>
      <c r="F56" s="64">
        <v>60.3</v>
      </c>
      <c r="G56" s="64">
        <v>69.900000000000006</v>
      </c>
      <c r="H56" s="64">
        <v>69.599999999999994</v>
      </c>
      <c r="I56" s="64">
        <v>69.8</v>
      </c>
      <c r="J56" s="64">
        <v>70.7</v>
      </c>
      <c r="K56" s="64">
        <v>69.900000000000006</v>
      </c>
      <c r="L56" s="64">
        <v>70.599999999999994</v>
      </c>
      <c r="M56" s="64">
        <v>70.599999999999994</v>
      </c>
      <c r="N56" s="64">
        <v>70.900000000000006</v>
      </c>
      <c r="O56" s="64">
        <v>70.900000000000006</v>
      </c>
      <c r="P56" s="64">
        <v>70</v>
      </c>
      <c r="Q56" s="64">
        <v>0</v>
      </c>
      <c r="R56" s="64">
        <v>70</v>
      </c>
      <c r="S56" s="45">
        <v>70.8</v>
      </c>
      <c r="T56" s="45">
        <v>66.5</v>
      </c>
      <c r="U56" s="45">
        <v>70</v>
      </c>
      <c r="V56" s="45">
        <v>70</v>
      </c>
      <c r="W56" s="45">
        <v>66.5</v>
      </c>
      <c r="X56" s="45">
        <v>60</v>
      </c>
      <c r="Y56" s="45">
        <v>69.099999999999994</v>
      </c>
      <c r="Z56" s="45">
        <v>70.599999999999994</v>
      </c>
      <c r="AA56" s="50">
        <v>70.2</v>
      </c>
      <c r="AB56" s="50">
        <v>70.2</v>
      </c>
      <c r="AC56" s="45">
        <v>71</v>
      </c>
      <c r="AD56" s="45">
        <v>71</v>
      </c>
      <c r="AE56" s="45">
        <v>71</v>
      </c>
      <c r="AF56" s="45">
        <v>71</v>
      </c>
      <c r="AG56" s="54">
        <v>70</v>
      </c>
      <c r="AH56" s="47">
        <f t="shared" si="2"/>
        <v>71</v>
      </c>
      <c r="AI56" s="48">
        <f t="shared" si="3"/>
        <v>0</v>
      </c>
      <c r="AK56" s="74"/>
    </row>
    <row r="57" spans="1:41" x14ac:dyDescent="0.25">
      <c r="A57" s="53" t="s">
        <v>73</v>
      </c>
      <c r="B57" s="64"/>
      <c r="C57" s="64">
        <v>50.5</v>
      </c>
      <c r="D57" s="64">
        <v>69</v>
      </c>
      <c r="E57" s="64">
        <v>69</v>
      </c>
      <c r="F57" s="64">
        <v>63.5</v>
      </c>
      <c r="G57" s="64">
        <v>69.3</v>
      </c>
      <c r="H57" s="64">
        <v>69.900000000000006</v>
      </c>
      <c r="I57" s="64">
        <v>69.400000000000006</v>
      </c>
      <c r="J57" s="64">
        <v>67.8</v>
      </c>
      <c r="K57" s="64">
        <v>67.5</v>
      </c>
      <c r="L57" s="64">
        <v>67.8</v>
      </c>
      <c r="M57" s="64">
        <v>67.8</v>
      </c>
      <c r="N57" s="64">
        <v>69.900000000000006</v>
      </c>
      <c r="O57" s="64">
        <v>69.900000000000006</v>
      </c>
      <c r="P57" s="64">
        <v>58</v>
      </c>
      <c r="Q57" s="64">
        <v>0</v>
      </c>
      <c r="R57" s="64">
        <v>58</v>
      </c>
      <c r="S57" s="45">
        <v>66.3</v>
      </c>
      <c r="T57" s="45">
        <v>66.3</v>
      </c>
      <c r="U57" s="45">
        <v>70</v>
      </c>
      <c r="V57" s="45">
        <v>69.8</v>
      </c>
      <c r="W57" s="45">
        <v>69.5</v>
      </c>
      <c r="X57" s="45">
        <v>61.3</v>
      </c>
      <c r="Y57" s="45">
        <v>69.7</v>
      </c>
      <c r="Z57" s="45">
        <v>69.900000000000006</v>
      </c>
      <c r="AA57" s="50">
        <v>69.2</v>
      </c>
      <c r="AB57" s="50">
        <v>69.2</v>
      </c>
      <c r="AC57" s="45">
        <v>67.7</v>
      </c>
      <c r="AD57" s="45">
        <v>67.7</v>
      </c>
      <c r="AE57" s="45">
        <v>67.7</v>
      </c>
      <c r="AF57" s="45">
        <v>67.7</v>
      </c>
      <c r="AG57" s="54">
        <v>69</v>
      </c>
      <c r="AH57" s="47">
        <f t="shared" si="2"/>
        <v>70</v>
      </c>
      <c r="AI57" s="48">
        <f t="shared" si="3"/>
        <v>0</v>
      </c>
      <c r="AK57" s="74"/>
    </row>
    <row r="58" spans="1:41" x14ac:dyDescent="0.25">
      <c r="A58" s="53" t="s">
        <v>74</v>
      </c>
      <c r="B58" s="64"/>
      <c r="C58" s="64">
        <v>59.7</v>
      </c>
      <c r="D58" s="64">
        <v>41.6</v>
      </c>
      <c r="E58" s="64">
        <v>41.6</v>
      </c>
      <c r="F58" s="56">
        <v>21.2</v>
      </c>
      <c r="G58" s="56">
        <v>50</v>
      </c>
      <c r="H58" s="56">
        <v>60.4</v>
      </c>
      <c r="I58" s="56">
        <v>60.2</v>
      </c>
      <c r="J58" s="56">
        <v>60.2</v>
      </c>
      <c r="K58" s="56">
        <v>60.2</v>
      </c>
      <c r="L58" s="56">
        <v>60.4</v>
      </c>
      <c r="M58" s="56">
        <v>60.4</v>
      </c>
      <c r="N58" s="56">
        <v>60</v>
      </c>
      <c r="O58" s="56">
        <v>60</v>
      </c>
      <c r="P58" s="56">
        <v>60</v>
      </c>
      <c r="Q58" s="56">
        <v>60</v>
      </c>
      <c r="R58" s="64">
        <v>60</v>
      </c>
      <c r="S58" s="64">
        <v>60</v>
      </c>
      <c r="T58" s="64">
        <v>60</v>
      </c>
      <c r="U58" s="45">
        <v>60.4</v>
      </c>
      <c r="V58" s="45">
        <v>50</v>
      </c>
      <c r="W58" s="45">
        <v>61.5</v>
      </c>
      <c r="X58" s="45">
        <v>60.4</v>
      </c>
      <c r="Y58" s="45">
        <v>60.7</v>
      </c>
      <c r="Z58" s="45">
        <v>60.7</v>
      </c>
      <c r="AA58" s="50">
        <v>60.7</v>
      </c>
      <c r="AB58" s="50">
        <v>60.7</v>
      </c>
      <c r="AC58" s="45">
        <v>60</v>
      </c>
      <c r="AD58" s="45">
        <v>60</v>
      </c>
      <c r="AE58" s="45">
        <v>60</v>
      </c>
      <c r="AF58" s="45">
        <v>60</v>
      </c>
      <c r="AG58" s="54">
        <v>60</v>
      </c>
      <c r="AH58" s="47">
        <f t="shared" si="2"/>
        <v>61.5</v>
      </c>
      <c r="AI58" s="48">
        <f t="shared" si="3"/>
        <v>21.2</v>
      </c>
      <c r="AK58" s="74"/>
    </row>
    <row r="59" spans="1:41" x14ac:dyDescent="0.25">
      <c r="A59" s="53" t="s">
        <v>75</v>
      </c>
      <c r="B59" s="64"/>
      <c r="C59" s="64">
        <v>30</v>
      </c>
      <c r="D59" s="64">
        <v>30</v>
      </c>
      <c r="E59" s="64">
        <v>30</v>
      </c>
      <c r="F59" s="56">
        <v>30</v>
      </c>
      <c r="G59" s="56">
        <v>30</v>
      </c>
      <c r="H59" s="56">
        <v>30</v>
      </c>
      <c r="I59" s="56">
        <v>30</v>
      </c>
      <c r="J59" s="56">
        <v>30</v>
      </c>
      <c r="K59" s="56">
        <v>30</v>
      </c>
      <c r="L59" s="56">
        <v>22</v>
      </c>
      <c r="M59" s="56">
        <v>22</v>
      </c>
      <c r="N59" s="56">
        <v>22</v>
      </c>
      <c r="O59" s="56">
        <v>22</v>
      </c>
      <c r="P59" s="56">
        <v>22</v>
      </c>
      <c r="Q59" s="56">
        <v>10</v>
      </c>
      <c r="R59" s="64">
        <v>22</v>
      </c>
      <c r="S59" s="64">
        <v>22</v>
      </c>
      <c r="T59" s="64">
        <v>22</v>
      </c>
      <c r="U59" s="45">
        <v>13</v>
      </c>
      <c r="V59" s="45">
        <v>13</v>
      </c>
      <c r="W59" s="45">
        <v>13</v>
      </c>
      <c r="X59" s="45">
        <v>13</v>
      </c>
      <c r="Y59" s="45">
        <v>13</v>
      </c>
      <c r="Z59" s="45">
        <v>13</v>
      </c>
      <c r="AA59" s="50">
        <v>13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64"/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0.9</v>
      </c>
      <c r="J60" s="64">
        <v>2</v>
      </c>
      <c r="K60" s="64">
        <v>3.1</v>
      </c>
      <c r="L60" s="64">
        <v>2.9</v>
      </c>
      <c r="M60" s="64">
        <v>2.9</v>
      </c>
      <c r="N60" s="64">
        <v>2.9</v>
      </c>
      <c r="O60" s="64">
        <v>2.9</v>
      </c>
      <c r="P60" s="64">
        <v>2.9</v>
      </c>
      <c r="Q60" s="64">
        <v>2.9</v>
      </c>
      <c r="R60" s="64">
        <v>2.9</v>
      </c>
      <c r="S60" s="64">
        <v>2.9</v>
      </c>
      <c r="T60" s="64">
        <v>2.9</v>
      </c>
      <c r="U60" s="64">
        <v>2.9</v>
      </c>
      <c r="V60" s="64">
        <v>2.9</v>
      </c>
      <c r="W60" s="64">
        <v>2.9</v>
      </c>
      <c r="X60" s="64">
        <v>0</v>
      </c>
      <c r="Y60" s="45">
        <v>0</v>
      </c>
      <c r="Z60" s="45">
        <v>0</v>
      </c>
      <c r="AA60" s="50">
        <v>0</v>
      </c>
      <c r="AB60" s="50">
        <v>0</v>
      </c>
      <c r="AC60" s="50">
        <v>0</v>
      </c>
      <c r="AD60" s="50">
        <v>0</v>
      </c>
      <c r="AE60" s="50">
        <v>0</v>
      </c>
      <c r="AF60" s="50">
        <v>0</v>
      </c>
      <c r="AG60" s="54">
        <v>25</v>
      </c>
      <c r="AH60" s="47">
        <f t="shared" si="2"/>
        <v>3.1</v>
      </c>
      <c r="AI60" s="48">
        <f t="shared" si="3"/>
        <v>0</v>
      </c>
      <c r="AK60" s="74"/>
    </row>
    <row r="61" spans="1:41" x14ac:dyDescent="0.25">
      <c r="A61" s="53" t="s">
        <v>77</v>
      </c>
      <c r="B61" s="64"/>
      <c r="C61" s="64">
        <v>18</v>
      </c>
      <c r="D61" s="64">
        <v>18</v>
      </c>
      <c r="E61" s="64">
        <v>18</v>
      </c>
      <c r="F61" s="64">
        <v>18</v>
      </c>
      <c r="G61" s="64">
        <v>18</v>
      </c>
      <c r="H61" s="64">
        <v>18</v>
      </c>
      <c r="I61" s="64">
        <v>18</v>
      </c>
      <c r="J61" s="64">
        <v>18</v>
      </c>
      <c r="K61" s="64">
        <v>18</v>
      </c>
      <c r="L61" s="64">
        <v>18</v>
      </c>
      <c r="M61" s="64">
        <v>18</v>
      </c>
      <c r="N61" s="64">
        <v>18</v>
      </c>
      <c r="O61" s="64">
        <v>18</v>
      </c>
      <c r="P61" s="64">
        <v>18</v>
      </c>
      <c r="Q61" s="64">
        <v>18</v>
      </c>
      <c r="R61" s="64">
        <v>18</v>
      </c>
      <c r="S61" s="64">
        <v>18</v>
      </c>
      <c r="T61" s="64">
        <v>18</v>
      </c>
      <c r="U61" s="64">
        <v>18</v>
      </c>
      <c r="V61" s="64">
        <v>18</v>
      </c>
      <c r="W61" s="64">
        <v>18</v>
      </c>
      <c r="X61" s="64">
        <v>18</v>
      </c>
      <c r="Y61" s="64">
        <v>18</v>
      </c>
      <c r="Z61" s="64">
        <v>18</v>
      </c>
      <c r="AA61" s="50">
        <v>18</v>
      </c>
      <c r="AB61" s="50">
        <v>18</v>
      </c>
      <c r="AC61" s="50">
        <v>18</v>
      </c>
      <c r="AD61" s="50">
        <v>18</v>
      </c>
      <c r="AE61" s="50">
        <v>18</v>
      </c>
      <c r="AF61" s="50">
        <v>18</v>
      </c>
      <c r="AG61" s="54">
        <v>24</v>
      </c>
      <c r="AH61" s="47">
        <f t="shared" si="2"/>
        <v>18</v>
      </c>
      <c r="AI61" s="48">
        <f t="shared" si="3"/>
        <v>18</v>
      </c>
      <c r="AK61" s="74"/>
    </row>
    <row r="62" spans="1:41" x14ac:dyDescent="0.25">
      <c r="A62" s="53" t="s">
        <v>78</v>
      </c>
      <c r="B62" s="64"/>
      <c r="C62" s="64">
        <v>1.4</v>
      </c>
      <c r="D62" s="64">
        <v>1.4</v>
      </c>
      <c r="E62" s="64">
        <v>1.4</v>
      </c>
      <c r="F62" s="64">
        <v>1.4</v>
      </c>
      <c r="G62" s="64">
        <v>1.4</v>
      </c>
      <c r="H62" s="64">
        <v>1.4</v>
      </c>
      <c r="I62" s="64">
        <v>1.4</v>
      </c>
      <c r="J62" s="64">
        <v>1.4</v>
      </c>
      <c r="K62" s="64">
        <v>1.4</v>
      </c>
      <c r="L62" s="64">
        <v>1.4</v>
      </c>
      <c r="M62" s="64">
        <v>1.4</v>
      </c>
      <c r="N62" s="64">
        <v>1.4</v>
      </c>
      <c r="O62" s="64">
        <v>1.4</v>
      </c>
      <c r="P62" s="64">
        <v>1.4</v>
      </c>
      <c r="Q62" s="64">
        <v>1.4</v>
      </c>
      <c r="R62" s="64">
        <v>1.4</v>
      </c>
      <c r="S62" s="64">
        <v>1.4</v>
      </c>
      <c r="T62" s="64">
        <v>1.4</v>
      </c>
      <c r="U62" s="64">
        <v>1.4</v>
      </c>
      <c r="V62" s="64">
        <v>1.4</v>
      </c>
      <c r="W62" s="64">
        <v>1.4</v>
      </c>
      <c r="X62" s="64">
        <v>1.4</v>
      </c>
      <c r="Y62" s="64">
        <v>1.4</v>
      </c>
      <c r="Z62" s="64">
        <v>1.4</v>
      </c>
      <c r="AA62" s="50">
        <v>1.4</v>
      </c>
      <c r="AB62" s="50">
        <v>1.4</v>
      </c>
      <c r="AC62" s="50">
        <v>1.4</v>
      </c>
      <c r="AD62" s="50">
        <v>1.4</v>
      </c>
      <c r="AE62" s="50">
        <v>1.4</v>
      </c>
      <c r="AF62" s="50">
        <v>1.4</v>
      </c>
      <c r="AG62" s="54">
        <v>15</v>
      </c>
      <c r="AH62" s="47">
        <f t="shared" si="2"/>
        <v>1.4</v>
      </c>
      <c r="AI62" s="48">
        <f t="shared" si="3"/>
        <v>1.4</v>
      </c>
      <c r="AK62" s="74"/>
      <c r="AL62" s="69"/>
      <c r="AO62" s="69"/>
    </row>
    <row r="63" spans="1:41" s="69" customFormat="1" x14ac:dyDescent="0.25">
      <c r="A63" s="53" t="s">
        <v>79</v>
      </c>
      <c r="B63" s="64"/>
      <c r="C63" s="64">
        <v>12.4</v>
      </c>
      <c r="D63" s="64">
        <v>12.4</v>
      </c>
      <c r="E63" s="64">
        <v>12.4</v>
      </c>
      <c r="F63" s="64">
        <v>12.4</v>
      </c>
      <c r="G63" s="64">
        <v>12.4</v>
      </c>
      <c r="H63" s="64">
        <v>12.4</v>
      </c>
      <c r="I63" s="64">
        <v>12.4</v>
      </c>
      <c r="J63" s="64">
        <v>12.4</v>
      </c>
      <c r="K63" s="64">
        <v>12.4</v>
      </c>
      <c r="L63" s="64">
        <v>12.4</v>
      </c>
      <c r="M63" s="64">
        <v>12.4</v>
      </c>
      <c r="N63" s="64">
        <v>12.4</v>
      </c>
      <c r="O63" s="64">
        <v>12.4</v>
      </c>
      <c r="P63" s="64">
        <v>12.4</v>
      </c>
      <c r="Q63" s="64">
        <v>12.4</v>
      </c>
      <c r="R63" s="64">
        <v>12.4</v>
      </c>
      <c r="S63" s="64">
        <v>12.4</v>
      </c>
      <c r="T63" s="64">
        <v>12.4</v>
      </c>
      <c r="U63" s="64">
        <v>12.4</v>
      </c>
      <c r="V63" s="64">
        <v>12.4</v>
      </c>
      <c r="W63" s="64">
        <v>12.4</v>
      </c>
      <c r="X63" s="64">
        <v>12.4</v>
      </c>
      <c r="Y63" s="64">
        <v>12.4</v>
      </c>
      <c r="Z63" s="64">
        <v>12.4</v>
      </c>
      <c r="AA63" s="50">
        <v>12.4</v>
      </c>
      <c r="AB63" s="50">
        <v>12.4</v>
      </c>
      <c r="AC63" s="50">
        <v>12.4</v>
      </c>
      <c r="AD63" s="50">
        <v>12.4</v>
      </c>
      <c r="AE63" s="50">
        <v>12.4</v>
      </c>
      <c r="AF63" s="50">
        <v>12.4</v>
      </c>
      <c r="AG63" s="54">
        <v>14.1</v>
      </c>
      <c r="AH63" s="47">
        <f t="shared" si="2"/>
        <v>12.4</v>
      </c>
      <c r="AI63" s="48">
        <f t="shared" si="3"/>
        <v>12.4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/>
      <c r="C64" s="64">
        <v>7.2</v>
      </c>
      <c r="D64" s="64">
        <v>7.2</v>
      </c>
      <c r="E64" s="64">
        <v>7.2</v>
      </c>
      <c r="F64" s="64">
        <v>7.2</v>
      </c>
      <c r="G64" s="64">
        <v>7.2</v>
      </c>
      <c r="H64" s="64">
        <v>7.2</v>
      </c>
      <c r="I64" s="64">
        <v>7.2</v>
      </c>
      <c r="J64" s="64">
        <v>7.2</v>
      </c>
      <c r="K64" s="64">
        <v>7.2</v>
      </c>
      <c r="L64" s="64">
        <v>7.2</v>
      </c>
      <c r="M64" s="64">
        <v>7.2</v>
      </c>
      <c r="N64" s="64">
        <v>7.2</v>
      </c>
      <c r="O64" s="64">
        <v>7.2</v>
      </c>
      <c r="P64" s="64">
        <v>7.2</v>
      </c>
      <c r="Q64" s="64">
        <v>0</v>
      </c>
      <c r="R64" s="64">
        <v>7.2</v>
      </c>
      <c r="S64" s="64">
        <v>7.2</v>
      </c>
      <c r="T64" s="64">
        <v>7.2</v>
      </c>
      <c r="U64" s="64">
        <v>7.2</v>
      </c>
      <c r="V64" s="64">
        <v>7.2</v>
      </c>
      <c r="W64" s="64">
        <v>7.2</v>
      </c>
      <c r="X64" s="64">
        <v>7.2</v>
      </c>
      <c r="Y64" s="64">
        <v>7.2</v>
      </c>
      <c r="Z64" s="64">
        <v>7.2</v>
      </c>
      <c r="AA64" s="50">
        <v>7.2</v>
      </c>
      <c r="AB64" s="50">
        <v>7.2</v>
      </c>
      <c r="AC64" s="50">
        <v>7.2</v>
      </c>
      <c r="AD64" s="50">
        <v>7.2</v>
      </c>
      <c r="AE64" s="50">
        <v>7.2</v>
      </c>
      <c r="AF64" s="50">
        <v>7.2</v>
      </c>
      <c r="AG64" s="54">
        <v>14</v>
      </c>
      <c r="AH64" s="47">
        <f t="shared" si="2"/>
        <v>7.2</v>
      </c>
      <c r="AI64" s="48">
        <f t="shared" si="3"/>
        <v>0</v>
      </c>
      <c r="AK64" s="74"/>
    </row>
    <row r="65" spans="1:40" x14ac:dyDescent="0.25">
      <c r="A65" s="53" t="s">
        <v>81</v>
      </c>
      <c r="B65" s="64"/>
      <c r="C65" s="64">
        <v>7.5</v>
      </c>
      <c r="D65" s="64">
        <v>7.5</v>
      </c>
      <c r="E65" s="64">
        <v>7.5</v>
      </c>
      <c r="F65" s="64">
        <v>7.5</v>
      </c>
      <c r="G65" s="64">
        <v>7.5</v>
      </c>
      <c r="H65" s="64">
        <v>7.5</v>
      </c>
      <c r="I65" s="64">
        <v>7.5</v>
      </c>
      <c r="J65" s="64">
        <v>7.5</v>
      </c>
      <c r="K65" s="64">
        <v>7.5</v>
      </c>
      <c r="L65" s="64">
        <v>7.5</v>
      </c>
      <c r="M65" s="64">
        <v>7.5</v>
      </c>
      <c r="N65" s="64">
        <v>7.5</v>
      </c>
      <c r="O65" s="64">
        <v>7.5</v>
      </c>
      <c r="P65" s="64">
        <v>7.5</v>
      </c>
      <c r="Q65" s="64">
        <v>7.5</v>
      </c>
      <c r="R65" s="64">
        <v>7.5</v>
      </c>
      <c r="S65" s="64">
        <v>7.5</v>
      </c>
      <c r="T65" s="64">
        <v>7.5</v>
      </c>
      <c r="U65" s="64">
        <v>7.5</v>
      </c>
      <c r="V65" s="64">
        <v>7.5</v>
      </c>
      <c r="W65" s="64">
        <v>7.5</v>
      </c>
      <c r="X65" s="64">
        <v>7.5</v>
      </c>
      <c r="Y65" s="64">
        <v>7.5</v>
      </c>
      <c r="Z65" s="64">
        <v>7.5</v>
      </c>
      <c r="AA65" s="50">
        <v>7.5</v>
      </c>
      <c r="AB65" s="50">
        <v>7.5</v>
      </c>
      <c r="AC65" s="50">
        <v>7.5</v>
      </c>
      <c r="AD65" s="50">
        <v>7.5</v>
      </c>
      <c r="AE65" s="50">
        <v>7.5</v>
      </c>
      <c r="AF65" s="50">
        <v>7.5</v>
      </c>
      <c r="AG65" s="54">
        <v>10.050000000000001</v>
      </c>
      <c r="AH65" s="47">
        <f t="shared" si="2"/>
        <v>7.5</v>
      </c>
      <c r="AI65" s="48">
        <f t="shared" si="3"/>
        <v>7.5</v>
      </c>
      <c r="AK65" s="74"/>
    </row>
    <row r="66" spans="1:40" x14ac:dyDescent="0.25">
      <c r="A66" s="53" t="s">
        <v>82</v>
      </c>
      <c r="B66" s="64"/>
      <c r="C66" s="64">
        <v>2.2000000000000002</v>
      </c>
      <c r="D66" s="64">
        <v>2.2000000000000002</v>
      </c>
      <c r="E66" s="64">
        <v>2.2000000000000002</v>
      </c>
      <c r="F66" s="64">
        <v>2.2000000000000002</v>
      </c>
      <c r="G66" s="64">
        <v>2.2000000000000002</v>
      </c>
      <c r="H66" s="64">
        <v>2.2000000000000002</v>
      </c>
      <c r="I66" s="64">
        <v>2.2000000000000002</v>
      </c>
      <c r="J66" s="64">
        <v>2.2000000000000002</v>
      </c>
      <c r="K66" s="64">
        <v>2.2000000000000002</v>
      </c>
      <c r="L66" s="64">
        <v>2.2000000000000002</v>
      </c>
      <c r="M66" s="64">
        <v>2.2000000000000002</v>
      </c>
      <c r="N66" s="64">
        <v>2.2000000000000002</v>
      </c>
      <c r="O66" s="64">
        <v>2.2000000000000002</v>
      </c>
      <c r="P66" s="64">
        <v>2.2000000000000002</v>
      </c>
      <c r="Q66" s="64">
        <v>2.2000000000000002</v>
      </c>
      <c r="R66" s="64">
        <v>2.2000000000000002</v>
      </c>
      <c r="S66" s="64">
        <v>2.2000000000000002</v>
      </c>
      <c r="T66" s="64">
        <v>2.2000000000000002</v>
      </c>
      <c r="U66" s="64">
        <v>2.2000000000000002</v>
      </c>
      <c r="V66" s="64">
        <v>2.2000000000000002</v>
      </c>
      <c r="W66" s="64">
        <v>2.2000000000000002</v>
      </c>
      <c r="X66" s="64">
        <v>2.2000000000000002</v>
      </c>
      <c r="Y66" s="64">
        <v>2.2000000000000002</v>
      </c>
      <c r="Z66" s="64">
        <v>2.2000000000000002</v>
      </c>
      <c r="AA66" s="50">
        <v>2.2000000000000002</v>
      </c>
      <c r="AB66" s="50">
        <v>2.2000000000000002</v>
      </c>
      <c r="AC66" s="50">
        <v>2.2000000000000002</v>
      </c>
      <c r="AD66" s="50">
        <v>2.2000000000000002</v>
      </c>
      <c r="AE66" s="50">
        <v>2.2000000000000002</v>
      </c>
      <c r="AF66" s="50">
        <v>2.2000000000000002</v>
      </c>
      <c r="AG66" s="54">
        <v>6.2</v>
      </c>
      <c r="AH66" s="47">
        <f t="shared" si="2"/>
        <v>2.2000000000000002</v>
      </c>
      <c r="AI66" s="48">
        <f t="shared" si="3"/>
        <v>2.2000000000000002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50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AG68" si="10">SUM(B55:B67)</f>
        <v>3.54</v>
      </c>
      <c r="C68" s="59">
        <f t="shared" si="10"/>
        <v>338.43999999999994</v>
      </c>
      <c r="D68" s="59">
        <f t="shared" si="10"/>
        <v>394.84</v>
      </c>
      <c r="E68" s="59">
        <f t="shared" si="10"/>
        <v>384.84</v>
      </c>
      <c r="F68" s="59">
        <f t="shared" si="10"/>
        <v>364.63999999999993</v>
      </c>
      <c r="G68" s="59">
        <f t="shared" si="10"/>
        <v>414.53999999999996</v>
      </c>
      <c r="H68" s="59">
        <f t="shared" si="10"/>
        <v>424.83999999999992</v>
      </c>
      <c r="I68" s="59">
        <f t="shared" si="10"/>
        <v>425.33999999999992</v>
      </c>
      <c r="J68" s="59">
        <f t="shared" si="10"/>
        <v>425.93999999999994</v>
      </c>
      <c r="K68" s="59">
        <f t="shared" si="10"/>
        <v>428.14</v>
      </c>
      <c r="L68" s="59">
        <f t="shared" si="10"/>
        <v>421.13999999999987</v>
      </c>
      <c r="M68" s="59">
        <f t="shared" si="10"/>
        <v>421.13999999999987</v>
      </c>
      <c r="N68" s="59">
        <f t="shared" si="10"/>
        <v>421.23999999999995</v>
      </c>
      <c r="O68" s="59">
        <f t="shared" si="10"/>
        <v>421.23999999999995</v>
      </c>
      <c r="P68" s="59">
        <f t="shared" si="10"/>
        <v>409.13999999999993</v>
      </c>
      <c r="Q68" s="59">
        <f t="shared" si="10"/>
        <v>117.94000000000003</v>
      </c>
      <c r="R68" s="59">
        <f t="shared" si="10"/>
        <v>409.13999999999993</v>
      </c>
      <c r="S68" s="59">
        <f t="shared" si="10"/>
        <v>416.93999999999994</v>
      </c>
      <c r="T68" s="59">
        <f t="shared" si="10"/>
        <v>412.73999999999995</v>
      </c>
      <c r="U68" s="59">
        <f t="shared" si="10"/>
        <v>410.53999999999991</v>
      </c>
      <c r="V68" s="59">
        <f t="shared" si="10"/>
        <v>400.43999999999994</v>
      </c>
      <c r="W68" s="59">
        <f t="shared" si="10"/>
        <v>408.13999999999993</v>
      </c>
      <c r="X68" s="59">
        <f t="shared" si="10"/>
        <v>389.93999999999994</v>
      </c>
      <c r="Y68" s="59">
        <f t="shared" si="10"/>
        <v>408.33999999999992</v>
      </c>
      <c r="Z68" s="59">
        <f t="shared" si="10"/>
        <v>410.33999999999992</v>
      </c>
      <c r="AA68" s="50">
        <f t="shared" ref="AA68" si="11">SUM(AA55:AA67)</f>
        <v>409.13999999999993</v>
      </c>
      <c r="AB68" s="59">
        <f t="shared" si="10"/>
        <v>396.13999999999993</v>
      </c>
      <c r="AC68" s="59">
        <f t="shared" si="10"/>
        <v>394.93999999999994</v>
      </c>
      <c r="AD68" s="59">
        <f t="shared" si="10"/>
        <v>394.93999999999994</v>
      </c>
      <c r="AE68" s="59">
        <f t="shared" si="10"/>
        <v>394.93999999999994</v>
      </c>
      <c r="AF68" s="59">
        <f t="shared" si="10"/>
        <v>394.93999999999994</v>
      </c>
      <c r="AG68" s="60">
        <f t="shared" si="10"/>
        <v>489.91</v>
      </c>
      <c r="AH68" s="47">
        <f t="shared" si="2"/>
        <v>428.14</v>
      </c>
      <c r="AI68" s="48">
        <f t="shared" si="3"/>
        <v>3.54</v>
      </c>
      <c r="AK68" s="74"/>
    </row>
    <row r="69" spans="1:40" x14ac:dyDescent="0.25">
      <c r="A69" s="44" t="s">
        <v>85</v>
      </c>
      <c r="B69" s="45"/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10</v>
      </c>
      <c r="P69" s="45">
        <v>20</v>
      </c>
      <c r="Q69" s="45">
        <v>24</v>
      </c>
      <c r="R69" s="45">
        <v>24</v>
      </c>
      <c r="S69" s="45">
        <v>30</v>
      </c>
      <c r="T69" s="45">
        <v>29.6</v>
      </c>
      <c r="U69" s="45">
        <v>59</v>
      </c>
      <c r="V69" s="45">
        <v>49</v>
      </c>
      <c r="W69" s="45">
        <v>39.700000000000003</v>
      </c>
      <c r="X69" s="45">
        <v>39.799999999999997</v>
      </c>
      <c r="Y69" s="45">
        <v>39.799999999999997</v>
      </c>
      <c r="Z69" s="45">
        <v>39.799999999999997</v>
      </c>
      <c r="AA69" s="50">
        <v>50</v>
      </c>
      <c r="AB69" s="45">
        <v>60</v>
      </c>
      <c r="AC69" s="45">
        <v>44</v>
      </c>
      <c r="AD69" s="45">
        <v>44</v>
      </c>
      <c r="AE69" s="45">
        <v>14.1</v>
      </c>
      <c r="AF69" s="45">
        <v>14.1</v>
      </c>
      <c r="AG69" s="51">
        <v>60</v>
      </c>
      <c r="AH69" s="47">
        <f t="shared" si="2"/>
        <v>60</v>
      </c>
      <c r="AI69" s="48">
        <f t="shared" si="3"/>
        <v>0</v>
      </c>
      <c r="AK69" s="74"/>
    </row>
    <row r="70" spans="1:40" x14ac:dyDescent="0.25">
      <c r="A70" s="53" t="s">
        <v>86</v>
      </c>
      <c r="B70" s="45"/>
      <c r="C70" s="45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4.9000000000000004</v>
      </c>
      <c r="L70" s="64">
        <v>0</v>
      </c>
      <c r="M70" s="64">
        <v>0</v>
      </c>
      <c r="N70" s="64">
        <v>0</v>
      </c>
      <c r="O70" s="64">
        <v>2</v>
      </c>
      <c r="P70" s="64">
        <v>9.9</v>
      </c>
      <c r="Q70" s="64">
        <v>11.7</v>
      </c>
      <c r="R70" s="64">
        <v>11.6</v>
      </c>
      <c r="S70" s="64">
        <v>14.6</v>
      </c>
      <c r="T70" s="64">
        <v>14.5</v>
      </c>
      <c r="U70" s="64">
        <v>22</v>
      </c>
      <c r="V70" s="64">
        <v>23.5</v>
      </c>
      <c r="W70" s="64">
        <v>18.3</v>
      </c>
      <c r="X70" s="64">
        <v>17.100000000000001</v>
      </c>
      <c r="Y70" s="64">
        <v>17.5</v>
      </c>
      <c r="Z70" s="64">
        <v>18.399999999999999</v>
      </c>
      <c r="AA70" s="50">
        <v>29</v>
      </c>
      <c r="AB70" s="64">
        <v>30</v>
      </c>
      <c r="AC70" s="64">
        <v>14</v>
      </c>
      <c r="AD70" s="64">
        <v>14</v>
      </c>
      <c r="AE70" s="64">
        <v>4.4000000000000004</v>
      </c>
      <c r="AF70" s="64">
        <v>4.4000000000000004</v>
      </c>
      <c r="AG70" s="54">
        <v>32</v>
      </c>
      <c r="AH70" s="47">
        <f t="shared" si="2"/>
        <v>30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/>
      <c r="C71" s="45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1.8</v>
      </c>
      <c r="L71" s="66">
        <v>0</v>
      </c>
      <c r="M71" s="66">
        <v>0</v>
      </c>
      <c r="N71" s="66">
        <v>0</v>
      </c>
      <c r="O71" s="66">
        <v>3</v>
      </c>
      <c r="P71" s="66">
        <v>3.6</v>
      </c>
      <c r="Q71" s="66">
        <v>4.3</v>
      </c>
      <c r="R71" s="66">
        <v>4.2</v>
      </c>
      <c r="S71" s="66">
        <v>5.3</v>
      </c>
      <c r="T71" s="66">
        <v>5.3</v>
      </c>
      <c r="U71" s="66">
        <v>8</v>
      </c>
      <c r="V71" s="66">
        <v>8.6999999999999993</v>
      </c>
      <c r="W71" s="66">
        <v>6.6</v>
      </c>
      <c r="X71" s="66">
        <v>6.2</v>
      </c>
      <c r="Y71" s="66">
        <v>6.4</v>
      </c>
      <c r="Z71" s="66">
        <v>6.7</v>
      </c>
      <c r="AA71" s="50">
        <v>10.6</v>
      </c>
      <c r="AB71" s="66">
        <v>11.6</v>
      </c>
      <c r="AC71" s="66">
        <v>5</v>
      </c>
      <c r="AD71" s="66">
        <v>5</v>
      </c>
      <c r="AE71" s="66">
        <v>1.6</v>
      </c>
      <c r="AF71" s="66">
        <v>1.6</v>
      </c>
      <c r="AG71" s="67">
        <v>14</v>
      </c>
      <c r="AH71" s="47">
        <f t="shared" si="2"/>
        <v>11.6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 t="shared" ref="B72:K72" si="12">B69+B70+B71</f>
        <v>0</v>
      </c>
      <c r="C72" s="59">
        <f t="shared" si="12"/>
        <v>0</v>
      </c>
      <c r="D72" s="59">
        <f t="shared" si="12"/>
        <v>0</v>
      </c>
      <c r="E72" s="59">
        <f t="shared" si="12"/>
        <v>0</v>
      </c>
      <c r="F72" s="59">
        <f t="shared" si="12"/>
        <v>0</v>
      </c>
      <c r="G72" s="59">
        <f t="shared" si="12"/>
        <v>0</v>
      </c>
      <c r="H72" s="59">
        <f t="shared" si="12"/>
        <v>0</v>
      </c>
      <c r="I72" s="59">
        <f t="shared" si="12"/>
        <v>0</v>
      </c>
      <c r="J72" s="59">
        <f t="shared" si="12"/>
        <v>0</v>
      </c>
      <c r="K72" s="59">
        <f t="shared" si="12"/>
        <v>6.7</v>
      </c>
      <c r="L72" s="59">
        <v>0</v>
      </c>
      <c r="M72" s="59">
        <f t="shared" ref="M72:AF72" si="13">M69+M70+M71</f>
        <v>0</v>
      </c>
      <c r="N72" s="59">
        <f t="shared" si="13"/>
        <v>0</v>
      </c>
      <c r="O72" s="59">
        <f t="shared" si="13"/>
        <v>15</v>
      </c>
      <c r="P72" s="59">
        <f t="shared" si="13"/>
        <v>33.5</v>
      </c>
      <c r="Q72" s="59">
        <f t="shared" si="13"/>
        <v>40</v>
      </c>
      <c r="R72" s="59">
        <f t="shared" si="13"/>
        <v>39.800000000000004</v>
      </c>
      <c r="S72" s="59">
        <f t="shared" si="13"/>
        <v>49.9</v>
      </c>
      <c r="T72" s="59">
        <f t="shared" si="13"/>
        <v>49.4</v>
      </c>
      <c r="U72" s="59">
        <f t="shared" si="13"/>
        <v>89</v>
      </c>
      <c r="V72" s="59">
        <f t="shared" si="13"/>
        <v>81.2</v>
      </c>
      <c r="W72" s="59">
        <f t="shared" si="13"/>
        <v>64.599999999999994</v>
      </c>
      <c r="X72" s="59">
        <f t="shared" si="13"/>
        <v>63.1</v>
      </c>
      <c r="Y72" s="59">
        <f t="shared" si="13"/>
        <v>63.699999999999996</v>
      </c>
      <c r="Z72" s="59">
        <f t="shared" si="13"/>
        <v>64.899999999999991</v>
      </c>
      <c r="AA72" s="50">
        <f t="shared" ref="AA72" si="14">SUM(AA69:AA71)</f>
        <v>89.6</v>
      </c>
      <c r="AB72" s="59">
        <f t="shared" si="13"/>
        <v>101.6</v>
      </c>
      <c r="AC72" s="59">
        <f t="shared" si="13"/>
        <v>63</v>
      </c>
      <c r="AD72" s="59">
        <f t="shared" si="13"/>
        <v>63</v>
      </c>
      <c r="AE72" s="59">
        <f t="shared" si="13"/>
        <v>20.100000000000001</v>
      </c>
      <c r="AF72" s="59">
        <f t="shared" si="13"/>
        <v>20.100000000000001</v>
      </c>
      <c r="AG72" s="60">
        <f>SUM(AG69:AG71)</f>
        <v>106</v>
      </c>
      <c r="AH72" s="47">
        <f t="shared" si="2"/>
        <v>101.6</v>
      </c>
      <c r="AI72" s="48">
        <f t="shared" si="3"/>
        <v>0</v>
      </c>
      <c r="AK72" s="74"/>
    </row>
    <row r="73" spans="1:40" x14ac:dyDescent="0.25">
      <c r="A73" s="44" t="s">
        <v>89</v>
      </c>
      <c r="B73" s="45"/>
      <c r="C73" s="45">
        <v>46.1</v>
      </c>
      <c r="D73" s="45">
        <v>39.1</v>
      </c>
      <c r="E73" s="45">
        <v>41.1</v>
      </c>
      <c r="F73" s="45">
        <v>62.6</v>
      </c>
      <c r="G73" s="45">
        <v>56.9</v>
      </c>
      <c r="H73" s="45">
        <v>54.7</v>
      </c>
      <c r="I73" s="45">
        <v>58.3</v>
      </c>
      <c r="J73" s="45">
        <v>56.4</v>
      </c>
      <c r="K73" s="45">
        <v>57.7</v>
      </c>
      <c r="L73" s="45">
        <v>52.9</v>
      </c>
      <c r="M73" s="45">
        <v>54.4</v>
      </c>
      <c r="N73" s="45">
        <v>54.4</v>
      </c>
      <c r="O73" s="45">
        <v>70</v>
      </c>
      <c r="P73" s="45">
        <v>70</v>
      </c>
      <c r="Q73" s="45">
        <v>42</v>
      </c>
      <c r="R73" s="45">
        <v>30.6</v>
      </c>
      <c r="S73" s="45">
        <v>38</v>
      </c>
      <c r="T73" s="45">
        <v>45.9</v>
      </c>
      <c r="U73" s="45">
        <v>47</v>
      </c>
      <c r="V73" s="45">
        <v>47.2</v>
      </c>
      <c r="W73" s="45">
        <v>41</v>
      </c>
      <c r="X73" s="45">
        <v>37.799999999999997</v>
      </c>
      <c r="Y73" s="45">
        <v>42.8</v>
      </c>
      <c r="Z73" s="45">
        <v>38.9</v>
      </c>
      <c r="AA73" s="50">
        <v>45.3</v>
      </c>
      <c r="AB73" s="50">
        <v>70</v>
      </c>
      <c r="AC73" s="45">
        <v>67.8</v>
      </c>
      <c r="AD73" s="45">
        <v>65</v>
      </c>
      <c r="AE73" s="45">
        <v>64.900000000000006</v>
      </c>
      <c r="AF73" s="45">
        <v>63.8</v>
      </c>
      <c r="AG73" s="51"/>
      <c r="AH73" s="47">
        <f t="shared" si="2"/>
        <v>70</v>
      </c>
      <c r="AI73" s="48">
        <f t="shared" si="3"/>
        <v>30.6</v>
      </c>
      <c r="AK73" s="74"/>
    </row>
    <row r="74" spans="1:40" x14ac:dyDescent="0.25">
      <c r="A74" s="53" t="s">
        <v>90</v>
      </c>
      <c r="B74" s="64"/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50">
        <v>0</v>
      </c>
      <c r="AB74" s="50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/>
      <c r="C75" s="64">
        <v>-177</v>
      </c>
      <c r="D75" s="64">
        <v>-210</v>
      </c>
      <c r="E75" s="64">
        <v>-211</v>
      </c>
      <c r="F75" s="64">
        <v>-250</v>
      </c>
      <c r="G75" s="64">
        <v>-262</v>
      </c>
      <c r="H75" s="64">
        <v>-310</v>
      </c>
      <c r="I75" s="64">
        <v>-248</v>
      </c>
      <c r="J75" s="64">
        <v>-253</v>
      </c>
      <c r="K75" s="64">
        <v>-267.2</v>
      </c>
      <c r="L75" s="64">
        <v>-234</v>
      </c>
      <c r="M75" s="64">
        <v>-263</v>
      </c>
      <c r="N75" s="64">
        <v>-263</v>
      </c>
      <c r="O75" s="64">
        <v>-142</v>
      </c>
      <c r="P75" s="64">
        <v>-146</v>
      </c>
      <c r="Q75" s="64">
        <v>-152</v>
      </c>
      <c r="R75" s="64">
        <v>-126</v>
      </c>
      <c r="S75" s="64">
        <f>-94.7-0</f>
        <v>-94.7</v>
      </c>
      <c r="T75" s="64">
        <v>-120</v>
      </c>
      <c r="U75" s="64">
        <v>-115</v>
      </c>
      <c r="V75" s="64">
        <v>-120</v>
      </c>
      <c r="W75" s="64">
        <v>-121</v>
      </c>
      <c r="X75" s="64">
        <v>-184</v>
      </c>
      <c r="Y75" s="64">
        <v>-145.5</v>
      </c>
      <c r="Z75" s="64">
        <v>-217.8</v>
      </c>
      <c r="AA75" s="50">
        <v>-100</v>
      </c>
      <c r="AB75" s="50">
        <v>-150</v>
      </c>
      <c r="AC75" s="64">
        <v>-117</v>
      </c>
      <c r="AD75" s="64">
        <v>-125</v>
      </c>
      <c r="AE75" s="64">
        <v>-154</v>
      </c>
      <c r="AF75" s="64">
        <v>-309</v>
      </c>
      <c r="AG75" s="75"/>
      <c r="AH75" s="47">
        <f t="shared" si="2"/>
        <v>-94.7</v>
      </c>
      <c r="AI75" s="48">
        <f t="shared" si="3"/>
        <v>-310</v>
      </c>
      <c r="AK75" s="74"/>
    </row>
    <row r="76" spans="1:40" x14ac:dyDescent="0.25">
      <c r="A76" s="53" t="s">
        <v>92</v>
      </c>
      <c r="B76" s="64"/>
      <c r="C76" s="64">
        <v>12</v>
      </c>
      <c r="D76" s="64">
        <v>12</v>
      </c>
      <c r="E76" s="64">
        <v>12</v>
      </c>
      <c r="F76" s="76">
        <v>12</v>
      </c>
      <c r="G76" s="76">
        <v>0</v>
      </c>
      <c r="H76" s="76">
        <v>0</v>
      </c>
      <c r="I76" s="76">
        <v>0</v>
      </c>
      <c r="J76" s="76">
        <v>11.8</v>
      </c>
      <c r="K76" s="76">
        <v>11.8</v>
      </c>
      <c r="L76" s="76">
        <v>11.8</v>
      </c>
      <c r="M76" s="76">
        <v>12</v>
      </c>
      <c r="N76" s="76">
        <v>12</v>
      </c>
      <c r="O76" s="76">
        <v>12</v>
      </c>
      <c r="P76" s="76">
        <v>12</v>
      </c>
      <c r="Q76" s="76">
        <v>35</v>
      </c>
      <c r="R76" s="76">
        <v>38.9</v>
      </c>
      <c r="S76" s="76">
        <v>33.799999999999997</v>
      </c>
      <c r="T76" s="76">
        <v>38.1</v>
      </c>
      <c r="U76" s="76">
        <v>29</v>
      </c>
      <c r="V76" s="76">
        <v>44.4</v>
      </c>
      <c r="W76" s="76">
        <v>31</v>
      </c>
      <c r="X76" s="76">
        <v>31</v>
      </c>
      <c r="Y76" s="76">
        <v>31.8</v>
      </c>
      <c r="Z76" s="76">
        <v>35.1</v>
      </c>
      <c r="AA76" s="50">
        <v>40.700000000000003</v>
      </c>
      <c r="AB76" s="50">
        <v>40.700000000000003</v>
      </c>
      <c r="AC76" s="76">
        <v>44</v>
      </c>
      <c r="AD76" s="76">
        <v>44</v>
      </c>
      <c r="AE76" s="76">
        <v>42.5</v>
      </c>
      <c r="AF76" s="76">
        <v>45.8</v>
      </c>
      <c r="AG76" s="75"/>
      <c r="AH76" s="47">
        <f t="shared" si="2"/>
        <v>45.8</v>
      </c>
      <c r="AI76" s="48">
        <f t="shared" si="3"/>
        <v>0</v>
      </c>
      <c r="AK76" s="74"/>
    </row>
    <row r="77" spans="1:40" x14ac:dyDescent="0.25">
      <c r="A77" s="53" t="s">
        <v>93</v>
      </c>
      <c r="B77" s="45"/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35</v>
      </c>
      <c r="V77" s="45">
        <v>30.5</v>
      </c>
      <c r="W77" s="45">
        <v>30.5</v>
      </c>
      <c r="X77" s="45">
        <v>27.1</v>
      </c>
      <c r="Y77" s="45">
        <v>25.9</v>
      </c>
      <c r="Z77" s="45">
        <v>25.9</v>
      </c>
      <c r="AA77" s="50">
        <v>19.7</v>
      </c>
      <c r="AB77" s="50">
        <v>19.7</v>
      </c>
      <c r="AC77" s="45">
        <v>28.6</v>
      </c>
      <c r="AD77" s="45">
        <v>28.6</v>
      </c>
      <c r="AE77" s="45">
        <v>26.7</v>
      </c>
      <c r="AF77" s="45">
        <v>29.5</v>
      </c>
      <c r="AG77" s="75"/>
      <c r="AH77" s="47">
        <f t="shared" ref="AH77:AH120" si="15">MAX(B77:AF77)</f>
        <v>35</v>
      </c>
      <c r="AI77" s="48">
        <f t="shared" ref="AI77:AI120" si="16">MIN(B77:AF77)</f>
        <v>0</v>
      </c>
      <c r="AK77" s="74"/>
    </row>
    <row r="78" spans="1:40" x14ac:dyDescent="0.25">
      <c r="A78" s="53" t="s">
        <v>94</v>
      </c>
      <c r="B78" s="45"/>
      <c r="C78" s="77">
        <v>5</v>
      </c>
      <c r="D78" s="77">
        <v>5</v>
      </c>
      <c r="E78" s="77">
        <v>5</v>
      </c>
      <c r="F78" s="77">
        <v>5</v>
      </c>
      <c r="G78" s="77">
        <v>5</v>
      </c>
      <c r="H78" s="77">
        <v>5</v>
      </c>
      <c r="I78" s="77">
        <v>5</v>
      </c>
      <c r="J78" s="77">
        <v>5</v>
      </c>
      <c r="K78" s="77">
        <v>5</v>
      </c>
      <c r="L78" s="77">
        <v>5</v>
      </c>
      <c r="M78" s="77">
        <v>5</v>
      </c>
      <c r="N78" s="77">
        <v>5</v>
      </c>
      <c r="O78" s="77">
        <v>5</v>
      </c>
      <c r="P78" s="77">
        <v>5</v>
      </c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5</v>
      </c>
      <c r="AA78" s="50">
        <v>5</v>
      </c>
      <c r="AB78" s="50">
        <v>5</v>
      </c>
      <c r="AC78" s="77">
        <v>5</v>
      </c>
      <c r="AD78" s="77">
        <v>5</v>
      </c>
      <c r="AE78" s="77">
        <v>5</v>
      </c>
      <c r="AF78" s="77">
        <v>5</v>
      </c>
      <c r="AG78" s="75"/>
      <c r="AH78" s="47">
        <f t="shared" si="15"/>
        <v>5</v>
      </c>
      <c r="AI78" s="48">
        <f t="shared" si="16"/>
        <v>5</v>
      </c>
      <c r="AK78" s="74"/>
    </row>
    <row r="79" spans="1:40" ht="15.75" thickBot="1" x14ac:dyDescent="0.3">
      <c r="A79" s="53" t="s">
        <v>95</v>
      </c>
      <c r="B79" s="45"/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50">
        <v>0</v>
      </c>
      <c r="AB79" s="50">
        <v>0</v>
      </c>
      <c r="AC79" s="50">
        <v>0</v>
      </c>
      <c r="AD79" s="50">
        <v>0</v>
      </c>
      <c r="AE79" s="50">
        <v>0</v>
      </c>
      <c r="AF79" s="50">
        <v>0</v>
      </c>
      <c r="AG79" s="75"/>
      <c r="AH79" s="47">
        <f t="shared" si="15"/>
        <v>0</v>
      </c>
      <c r="AI79" s="48">
        <f t="shared" si="16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/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50">
        <v>0</v>
      </c>
      <c r="AB80" s="50">
        <v>0</v>
      </c>
      <c r="AC80" s="50">
        <v>0</v>
      </c>
      <c r="AD80" s="50">
        <v>0</v>
      </c>
      <c r="AE80" s="50">
        <v>0</v>
      </c>
      <c r="AF80" s="50">
        <v>0</v>
      </c>
      <c r="AG80" s="75"/>
      <c r="AH80" s="47">
        <f t="shared" si="15"/>
        <v>0</v>
      </c>
      <c r="AI80" s="48">
        <f t="shared" si="16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/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50">
        <v>0</v>
      </c>
      <c r="AB81" s="50">
        <v>0</v>
      </c>
      <c r="AC81" s="50">
        <v>0</v>
      </c>
      <c r="AD81" s="50">
        <v>0</v>
      </c>
      <c r="AE81" s="50">
        <v>0</v>
      </c>
      <c r="AF81" s="50">
        <v>0</v>
      </c>
      <c r="AG81" s="75"/>
      <c r="AH81" s="47">
        <f t="shared" si="15"/>
        <v>0</v>
      </c>
      <c r="AI81" s="48">
        <f t="shared" si="16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/>
      <c r="C82" s="77">
        <v>0</v>
      </c>
      <c r="D82" s="77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50">
        <v>0</v>
      </c>
      <c r="AB82" s="50">
        <v>0</v>
      </c>
      <c r="AC82" s="50">
        <v>0</v>
      </c>
      <c r="AD82" s="50">
        <v>0</v>
      </c>
      <c r="AE82" s="50">
        <v>0</v>
      </c>
      <c r="AF82" s="50">
        <v>0</v>
      </c>
      <c r="AG82" s="85"/>
      <c r="AH82" s="47">
        <f t="shared" si="15"/>
        <v>0</v>
      </c>
      <c r="AI82" s="48">
        <f t="shared" si="16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/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50">
        <v>0</v>
      </c>
      <c r="AB83" s="50">
        <v>0</v>
      </c>
      <c r="AC83" s="50">
        <v>0</v>
      </c>
      <c r="AD83" s="50">
        <v>0</v>
      </c>
      <c r="AE83" s="50">
        <v>0</v>
      </c>
      <c r="AF83" s="50">
        <v>0</v>
      </c>
      <c r="AG83" s="85"/>
      <c r="AH83" s="47">
        <f t="shared" si="15"/>
        <v>0</v>
      </c>
      <c r="AI83" s="48">
        <f t="shared" si="16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7">SUMIF(B73:B83,"&gt;0")</f>
        <v>0</v>
      </c>
      <c r="C84" s="59">
        <f t="shared" si="17"/>
        <v>63.1</v>
      </c>
      <c r="D84" s="59">
        <f t="shared" si="17"/>
        <v>56.1</v>
      </c>
      <c r="E84" s="59">
        <f t="shared" si="17"/>
        <v>58.1</v>
      </c>
      <c r="F84" s="59">
        <f t="shared" si="17"/>
        <v>79.599999999999994</v>
      </c>
      <c r="G84" s="59">
        <f t="shared" si="17"/>
        <v>61.9</v>
      </c>
      <c r="H84" s="59">
        <f t="shared" si="17"/>
        <v>59.7</v>
      </c>
      <c r="I84" s="59">
        <f t="shared" si="17"/>
        <v>63.3</v>
      </c>
      <c r="J84" s="59">
        <f t="shared" si="17"/>
        <v>73.2</v>
      </c>
      <c r="K84" s="59">
        <f t="shared" si="17"/>
        <v>74.5</v>
      </c>
      <c r="L84" s="59">
        <f t="shared" si="17"/>
        <v>69.7</v>
      </c>
      <c r="M84" s="59">
        <f t="shared" si="17"/>
        <v>71.400000000000006</v>
      </c>
      <c r="N84" s="59">
        <f t="shared" si="17"/>
        <v>71.400000000000006</v>
      </c>
      <c r="O84" s="59">
        <f t="shared" si="17"/>
        <v>87</v>
      </c>
      <c r="P84" s="59">
        <f t="shared" si="17"/>
        <v>87</v>
      </c>
      <c r="Q84" s="59">
        <f t="shared" si="17"/>
        <v>82</v>
      </c>
      <c r="R84" s="59">
        <f t="shared" si="17"/>
        <v>74.5</v>
      </c>
      <c r="S84" s="59">
        <f t="shared" si="17"/>
        <v>76.8</v>
      </c>
      <c r="T84" s="59">
        <f t="shared" si="17"/>
        <v>89</v>
      </c>
      <c r="U84" s="59">
        <f t="shared" si="17"/>
        <v>116</v>
      </c>
      <c r="V84" s="59">
        <f t="shared" si="17"/>
        <v>127.1</v>
      </c>
      <c r="W84" s="59">
        <f t="shared" si="17"/>
        <v>107.5</v>
      </c>
      <c r="X84" s="59">
        <f t="shared" si="17"/>
        <v>100.9</v>
      </c>
      <c r="Y84" s="59">
        <f t="shared" si="17"/>
        <v>105.5</v>
      </c>
      <c r="Z84" s="59">
        <f t="shared" si="17"/>
        <v>104.9</v>
      </c>
      <c r="AA84" s="59">
        <f t="shared" si="17"/>
        <v>110.7</v>
      </c>
      <c r="AB84" s="59">
        <f t="shared" si="17"/>
        <v>135.4</v>
      </c>
      <c r="AC84" s="59">
        <f t="shared" si="17"/>
        <v>145.4</v>
      </c>
      <c r="AD84" s="59">
        <f t="shared" si="17"/>
        <v>142.6</v>
      </c>
      <c r="AE84" s="59">
        <f t="shared" si="17"/>
        <v>139.1</v>
      </c>
      <c r="AF84" s="59">
        <f t="shared" si="17"/>
        <v>144.1</v>
      </c>
      <c r="AG84" s="88">
        <f>SUM(AG73:AG83)</f>
        <v>0</v>
      </c>
      <c r="AH84" s="47">
        <f t="shared" si="15"/>
        <v>145.4</v>
      </c>
      <c r="AI84" s="48">
        <f t="shared" si="16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50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5"/>
        <v>0</v>
      </c>
      <c r="AI85" s="48">
        <f t="shared" si="16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50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5"/>
        <v>0</v>
      </c>
      <c r="AI86" s="48">
        <f t="shared" si="16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50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5"/>
        <v>0</v>
      </c>
      <c r="AI87" s="48">
        <f t="shared" si="16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0">
        <f t="shared" ref="AA88" si="18">SUM(AA85:AA87)</f>
        <v>0</v>
      </c>
      <c r="AB88" s="59"/>
      <c r="AC88" s="59"/>
      <c r="AD88" s="59"/>
      <c r="AE88" s="59"/>
      <c r="AF88" s="59"/>
      <c r="AG88" s="88">
        <f>SUM(AG85:AG87)</f>
        <v>55.4</v>
      </c>
      <c r="AH88" s="47">
        <f t="shared" si="15"/>
        <v>0</v>
      </c>
      <c r="AI88" s="48">
        <f t="shared" si="16"/>
        <v>0</v>
      </c>
    </row>
    <row r="89" spans="1:40" ht="15.75" thickBot="1" x14ac:dyDescent="0.3">
      <c r="A89" s="73" t="s">
        <v>108</v>
      </c>
      <c r="B89" s="95">
        <f t="shared" ref="B89:AG89" si="19">B50+B54+B72+B68+B84+B88</f>
        <v>68.540000000000006</v>
      </c>
      <c r="C89" s="95">
        <f t="shared" si="19"/>
        <v>1670.04</v>
      </c>
      <c r="D89" s="95">
        <f t="shared" si="19"/>
        <v>1711.4399999999998</v>
      </c>
      <c r="E89" s="95">
        <f t="shared" si="19"/>
        <v>1703.4399999999998</v>
      </c>
      <c r="F89" s="95">
        <f t="shared" si="19"/>
        <v>1742.1399999999999</v>
      </c>
      <c r="G89" s="95">
        <f t="shared" si="19"/>
        <v>1784.24</v>
      </c>
      <c r="H89" s="95">
        <f t="shared" si="19"/>
        <v>1792.34</v>
      </c>
      <c r="I89" s="95">
        <f t="shared" si="19"/>
        <v>1803.4399999999998</v>
      </c>
      <c r="J89" s="95">
        <f t="shared" si="19"/>
        <v>1790.4399999999998</v>
      </c>
      <c r="K89" s="95">
        <f t="shared" si="19"/>
        <v>1804.6399999999999</v>
      </c>
      <c r="L89" s="95">
        <f t="shared" si="19"/>
        <v>1780.9399999999998</v>
      </c>
      <c r="M89" s="95">
        <f t="shared" si="19"/>
        <v>1804.84</v>
      </c>
      <c r="N89" s="95">
        <f t="shared" si="19"/>
        <v>1804.94</v>
      </c>
      <c r="O89" s="95">
        <f t="shared" si="19"/>
        <v>1835.54</v>
      </c>
      <c r="P89" s="95">
        <f t="shared" si="19"/>
        <v>1841.9399999999998</v>
      </c>
      <c r="Q89" s="95">
        <f t="shared" si="19"/>
        <v>1296.1400000000001</v>
      </c>
      <c r="R89" s="95">
        <f t="shared" si="19"/>
        <v>1843.3399999999997</v>
      </c>
      <c r="S89" s="95">
        <f t="shared" si="19"/>
        <v>1857.5399999999997</v>
      </c>
      <c r="T89" s="95">
        <f t="shared" si="19"/>
        <v>1860.74</v>
      </c>
      <c r="U89" s="95">
        <f t="shared" si="19"/>
        <v>1889.54</v>
      </c>
      <c r="V89" s="95">
        <f t="shared" si="19"/>
        <v>1852.8399999999997</v>
      </c>
      <c r="W89" s="95">
        <f t="shared" si="19"/>
        <v>1785.3399999999997</v>
      </c>
      <c r="X89" s="95">
        <f t="shared" si="19"/>
        <v>1758.44</v>
      </c>
      <c r="Y89" s="95">
        <f t="shared" si="19"/>
        <v>1763.04</v>
      </c>
      <c r="Z89" s="95">
        <f t="shared" si="19"/>
        <v>1765.8400000000001</v>
      </c>
      <c r="AA89" s="50">
        <f>SUM(AA50,AA54,AA68,AA72,AA84,AA88)</f>
        <v>1869.24</v>
      </c>
      <c r="AB89" s="95">
        <f t="shared" si="19"/>
        <v>1813.4399999999998</v>
      </c>
      <c r="AC89" s="95">
        <f t="shared" si="19"/>
        <v>1785.1399999999999</v>
      </c>
      <c r="AD89" s="95">
        <f t="shared" si="19"/>
        <v>1810.3399999999997</v>
      </c>
      <c r="AE89" s="95">
        <f t="shared" si="19"/>
        <v>1867.9399999999996</v>
      </c>
      <c r="AF89" s="95">
        <f t="shared" si="19"/>
        <v>1974.9399999999996</v>
      </c>
      <c r="AG89" s="60">
        <f t="shared" si="19"/>
        <v>2111.5500000000002</v>
      </c>
      <c r="AH89" s="47">
        <f t="shared" si="15"/>
        <v>1974.9399999999996</v>
      </c>
      <c r="AI89" s="48">
        <f t="shared" si="16"/>
        <v>68.540000000000006</v>
      </c>
    </row>
    <row r="90" spans="1:40" ht="15.75" thickBot="1" x14ac:dyDescent="0.3">
      <c r="A90" s="96" t="s">
        <v>109</v>
      </c>
      <c r="B90" s="97"/>
      <c r="C90" s="97">
        <v>200</v>
      </c>
      <c r="D90" s="97">
        <v>150</v>
      </c>
      <c r="E90" s="97">
        <v>150</v>
      </c>
      <c r="F90" s="97">
        <v>100</v>
      </c>
      <c r="G90" s="97">
        <v>100</v>
      </c>
      <c r="H90" s="97">
        <v>100</v>
      </c>
      <c r="I90" s="97">
        <v>100</v>
      </c>
      <c r="J90" s="97">
        <v>100</v>
      </c>
      <c r="K90" s="97">
        <v>100</v>
      </c>
      <c r="L90" s="97">
        <v>100</v>
      </c>
      <c r="M90" s="97">
        <v>100</v>
      </c>
      <c r="N90" s="97"/>
      <c r="O90" s="97"/>
      <c r="P90" s="97"/>
      <c r="Q90" s="97">
        <v>300</v>
      </c>
      <c r="R90" s="97"/>
      <c r="S90" s="97"/>
      <c r="T90" s="97"/>
      <c r="U90" s="97"/>
      <c r="V90" s="97"/>
      <c r="W90" s="97"/>
      <c r="X90" s="97"/>
      <c r="Y90" s="97"/>
      <c r="Z90" s="97"/>
      <c r="AA90" s="50">
        <v>150</v>
      </c>
      <c r="AB90" s="50">
        <v>180</v>
      </c>
      <c r="AC90" s="97">
        <v>180</v>
      </c>
      <c r="AD90" s="97"/>
      <c r="AE90" s="97"/>
      <c r="AF90" s="97"/>
      <c r="AG90" s="88"/>
      <c r="AH90" s="47">
        <f t="shared" si="15"/>
        <v>300</v>
      </c>
      <c r="AI90" s="48">
        <f t="shared" si="16"/>
        <v>100</v>
      </c>
    </row>
    <row r="91" spans="1:40" ht="15.75" thickBot="1" x14ac:dyDescent="0.3">
      <c r="A91" s="73" t="s">
        <v>110</v>
      </c>
      <c r="B91" s="95">
        <f t="shared" ref="B91:AF91" si="20">B89+B90</f>
        <v>68.540000000000006</v>
      </c>
      <c r="C91" s="95">
        <f t="shared" si="20"/>
        <v>1870.04</v>
      </c>
      <c r="D91" s="95">
        <f t="shared" si="20"/>
        <v>1861.4399999999998</v>
      </c>
      <c r="E91" s="95">
        <f t="shared" si="20"/>
        <v>1853.4399999999998</v>
      </c>
      <c r="F91" s="95">
        <f t="shared" si="20"/>
        <v>1842.1399999999999</v>
      </c>
      <c r="G91" s="95">
        <f t="shared" si="20"/>
        <v>1884.24</v>
      </c>
      <c r="H91" s="95">
        <f t="shared" si="20"/>
        <v>1892.34</v>
      </c>
      <c r="I91" s="95">
        <f t="shared" si="20"/>
        <v>1903.4399999999998</v>
      </c>
      <c r="J91" s="95">
        <f t="shared" si="20"/>
        <v>1890.4399999999998</v>
      </c>
      <c r="K91" s="95">
        <f t="shared" si="20"/>
        <v>1904.6399999999999</v>
      </c>
      <c r="L91" s="95">
        <f t="shared" si="20"/>
        <v>1880.9399999999998</v>
      </c>
      <c r="M91" s="95">
        <f t="shared" si="20"/>
        <v>1904.84</v>
      </c>
      <c r="N91" s="95">
        <f t="shared" si="20"/>
        <v>1804.94</v>
      </c>
      <c r="O91" s="95">
        <f t="shared" si="20"/>
        <v>1835.54</v>
      </c>
      <c r="P91" s="95">
        <f t="shared" si="20"/>
        <v>1841.9399999999998</v>
      </c>
      <c r="Q91" s="95">
        <f t="shared" si="20"/>
        <v>1596.14</v>
      </c>
      <c r="R91" s="95">
        <f t="shared" si="20"/>
        <v>1843.3399999999997</v>
      </c>
      <c r="S91" s="95">
        <f t="shared" si="20"/>
        <v>1857.5399999999997</v>
      </c>
      <c r="T91" s="95">
        <f t="shared" si="20"/>
        <v>1860.74</v>
      </c>
      <c r="U91" s="95">
        <f t="shared" si="20"/>
        <v>1889.54</v>
      </c>
      <c r="V91" s="95">
        <f t="shared" si="20"/>
        <v>1852.8399999999997</v>
      </c>
      <c r="W91" s="95">
        <f t="shared" si="20"/>
        <v>1785.3399999999997</v>
      </c>
      <c r="X91" s="95">
        <f t="shared" si="20"/>
        <v>1758.44</v>
      </c>
      <c r="Y91" s="95">
        <f t="shared" si="20"/>
        <v>1763.04</v>
      </c>
      <c r="Z91" s="95">
        <f t="shared" si="20"/>
        <v>1765.8400000000001</v>
      </c>
      <c r="AA91" s="50">
        <f t="shared" ref="AA91" si="21">SUM(AA89+AA90)</f>
        <v>2019.24</v>
      </c>
      <c r="AB91" s="95">
        <f t="shared" si="20"/>
        <v>1993.4399999999998</v>
      </c>
      <c r="AC91" s="95">
        <f t="shared" si="20"/>
        <v>1965.1399999999999</v>
      </c>
      <c r="AD91" s="95">
        <f t="shared" si="20"/>
        <v>1810.3399999999997</v>
      </c>
      <c r="AE91" s="95">
        <f t="shared" si="20"/>
        <v>1867.9399999999996</v>
      </c>
      <c r="AF91" s="95">
        <f t="shared" si="20"/>
        <v>1974.9399999999996</v>
      </c>
      <c r="AG91" s="88">
        <f>AG88+AG84+AG72+AG68+AG50+AG90</f>
        <v>1573.45</v>
      </c>
      <c r="AH91" s="47">
        <f t="shared" si="15"/>
        <v>2019.24</v>
      </c>
      <c r="AI91" s="48">
        <f t="shared" si="16"/>
        <v>68.540000000000006</v>
      </c>
    </row>
    <row r="92" spans="1:40" ht="15.75" thickBot="1" x14ac:dyDescent="0.3">
      <c r="A92" s="73" t="s">
        <v>111</v>
      </c>
      <c r="B92" s="95">
        <f t="shared" ref="B92:AF92" si="22">B91-B99</f>
        <v>68.540000000000006</v>
      </c>
      <c r="C92" s="95">
        <f t="shared" si="22"/>
        <v>1870.04</v>
      </c>
      <c r="D92" s="95">
        <f t="shared" si="22"/>
        <v>1861.4399999999998</v>
      </c>
      <c r="E92" s="95">
        <f t="shared" si="22"/>
        <v>1853.4399999999998</v>
      </c>
      <c r="F92" s="95">
        <f t="shared" si="22"/>
        <v>1842.1399999999999</v>
      </c>
      <c r="G92" s="95">
        <f t="shared" si="22"/>
        <v>1884.24</v>
      </c>
      <c r="H92" s="95">
        <f t="shared" si="22"/>
        <v>1892.34</v>
      </c>
      <c r="I92" s="95">
        <f t="shared" si="22"/>
        <v>1903.4399999999998</v>
      </c>
      <c r="J92" s="95">
        <f t="shared" si="22"/>
        <v>1890.4399999999998</v>
      </c>
      <c r="K92" s="95">
        <f t="shared" si="22"/>
        <v>1904.6399999999999</v>
      </c>
      <c r="L92" s="95">
        <f t="shared" si="22"/>
        <v>1880.9399999999998</v>
      </c>
      <c r="M92" s="95">
        <f t="shared" si="22"/>
        <v>1904.84</v>
      </c>
      <c r="N92" s="95">
        <f t="shared" si="22"/>
        <v>1804.94</v>
      </c>
      <c r="O92" s="95">
        <f t="shared" si="22"/>
        <v>1835.54</v>
      </c>
      <c r="P92" s="95">
        <f t="shared" si="22"/>
        <v>1841.9399999999998</v>
      </c>
      <c r="Q92" s="95">
        <f t="shared" si="22"/>
        <v>1596.14</v>
      </c>
      <c r="R92" s="95">
        <f t="shared" si="22"/>
        <v>1843.3399999999997</v>
      </c>
      <c r="S92" s="95">
        <f t="shared" si="22"/>
        <v>1857.5399999999997</v>
      </c>
      <c r="T92" s="95">
        <f t="shared" si="22"/>
        <v>1860.74</v>
      </c>
      <c r="U92" s="95">
        <f t="shared" si="22"/>
        <v>1889.54</v>
      </c>
      <c r="V92" s="95">
        <f t="shared" si="22"/>
        <v>1852.8399999999997</v>
      </c>
      <c r="W92" s="95">
        <f t="shared" si="22"/>
        <v>1785.3399999999997</v>
      </c>
      <c r="X92" s="95">
        <f t="shared" si="22"/>
        <v>1758.44</v>
      </c>
      <c r="Y92" s="95">
        <f t="shared" si="22"/>
        <v>1763.04</v>
      </c>
      <c r="Z92" s="95">
        <f t="shared" si="22"/>
        <v>1765.8400000000001</v>
      </c>
      <c r="AA92" s="50">
        <f t="shared" si="22"/>
        <v>2019.24</v>
      </c>
      <c r="AB92" s="95">
        <f t="shared" si="22"/>
        <v>1993.4399999999998</v>
      </c>
      <c r="AC92" s="95">
        <f t="shared" si="22"/>
        <v>1965.1399999999999</v>
      </c>
      <c r="AD92" s="95">
        <f t="shared" si="22"/>
        <v>1810.3399999999997</v>
      </c>
      <c r="AE92" s="95">
        <f t="shared" si="22"/>
        <v>1867.9399999999996</v>
      </c>
      <c r="AF92" s="95">
        <f t="shared" si="22"/>
        <v>1974.9399999999996</v>
      </c>
      <c r="AG92" s="88"/>
      <c r="AH92" s="47">
        <f t="shared" si="15"/>
        <v>2019.24</v>
      </c>
      <c r="AI92" s="48">
        <f t="shared" si="16"/>
        <v>68.540000000000006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50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5"/>
        <v>0</v>
      </c>
      <c r="AI93" s="48">
        <f t="shared" si="16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50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5"/>
        <v>0</v>
      </c>
      <c r="AI94" s="48">
        <f t="shared" si="16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50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5"/>
        <v>0</v>
      </c>
      <c r="AI95" s="48">
        <f t="shared" si="16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50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5"/>
        <v>0</v>
      </c>
      <c r="AI96" s="48">
        <f t="shared" si="16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50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5"/>
        <v>0</v>
      </c>
      <c r="AI97" s="48">
        <f t="shared" si="16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50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5"/>
        <v>0</v>
      </c>
      <c r="AI98" s="48">
        <f t="shared" si="16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0">
        <f t="shared" ref="AA99" si="23">SUM(AA93:AA98)</f>
        <v>0</v>
      </c>
      <c r="AB99" s="59"/>
      <c r="AC99" s="59"/>
      <c r="AD99" s="59"/>
      <c r="AE99" s="59"/>
      <c r="AF99" s="59"/>
      <c r="AG99" s="88"/>
      <c r="AH99" s="47">
        <f t="shared" si="15"/>
        <v>0</v>
      </c>
      <c r="AI99" s="48">
        <f t="shared" si="16"/>
        <v>0</v>
      </c>
      <c r="AK99" s="74"/>
    </row>
    <row r="100" spans="1:37" ht="15.75" thickBot="1" x14ac:dyDescent="0.3">
      <c r="A100" s="73" t="s">
        <v>116</v>
      </c>
      <c r="B100" s="59">
        <f t="shared" ref="B100:AF100" si="24">B84-B99</f>
        <v>0</v>
      </c>
      <c r="C100" s="59">
        <f t="shared" si="24"/>
        <v>63.1</v>
      </c>
      <c r="D100" s="59">
        <f t="shared" si="24"/>
        <v>56.1</v>
      </c>
      <c r="E100" s="59">
        <f t="shared" si="24"/>
        <v>58.1</v>
      </c>
      <c r="F100" s="59">
        <f t="shared" si="24"/>
        <v>79.599999999999994</v>
      </c>
      <c r="G100" s="59">
        <f t="shared" si="24"/>
        <v>61.9</v>
      </c>
      <c r="H100" s="59">
        <f t="shared" si="24"/>
        <v>59.7</v>
      </c>
      <c r="I100" s="59">
        <f t="shared" si="24"/>
        <v>63.3</v>
      </c>
      <c r="J100" s="59">
        <f t="shared" si="24"/>
        <v>73.2</v>
      </c>
      <c r="K100" s="59">
        <f t="shared" si="24"/>
        <v>74.5</v>
      </c>
      <c r="L100" s="59">
        <f t="shared" si="24"/>
        <v>69.7</v>
      </c>
      <c r="M100" s="59">
        <f t="shared" si="24"/>
        <v>71.400000000000006</v>
      </c>
      <c r="N100" s="59">
        <f t="shared" si="24"/>
        <v>71.400000000000006</v>
      </c>
      <c r="O100" s="59">
        <f t="shared" si="24"/>
        <v>87</v>
      </c>
      <c r="P100" s="59">
        <f t="shared" si="24"/>
        <v>87</v>
      </c>
      <c r="Q100" s="59">
        <f t="shared" si="24"/>
        <v>82</v>
      </c>
      <c r="R100" s="59">
        <f t="shared" si="24"/>
        <v>74.5</v>
      </c>
      <c r="S100" s="59">
        <f t="shared" si="24"/>
        <v>76.8</v>
      </c>
      <c r="T100" s="59">
        <f t="shared" si="24"/>
        <v>89</v>
      </c>
      <c r="U100" s="59">
        <f t="shared" si="24"/>
        <v>116</v>
      </c>
      <c r="V100" s="59">
        <f t="shared" si="24"/>
        <v>127.1</v>
      </c>
      <c r="W100" s="59">
        <f t="shared" si="24"/>
        <v>107.5</v>
      </c>
      <c r="X100" s="59">
        <f t="shared" si="24"/>
        <v>100.9</v>
      </c>
      <c r="Y100" s="59">
        <f t="shared" si="24"/>
        <v>105.5</v>
      </c>
      <c r="Z100" s="59">
        <f t="shared" si="24"/>
        <v>104.9</v>
      </c>
      <c r="AA100" s="50">
        <f t="shared" si="24"/>
        <v>110.7</v>
      </c>
      <c r="AB100" s="59">
        <f t="shared" si="24"/>
        <v>135.4</v>
      </c>
      <c r="AC100" s="59">
        <f t="shared" si="24"/>
        <v>145.4</v>
      </c>
      <c r="AD100" s="59">
        <f t="shared" si="24"/>
        <v>142.6</v>
      </c>
      <c r="AE100" s="59">
        <f t="shared" si="24"/>
        <v>139.1</v>
      </c>
      <c r="AF100" s="59">
        <f t="shared" si="24"/>
        <v>144.1</v>
      </c>
      <c r="AG100" s="88"/>
      <c r="AH100" s="47">
        <f t="shared" si="15"/>
        <v>145.4</v>
      </c>
      <c r="AI100" s="48">
        <f t="shared" si="16"/>
        <v>0</v>
      </c>
    </row>
    <row r="101" spans="1:37" x14ac:dyDescent="0.25">
      <c r="A101" s="100" t="s">
        <v>117</v>
      </c>
      <c r="B101" s="101"/>
      <c r="C101" s="101">
        <v>49.963999999999999</v>
      </c>
      <c r="D101" s="101">
        <v>50.052999999999997</v>
      </c>
      <c r="E101" s="101">
        <v>50.023000000000003</v>
      </c>
      <c r="F101" s="101">
        <v>50.023000000000003</v>
      </c>
      <c r="G101" s="101">
        <v>50.02</v>
      </c>
      <c r="H101" s="101">
        <v>49.991999999999997</v>
      </c>
      <c r="I101" s="101">
        <v>50.075000000000003</v>
      </c>
      <c r="J101" s="101">
        <v>49.884</v>
      </c>
      <c r="K101" s="101">
        <v>50.024000000000001</v>
      </c>
      <c r="L101" s="101">
        <v>49.953000000000003</v>
      </c>
      <c r="M101" s="101">
        <v>49.954999999999998</v>
      </c>
      <c r="N101" s="101">
        <v>49.954999999999998</v>
      </c>
      <c r="O101" s="101">
        <v>50.148000000000003</v>
      </c>
      <c r="P101" s="101">
        <v>50.048999999999999</v>
      </c>
      <c r="Q101" s="101">
        <v>50.048999999999999</v>
      </c>
      <c r="R101" s="101">
        <v>50.057000000000002</v>
      </c>
      <c r="S101" s="101">
        <v>50.08</v>
      </c>
      <c r="T101" s="101">
        <v>50.03</v>
      </c>
      <c r="U101" s="101">
        <v>50.05</v>
      </c>
      <c r="V101" s="101">
        <v>49.97</v>
      </c>
      <c r="W101" s="101">
        <v>50.03</v>
      </c>
      <c r="X101" s="101">
        <v>50</v>
      </c>
      <c r="Y101" s="101">
        <v>50.11</v>
      </c>
      <c r="Z101" s="101">
        <v>50.06</v>
      </c>
      <c r="AA101" s="50">
        <v>50.07</v>
      </c>
      <c r="AB101" s="101">
        <v>49.991999999999997</v>
      </c>
      <c r="AC101" s="101">
        <v>49.945999999999998</v>
      </c>
      <c r="AD101" s="101">
        <v>49.994</v>
      </c>
      <c r="AE101" s="101">
        <v>49.999000000000002</v>
      </c>
      <c r="AF101" s="101">
        <v>50.063000000000002</v>
      </c>
      <c r="AG101" s="102"/>
      <c r="AH101" s="47">
        <f t="shared" si="15"/>
        <v>50.148000000000003</v>
      </c>
      <c r="AI101" s="48">
        <f t="shared" si="16"/>
        <v>49.884</v>
      </c>
    </row>
    <row r="102" spans="1:37" x14ac:dyDescent="0.25">
      <c r="A102" s="103" t="s">
        <v>118</v>
      </c>
      <c r="B102" s="64"/>
      <c r="C102" s="64">
        <v>124.2</v>
      </c>
      <c r="D102" s="64">
        <v>123.1</v>
      </c>
      <c r="E102" s="64">
        <v>123.4</v>
      </c>
      <c r="F102" s="64">
        <v>123.4</v>
      </c>
      <c r="G102" s="64">
        <v>124.9</v>
      </c>
      <c r="H102" s="64">
        <v>124.8</v>
      </c>
      <c r="I102" s="64">
        <v>124.5</v>
      </c>
      <c r="J102" s="64">
        <v>123.3</v>
      </c>
      <c r="K102" s="64">
        <v>124</v>
      </c>
      <c r="L102" s="64">
        <v>121.2</v>
      </c>
      <c r="M102" s="64">
        <v>120</v>
      </c>
      <c r="N102" s="64">
        <v>120</v>
      </c>
      <c r="O102" s="64">
        <v>121</v>
      </c>
      <c r="P102" s="64">
        <v>122.74</v>
      </c>
      <c r="Q102" s="64">
        <v>122.74</v>
      </c>
      <c r="R102" s="64">
        <v>124.8</v>
      </c>
      <c r="S102" s="64">
        <v>123.6</v>
      </c>
      <c r="T102" s="64">
        <v>123.6</v>
      </c>
      <c r="U102" s="64">
        <v>125</v>
      </c>
      <c r="V102" s="64">
        <v>125.1</v>
      </c>
      <c r="W102" s="64">
        <v>126.6</v>
      </c>
      <c r="X102" s="64">
        <v>126.1</v>
      </c>
      <c r="Y102" s="64">
        <v>126.1</v>
      </c>
      <c r="Z102" s="64">
        <v>127.1</v>
      </c>
      <c r="AA102" s="50">
        <v>125.8</v>
      </c>
      <c r="AB102" s="50">
        <v>125.8</v>
      </c>
      <c r="AC102" s="64">
        <v>124</v>
      </c>
      <c r="AD102" s="64">
        <v>124</v>
      </c>
      <c r="AE102" s="64">
        <v>122.9</v>
      </c>
      <c r="AF102" s="64">
        <v>122.9</v>
      </c>
      <c r="AG102" s="104"/>
      <c r="AH102" s="47">
        <f t="shared" si="15"/>
        <v>127.1</v>
      </c>
      <c r="AI102" s="48">
        <f t="shared" si="16"/>
        <v>120</v>
      </c>
    </row>
    <row r="103" spans="1:37" x14ac:dyDescent="0.25">
      <c r="A103" s="103" t="s">
        <v>119</v>
      </c>
      <c r="B103" s="64"/>
      <c r="C103" s="64">
        <v>129.4</v>
      </c>
      <c r="D103" s="64">
        <v>129.4</v>
      </c>
      <c r="E103" s="64">
        <v>129.6</v>
      </c>
      <c r="F103" s="64">
        <v>129.6</v>
      </c>
      <c r="G103" s="64">
        <v>129.9</v>
      </c>
      <c r="H103" s="64">
        <v>129</v>
      </c>
      <c r="I103" s="64">
        <v>128.4</v>
      </c>
      <c r="J103" s="64">
        <v>127.6</v>
      </c>
      <c r="K103" s="64">
        <v>128</v>
      </c>
      <c r="L103" s="64">
        <v>126.1</v>
      </c>
      <c r="M103" s="64">
        <v>124.7</v>
      </c>
      <c r="N103" s="64">
        <v>124.7</v>
      </c>
      <c r="O103" s="64">
        <v>125.8</v>
      </c>
      <c r="P103" s="64">
        <v>126.8</v>
      </c>
      <c r="Q103" s="64">
        <v>126.8</v>
      </c>
      <c r="R103" s="64">
        <v>128.1</v>
      </c>
      <c r="S103" s="64">
        <v>127.3</v>
      </c>
      <c r="T103" s="64">
        <v>127.1</v>
      </c>
      <c r="U103" s="64">
        <v>129.69999999999999</v>
      </c>
      <c r="V103" s="64">
        <v>129.69999999999999</v>
      </c>
      <c r="W103" s="64">
        <v>130.69999999999999</v>
      </c>
      <c r="X103" s="64">
        <v>130.6</v>
      </c>
      <c r="Y103" s="64">
        <v>130.5</v>
      </c>
      <c r="Z103" s="64">
        <v>130.80000000000001</v>
      </c>
      <c r="AA103" s="50">
        <v>129.9</v>
      </c>
      <c r="AB103" s="50">
        <v>129.9</v>
      </c>
      <c r="AC103" s="64">
        <v>128.6</v>
      </c>
      <c r="AD103" s="64">
        <v>128.6</v>
      </c>
      <c r="AE103" s="64">
        <v>128.30000000000001</v>
      </c>
      <c r="AF103" s="64">
        <v>128.30000000000001</v>
      </c>
      <c r="AG103" s="104"/>
      <c r="AH103" s="47">
        <f t="shared" si="15"/>
        <v>130.80000000000001</v>
      </c>
      <c r="AI103" s="48">
        <f t="shared" si="16"/>
        <v>124.7</v>
      </c>
    </row>
    <row r="104" spans="1:37" x14ac:dyDescent="0.25">
      <c r="A104" s="103" t="s">
        <v>120</v>
      </c>
      <c r="B104" s="64"/>
      <c r="C104" s="64">
        <v>127</v>
      </c>
      <c r="D104" s="64">
        <v>129.19999999999999</v>
      </c>
      <c r="E104" s="64">
        <v>130.5</v>
      </c>
      <c r="F104" s="64">
        <v>130.5</v>
      </c>
      <c r="G104" s="64">
        <v>128.6</v>
      </c>
      <c r="H104" s="64">
        <v>132.1</v>
      </c>
      <c r="I104" s="64">
        <v>132.1</v>
      </c>
      <c r="J104" s="64">
        <v>128.80000000000001</v>
      </c>
      <c r="K104" s="64">
        <v>127.5</v>
      </c>
      <c r="L104" s="64">
        <v>126.1</v>
      </c>
      <c r="M104" s="64">
        <v>127.7</v>
      </c>
      <c r="N104" s="64">
        <v>127.7</v>
      </c>
      <c r="O104" s="64">
        <v>124.3</v>
      </c>
      <c r="P104" s="64">
        <v>127.4</v>
      </c>
      <c r="Q104" s="64">
        <v>127.4</v>
      </c>
      <c r="R104" s="64">
        <v>124.9</v>
      </c>
      <c r="S104" s="64">
        <v>126.5</v>
      </c>
      <c r="T104" s="64">
        <v>128.69999999999999</v>
      </c>
      <c r="U104" s="64">
        <v>126.9</v>
      </c>
      <c r="V104" s="64">
        <v>129.5</v>
      </c>
      <c r="W104" s="64">
        <v>131.5</v>
      </c>
      <c r="X104" s="64">
        <v>131.30000000000001</v>
      </c>
      <c r="Y104" s="64">
        <v>130</v>
      </c>
      <c r="Z104" s="64">
        <v>129.69999999999999</v>
      </c>
      <c r="AA104" s="50">
        <v>125.8</v>
      </c>
      <c r="AB104" s="50">
        <v>125.8</v>
      </c>
      <c r="AC104" s="64">
        <v>129.5</v>
      </c>
      <c r="AD104" s="64">
        <v>129.5</v>
      </c>
      <c r="AE104" s="64">
        <v>126.2</v>
      </c>
      <c r="AF104" s="64">
        <v>126.2</v>
      </c>
      <c r="AG104" s="104"/>
      <c r="AH104" s="47">
        <f t="shared" si="15"/>
        <v>132.1</v>
      </c>
      <c r="AI104" s="48">
        <f t="shared" si="16"/>
        <v>124.3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50"/>
      <c r="AB105" s="50"/>
      <c r="AC105" s="64"/>
      <c r="AD105" s="64"/>
      <c r="AE105" s="64"/>
      <c r="AF105" s="64"/>
      <c r="AG105" s="104"/>
      <c r="AH105" s="47">
        <f t="shared" si="15"/>
        <v>0</v>
      </c>
      <c r="AI105" s="48">
        <f t="shared" si="16"/>
        <v>0</v>
      </c>
    </row>
    <row r="106" spans="1:37" x14ac:dyDescent="0.25">
      <c r="A106" s="105" t="s">
        <v>122</v>
      </c>
      <c r="B106" s="106"/>
      <c r="C106" s="106">
        <v>130.4</v>
      </c>
      <c r="D106" s="106">
        <v>128.4</v>
      </c>
      <c r="E106" s="106">
        <v>131.4</v>
      </c>
      <c r="F106" s="106">
        <v>131.4</v>
      </c>
      <c r="G106" s="106">
        <v>132.69999999999999</v>
      </c>
      <c r="H106" s="106">
        <v>131.4</v>
      </c>
      <c r="I106" s="106">
        <v>129.19999999999999</v>
      </c>
      <c r="J106" s="106">
        <v>127.8</v>
      </c>
      <c r="K106" s="106">
        <v>132.6</v>
      </c>
      <c r="L106" s="106">
        <v>131.1</v>
      </c>
      <c r="M106" s="106">
        <v>128.1</v>
      </c>
      <c r="N106" s="106">
        <v>128.1</v>
      </c>
      <c r="O106" s="106">
        <v>128.80000000000001</v>
      </c>
      <c r="P106" s="106">
        <v>131.9</v>
      </c>
      <c r="Q106" s="106">
        <v>133</v>
      </c>
      <c r="R106" s="106">
        <v>135.4</v>
      </c>
      <c r="S106" s="106">
        <v>131.30000000000001</v>
      </c>
      <c r="T106" s="106">
        <v>131.9</v>
      </c>
      <c r="U106" s="106">
        <v>132</v>
      </c>
      <c r="V106" s="106">
        <v>132.9</v>
      </c>
      <c r="W106" s="106">
        <v>132.19999999999999</v>
      </c>
      <c r="X106" s="106">
        <v>132</v>
      </c>
      <c r="Y106" s="106">
        <v>133.5</v>
      </c>
      <c r="Z106" s="106">
        <v>133.80000000000001</v>
      </c>
      <c r="AA106" s="50">
        <v>132.19999999999999</v>
      </c>
      <c r="AB106" s="50">
        <v>132.19999999999999</v>
      </c>
      <c r="AC106" s="106">
        <v>129</v>
      </c>
      <c r="AD106" s="106">
        <v>129</v>
      </c>
      <c r="AE106" s="106">
        <v>135.1</v>
      </c>
      <c r="AF106" s="106">
        <v>135.1</v>
      </c>
      <c r="AG106" s="107"/>
      <c r="AH106" s="47">
        <f t="shared" si="15"/>
        <v>135.4</v>
      </c>
      <c r="AI106" s="48">
        <f t="shared" si="16"/>
        <v>127.8</v>
      </c>
    </row>
    <row r="107" spans="1:37" x14ac:dyDescent="0.25">
      <c r="A107" s="103" t="s">
        <v>123</v>
      </c>
      <c r="B107" s="64"/>
      <c r="C107" s="64">
        <v>135.19999999999999</v>
      </c>
      <c r="D107" s="64">
        <v>135.1</v>
      </c>
      <c r="E107" s="64">
        <v>137</v>
      </c>
      <c r="F107" s="64">
        <v>137</v>
      </c>
      <c r="G107" s="64">
        <v>129.4</v>
      </c>
      <c r="H107" s="64">
        <v>126.9</v>
      </c>
      <c r="I107" s="64">
        <v>135.5</v>
      </c>
      <c r="J107" s="64">
        <v>133.5</v>
      </c>
      <c r="K107" s="64">
        <v>130.19999999999999</v>
      </c>
      <c r="L107" s="64">
        <v>126.8</v>
      </c>
      <c r="M107" s="64">
        <v>133.9</v>
      </c>
      <c r="N107" s="64">
        <v>133.9</v>
      </c>
      <c r="O107" s="64">
        <v>125</v>
      </c>
      <c r="P107" s="64">
        <v>125.8</v>
      </c>
      <c r="Q107" s="64">
        <v>125.8</v>
      </c>
      <c r="R107" s="64">
        <v>134.30000000000001</v>
      </c>
      <c r="S107" s="64">
        <v>132.4</v>
      </c>
      <c r="T107" s="64">
        <v>122.8</v>
      </c>
      <c r="U107" s="64">
        <v>126.4</v>
      </c>
      <c r="V107" s="64">
        <v>129.9</v>
      </c>
      <c r="W107" s="64">
        <v>127.8</v>
      </c>
      <c r="X107" s="64">
        <v>132.80000000000001</v>
      </c>
      <c r="Y107" s="64">
        <v>131</v>
      </c>
      <c r="Z107" s="64">
        <v>132</v>
      </c>
      <c r="AA107" s="50">
        <v>128.30000000000001</v>
      </c>
      <c r="AB107" s="50">
        <v>128.30000000000001</v>
      </c>
      <c r="AC107" s="64">
        <v>132.19999999999999</v>
      </c>
      <c r="AD107" s="64">
        <v>132.19999999999999</v>
      </c>
      <c r="AE107" s="64">
        <v>129.69999999999999</v>
      </c>
      <c r="AF107" s="64">
        <v>129.69999999999999</v>
      </c>
      <c r="AG107" s="104"/>
      <c r="AH107" s="47">
        <f t="shared" si="15"/>
        <v>137</v>
      </c>
      <c r="AI107" s="48">
        <f t="shared" si="16"/>
        <v>122.8</v>
      </c>
    </row>
    <row r="108" spans="1:37" ht="15.75" thickBot="1" x14ac:dyDescent="0.3">
      <c r="A108" s="103" t="s">
        <v>124</v>
      </c>
      <c r="B108" s="92"/>
      <c r="C108" s="92">
        <v>64.7</v>
      </c>
      <c r="D108" s="92">
        <v>64.8</v>
      </c>
      <c r="E108" s="92">
        <v>64.900000000000006</v>
      </c>
      <c r="F108" s="92">
        <v>64.900000000000006</v>
      </c>
      <c r="G108" s="92">
        <v>65</v>
      </c>
      <c r="H108" s="92">
        <v>64.5</v>
      </c>
      <c r="I108" s="92">
        <v>64.400000000000006</v>
      </c>
      <c r="J108" s="92">
        <v>63.9</v>
      </c>
      <c r="K108" s="92">
        <v>64.099999999999994</v>
      </c>
      <c r="L108" s="92">
        <v>63.1</v>
      </c>
      <c r="M108" s="92">
        <v>62.1</v>
      </c>
      <c r="N108" s="92">
        <v>62.1</v>
      </c>
      <c r="O108" s="92">
        <v>62.7</v>
      </c>
      <c r="P108" s="92">
        <v>63.2</v>
      </c>
      <c r="Q108" s="92">
        <v>63.2</v>
      </c>
      <c r="R108" s="92">
        <v>63.7</v>
      </c>
      <c r="S108" s="92">
        <v>63.3</v>
      </c>
      <c r="T108" s="92">
        <v>63.3</v>
      </c>
      <c r="U108" s="92">
        <v>64.8</v>
      </c>
      <c r="V108" s="92">
        <v>65</v>
      </c>
      <c r="W108" s="92">
        <v>65.3</v>
      </c>
      <c r="X108" s="92">
        <v>65</v>
      </c>
      <c r="Y108" s="92">
        <v>65</v>
      </c>
      <c r="Z108" s="92">
        <v>65.2</v>
      </c>
      <c r="AA108" s="50">
        <v>64.7</v>
      </c>
      <c r="AB108" s="50">
        <v>64.7</v>
      </c>
      <c r="AC108" s="92">
        <v>64.8</v>
      </c>
      <c r="AD108" s="92">
        <v>64.8</v>
      </c>
      <c r="AE108" s="92">
        <v>64.2</v>
      </c>
      <c r="AF108" s="92">
        <v>64.2</v>
      </c>
      <c r="AG108" s="108"/>
      <c r="AH108" s="47">
        <f t="shared" si="15"/>
        <v>65.3</v>
      </c>
      <c r="AI108" s="48">
        <f t="shared" si="16"/>
        <v>62.1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50" t="str">
        <f>IF(AA92=MAX($B$93:$F$93),"PN","")</f>
        <v/>
      </c>
      <c r="AB109" s="92"/>
      <c r="AC109" s="92"/>
      <c r="AD109" s="92"/>
      <c r="AE109" s="92"/>
      <c r="AF109" s="92"/>
      <c r="AG109" s="108"/>
      <c r="AH109" s="47">
        <f t="shared" si="15"/>
        <v>0</v>
      </c>
      <c r="AI109" s="48">
        <f t="shared" si="16"/>
        <v>0</v>
      </c>
    </row>
    <row r="110" spans="1:37" ht="16.5" thickBot="1" x14ac:dyDescent="0.3">
      <c r="A110" s="110" t="s">
        <v>126</v>
      </c>
      <c r="B110" s="111">
        <f t="shared" ref="B110:O110" si="25">SUM(B20,B26,B29:B30,B58,B60:B61,B63,B65,B111:B115,B138,B144,B150,B159,B161,B173,B180,B183:B184,B191,B193,B195,B199:B201,B203:B205,B210,B216:B217,B219:B221,B229,B234)</f>
        <v>0</v>
      </c>
      <c r="C110" s="111">
        <f t="shared" si="25"/>
        <v>98.440000000000012</v>
      </c>
      <c r="D110" s="111">
        <f t="shared" si="25"/>
        <v>45.240000000000009</v>
      </c>
      <c r="E110" s="111">
        <f t="shared" si="25"/>
        <v>49.04000000000002</v>
      </c>
      <c r="F110" s="111">
        <f t="shared" si="25"/>
        <v>28.640000000000011</v>
      </c>
      <c r="G110" s="111">
        <f t="shared" si="25"/>
        <v>75.14</v>
      </c>
      <c r="H110" s="111">
        <f t="shared" si="25"/>
        <v>91.539999999999992</v>
      </c>
      <c r="I110" s="111">
        <f t="shared" si="25"/>
        <v>128.54000000000002</v>
      </c>
      <c r="J110" s="111">
        <f t="shared" si="25"/>
        <v>152.84</v>
      </c>
      <c r="K110" s="111">
        <f t="shared" si="25"/>
        <v>174.44</v>
      </c>
      <c r="L110" s="111">
        <f t="shared" si="25"/>
        <v>189.54000000000005</v>
      </c>
      <c r="M110" s="111">
        <f t="shared" si="25"/>
        <v>210.64000000000001</v>
      </c>
      <c r="N110" s="111">
        <f t="shared" si="25"/>
        <v>210.23999999999998</v>
      </c>
      <c r="O110" s="111">
        <f t="shared" si="25"/>
        <v>230.64000000000001</v>
      </c>
      <c r="P110" s="111">
        <v>42</v>
      </c>
      <c r="Q110" s="111">
        <f t="shared" ref="Q110:AF110" si="26">SUM(Q20,Q26,Q29:Q30,Q58,Q60:Q61,Q63,Q65,Q111:Q115,Q138,Q144,Q150,Q159,Q161,Q173,Q180,Q183:Q184,Q191,Q193,Q195,Q199:Q201,Q203:Q205,Q210,Q216:Q217,Q219:Q221,Q229,Q234)</f>
        <v>206.20000000000005</v>
      </c>
      <c r="R110" s="111">
        <f t="shared" si="26"/>
        <v>236.9</v>
      </c>
      <c r="S110" s="111">
        <f t="shared" si="26"/>
        <v>211.4</v>
      </c>
      <c r="T110" s="111">
        <f t="shared" si="26"/>
        <v>244</v>
      </c>
      <c r="U110" s="111">
        <f t="shared" si="26"/>
        <v>211.20000000000005</v>
      </c>
      <c r="V110" s="111">
        <f t="shared" si="26"/>
        <v>187.99999999999997</v>
      </c>
      <c r="W110" s="111">
        <f t="shared" si="26"/>
        <v>201.99999999999997</v>
      </c>
      <c r="X110" s="111">
        <f t="shared" si="26"/>
        <v>188.90000000000003</v>
      </c>
      <c r="Y110" s="111">
        <f t="shared" si="26"/>
        <v>193.19999999999996</v>
      </c>
      <c r="Z110" s="111">
        <f t="shared" si="26"/>
        <v>206.60000000000002</v>
      </c>
      <c r="AA110" s="176">
        <f t="shared" ref="AA110" si="27">SUM(AA155,AA111:AA115,AA14,AA23,AA29,AA37,AA40,AA58,AA60:AA61,AA63,AA65)</f>
        <v>242.1</v>
      </c>
      <c r="AB110" s="111">
        <f t="shared" si="26"/>
        <v>245.4</v>
      </c>
      <c r="AC110" s="111">
        <f t="shared" si="26"/>
        <v>176.8</v>
      </c>
      <c r="AD110" s="111"/>
      <c r="AE110" s="111">
        <f t="shared" si="26"/>
        <v>127</v>
      </c>
      <c r="AF110" s="111">
        <f t="shared" si="26"/>
        <v>112.10000000000001</v>
      </c>
      <c r="AG110" s="112"/>
      <c r="AH110" s="47">
        <f t="shared" si="15"/>
        <v>245.4</v>
      </c>
      <c r="AI110" s="48">
        <f t="shared" si="16"/>
        <v>0</v>
      </c>
    </row>
    <row r="111" spans="1:37" x14ac:dyDescent="0.25">
      <c r="A111" s="100" t="s">
        <v>127</v>
      </c>
      <c r="B111" s="113"/>
      <c r="C111" s="113">
        <v>7.6</v>
      </c>
      <c r="D111" s="113">
        <v>4.0999999999999996</v>
      </c>
      <c r="E111" s="113">
        <v>-1.6</v>
      </c>
      <c r="F111" s="113">
        <v>-1.6</v>
      </c>
      <c r="G111" s="113">
        <v>4.4000000000000004</v>
      </c>
      <c r="H111" s="113">
        <v>5.2</v>
      </c>
      <c r="I111" s="113">
        <v>7.4</v>
      </c>
      <c r="J111" s="113">
        <v>14.1</v>
      </c>
      <c r="K111" s="113">
        <v>23.1</v>
      </c>
      <c r="L111" s="113">
        <v>30.3</v>
      </c>
      <c r="M111" s="113">
        <v>36.700000000000003</v>
      </c>
      <c r="N111" s="113">
        <v>36.700000000000003</v>
      </c>
      <c r="O111" s="113">
        <v>31.7</v>
      </c>
      <c r="P111" s="113">
        <v>29.5</v>
      </c>
      <c r="Q111" s="113">
        <v>29</v>
      </c>
      <c r="R111" s="113">
        <v>28.9</v>
      </c>
      <c r="S111" s="113">
        <v>30.2</v>
      </c>
      <c r="T111" s="113">
        <v>27.9</v>
      </c>
      <c r="U111" s="113">
        <v>33.5</v>
      </c>
      <c r="V111" s="113">
        <v>33.700000000000003</v>
      </c>
      <c r="W111" s="113">
        <v>37.6</v>
      </c>
      <c r="X111" s="113">
        <v>31.7</v>
      </c>
      <c r="Y111" s="113">
        <v>36.6</v>
      </c>
      <c r="Z111" s="113">
        <v>39.4</v>
      </c>
      <c r="AA111" s="113">
        <v>34.4</v>
      </c>
      <c r="AB111" s="113">
        <v>34.4</v>
      </c>
      <c r="AC111" s="113">
        <v>42.6</v>
      </c>
      <c r="AD111" s="113">
        <v>42.6</v>
      </c>
      <c r="AE111" s="113">
        <v>28.4</v>
      </c>
      <c r="AF111" s="113">
        <v>25.5</v>
      </c>
      <c r="AG111" s="114">
        <v>75</v>
      </c>
      <c r="AH111" s="47">
        <f t="shared" si="15"/>
        <v>42.6</v>
      </c>
      <c r="AI111" s="48">
        <f t="shared" si="16"/>
        <v>-1.6</v>
      </c>
    </row>
    <row r="112" spans="1:37" x14ac:dyDescent="0.25">
      <c r="A112" s="103" t="s">
        <v>128</v>
      </c>
      <c r="B112" s="115"/>
      <c r="C112" s="115">
        <v>12.8</v>
      </c>
      <c r="D112" s="115">
        <v>10.5</v>
      </c>
      <c r="E112" s="115">
        <v>6.6</v>
      </c>
      <c r="F112" s="115">
        <v>6.6</v>
      </c>
      <c r="G112" s="115">
        <v>15.1</v>
      </c>
      <c r="H112" s="115">
        <v>16</v>
      </c>
      <c r="I112" s="115">
        <v>18</v>
      </c>
      <c r="J112" s="115">
        <v>27.8</v>
      </c>
      <c r="K112" s="115">
        <v>41.5</v>
      </c>
      <c r="L112" s="115">
        <v>50.7</v>
      </c>
      <c r="M112" s="115">
        <v>58.8</v>
      </c>
      <c r="N112" s="115">
        <v>58.8</v>
      </c>
      <c r="O112" s="115">
        <v>50.6</v>
      </c>
      <c r="P112" s="115">
        <v>48.2</v>
      </c>
      <c r="Q112" s="115">
        <v>48.2</v>
      </c>
      <c r="R112" s="115">
        <v>46.9</v>
      </c>
      <c r="S112" s="115">
        <v>48</v>
      </c>
      <c r="T112" s="115">
        <v>44.3</v>
      </c>
      <c r="U112" s="115">
        <v>54.7</v>
      </c>
      <c r="V112" s="115">
        <v>53.7</v>
      </c>
      <c r="W112" s="115">
        <v>58.5</v>
      </c>
      <c r="X112" s="115">
        <v>50.6</v>
      </c>
      <c r="Y112" s="115">
        <v>57.4</v>
      </c>
      <c r="Z112" s="115">
        <v>60.6</v>
      </c>
      <c r="AA112" s="177">
        <v>54.6</v>
      </c>
      <c r="AB112" s="177">
        <v>54.6</v>
      </c>
      <c r="AC112" s="115">
        <v>74.2</v>
      </c>
      <c r="AD112" s="115">
        <v>74.2</v>
      </c>
      <c r="AE112" s="115">
        <v>52.7</v>
      </c>
      <c r="AF112" s="115">
        <v>49.4</v>
      </c>
      <c r="AG112" s="114">
        <v>240</v>
      </c>
      <c r="AH112" s="47">
        <f t="shared" si="15"/>
        <v>74.2</v>
      </c>
      <c r="AI112" s="48">
        <f t="shared" si="16"/>
        <v>6.6</v>
      </c>
    </row>
    <row r="113" spans="1:37" x14ac:dyDescent="0.25">
      <c r="A113" s="103" t="s">
        <v>129</v>
      </c>
      <c r="B113" s="115"/>
      <c r="C113" s="115">
        <v>-60</v>
      </c>
      <c r="D113" s="115">
        <v>-92</v>
      </c>
      <c r="E113" s="115">
        <v>-90</v>
      </c>
      <c r="F113" s="115">
        <v>-90</v>
      </c>
      <c r="G113" s="115">
        <v>-84.3</v>
      </c>
      <c r="H113" s="115">
        <v>-84.3</v>
      </c>
      <c r="I113" s="115">
        <v>-70</v>
      </c>
      <c r="J113" s="115">
        <v>-70.2</v>
      </c>
      <c r="K113" s="115">
        <v>-73.099999999999994</v>
      </c>
      <c r="L113" s="115">
        <v>-75.7</v>
      </c>
      <c r="M113" s="115">
        <v>-78.599999999999994</v>
      </c>
      <c r="N113" s="115">
        <v>-78.599999999999994</v>
      </c>
      <c r="O113" s="115">
        <v>-81.599999999999994</v>
      </c>
      <c r="P113" s="115">
        <v>-71.2</v>
      </c>
      <c r="Q113" s="115">
        <v>-71.2</v>
      </c>
      <c r="R113" s="115">
        <v>-64</v>
      </c>
      <c r="S113" s="115">
        <v>-95.6</v>
      </c>
      <c r="T113" s="115">
        <f>-83-0</f>
        <v>-83</v>
      </c>
      <c r="U113" s="115">
        <v>-82.7</v>
      </c>
      <c r="V113" s="115">
        <v>-91.8</v>
      </c>
      <c r="W113" s="115">
        <v>-82.6</v>
      </c>
      <c r="X113" s="115">
        <v>-81.5</v>
      </c>
      <c r="Y113" s="115">
        <v>-86.3</v>
      </c>
      <c r="Z113" s="115">
        <v>-90.1</v>
      </c>
      <c r="AA113" s="115">
        <v>-84.8</v>
      </c>
      <c r="AB113" s="115">
        <v>-84.8</v>
      </c>
      <c r="AC113" s="115">
        <v>-164.5</v>
      </c>
      <c r="AD113" s="115">
        <v>-164.5</v>
      </c>
      <c r="AE113" s="115">
        <v>-154</v>
      </c>
      <c r="AF113" s="115">
        <v>-160</v>
      </c>
      <c r="AG113" s="114">
        <v>240</v>
      </c>
      <c r="AH113" s="47">
        <f t="shared" si="15"/>
        <v>-60</v>
      </c>
      <c r="AI113" s="48">
        <f t="shared" si="16"/>
        <v>-164.5</v>
      </c>
    </row>
    <row r="114" spans="1:37" x14ac:dyDescent="0.25">
      <c r="A114" s="103" t="s">
        <v>130</v>
      </c>
      <c r="B114" s="115"/>
      <c r="C114" s="115">
        <v>-21.7</v>
      </c>
      <c r="D114" s="115">
        <v>-19</v>
      </c>
      <c r="E114" s="115">
        <v>-12.3</v>
      </c>
      <c r="F114" s="115">
        <v>-12.3</v>
      </c>
      <c r="G114" s="115">
        <v>-14.6</v>
      </c>
      <c r="H114" s="115">
        <v>-14.7</v>
      </c>
      <c r="I114" s="115">
        <v>-11.1</v>
      </c>
      <c r="J114" s="115">
        <v>-7.9</v>
      </c>
      <c r="K114" s="115">
        <v>-7.4</v>
      </c>
      <c r="L114" s="115">
        <v>-5.9</v>
      </c>
      <c r="M114" s="115">
        <v>-8.3000000000000007</v>
      </c>
      <c r="N114" s="115">
        <v>-8.3000000000000007</v>
      </c>
      <c r="O114" s="115">
        <v>15.5</v>
      </c>
      <c r="P114" s="115">
        <v>12.1</v>
      </c>
      <c r="Q114" s="115">
        <v>12.1</v>
      </c>
      <c r="R114" s="115">
        <v>13.6</v>
      </c>
      <c r="S114" s="115">
        <v>17.899999999999999</v>
      </c>
      <c r="T114" s="115">
        <v>18.3</v>
      </c>
      <c r="U114" s="115">
        <v>35</v>
      </c>
      <c r="V114" s="115">
        <v>33.1</v>
      </c>
      <c r="W114" s="115">
        <v>25.2</v>
      </c>
      <c r="X114" s="115">
        <v>26.9</v>
      </c>
      <c r="Y114" s="115">
        <v>24.5</v>
      </c>
      <c r="Z114" s="115">
        <v>25.6</v>
      </c>
      <c r="AA114" s="115">
        <v>36</v>
      </c>
      <c r="AB114" s="115">
        <v>36</v>
      </c>
      <c r="AC114" s="115">
        <v>21.8</v>
      </c>
      <c r="AD114" s="115">
        <v>21.8</v>
      </c>
      <c r="AE114" s="115">
        <v>-2.7</v>
      </c>
      <c r="AF114" s="115">
        <v>-5.4</v>
      </c>
      <c r="AG114" s="114">
        <v>60</v>
      </c>
      <c r="AH114" s="47">
        <f t="shared" si="15"/>
        <v>36</v>
      </c>
      <c r="AI114" s="48">
        <f t="shared" si="16"/>
        <v>-21.7</v>
      </c>
    </row>
    <row r="115" spans="1:37" x14ac:dyDescent="0.25">
      <c r="A115" s="116" t="s">
        <v>131</v>
      </c>
      <c r="B115" s="117"/>
      <c r="C115" s="117">
        <v>0</v>
      </c>
      <c r="D115" s="117">
        <v>0</v>
      </c>
      <c r="E115" s="117">
        <v>4.7</v>
      </c>
      <c r="F115" s="117">
        <v>4.7</v>
      </c>
      <c r="G115" s="117">
        <v>4.5</v>
      </c>
      <c r="H115" s="117">
        <v>8.9</v>
      </c>
      <c r="I115" s="117">
        <v>18.100000000000001</v>
      </c>
      <c r="J115" s="117">
        <v>18.8</v>
      </c>
      <c r="K115" s="117">
        <v>19</v>
      </c>
      <c r="L115" s="117">
        <v>18.8</v>
      </c>
      <c r="M115" s="117">
        <v>18.7</v>
      </c>
      <c r="N115" s="117">
        <v>18.7</v>
      </c>
      <c r="O115" s="117">
        <v>31.5</v>
      </c>
      <c r="P115" s="117">
        <v>26.1</v>
      </c>
      <c r="Q115" s="117">
        <v>26.1</v>
      </c>
      <c r="R115" s="117">
        <v>29.5</v>
      </c>
      <c r="S115" s="117">
        <v>28.9</v>
      </c>
      <c r="T115" s="117">
        <v>54.5</v>
      </c>
      <c r="U115" s="117">
        <v>-11.7</v>
      </c>
      <c r="V115" s="117">
        <v>-12.7</v>
      </c>
      <c r="W115" s="117">
        <v>-15.5</v>
      </c>
      <c r="X115" s="117">
        <v>-13.6</v>
      </c>
      <c r="Y115" s="117">
        <v>-14.1</v>
      </c>
      <c r="Z115" s="117">
        <v>-4</v>
      </c>
      <c r="AA115" s="115">
        <v>20.100000000000001</v>
      </c>
      <c r="AB115" s="115">
        <v>20.100000000000001</v>
      </c>
      <c r="AC115" s="117">
        <v>18.3</v>
      </c>
      <c r="AD115" s="117">
        <v>18.3</v>
      </c>
      <c r="AE115" s="117">
        <v>18.2</v>
      </c>
      <c r="AF115" s="117">
        <v>18.2</v>
      </c>
      <c r="AG115" s="118">
        <v>120</v>
      </c>
      <c r="AH115" s="47">
        <f t="shared" si="15"/>
        <v>54.5</v>
      </c>
      <c r="AI115" s="48">
        <f t="shared" si="16"/>
        <v>-15.5</v>
      </c>
    </row>
    <row r="116" spans="1:37" x14ac:dyDescent="0.25">
      <c r="A116" s="116" t="s">
        <v>132</v>
      </c>
      <c r="B116" s="117"/>
      <c r="C116" s="117">
        <v>66</v>
      </c>
      <c r="D116" s="117">
        <v>54</v>
      </c>
      <c r="E116" s="117">
        <v>53</v>
      </c>
      <c r="F116" s="117">
        <v>53</v>
      </c>
      <c r="G116" s="117">
        <v>55</v>
      </c>
      <c r="H116" s="117">
        <v>46.7</v>
      </c>
      <c r="I116" s="117">
        <v>55.4</v>
      </c>
      <c r="J116" s="117">
        <v>51.3</v>
      </c>
      <c r="K116" s="117">
        <v>44.3</v>
      </c>
      <c r="L116" s="117">
        <v>49.5</v>
      </c>
      <c r="M116" s="117">
        <v>36</v>
      </c>
      <c r="N116" s="117">
        <v>36</v>
      </c>
      <c r="O116" s="117">
        <v>56.9</v>
      </c>
      <c r="P116" s="117">
        <v>55.2</v>
      </c>
      <c r="Q116" s="117">
        <v>55.2</v>
      </c>
      <c r="R116" s="117">
        <v>49.4</v>
      </c>
      <c r="S116" s="117">
        <v>46.6</v>
      </c>
      <c r="T116" s="117">
        <v>58.1</v>
      </c>
      <c r="U116" s="117">
        <v>55.8</v>
      </c>
      <c r="V116" s="117">
        <v>11.4</v>
      </c>
      <c r="W116" s="117">
        <v>24</v>
      </c>
      <c r="X116" s="117">
        <v>22.8</v>
      </c>
      <c r="Y116" s="117">
        <v>20.8</v>
      </c>
      <c r="Z116" s="117">
        <v>-4.3</v>
      </c>
      <c r="AA116" s="117">
        <v>33.700000000000003</v>
      </c>
      <c r="AB116" s="117">
        <v>33.700000000000003</v>
      </c>
      <c r="AC116" s="117">
        <v>15.6</v>
      </c>
      <c r="AD116" s="117">
        <v>15.6</v>
      </c>
      <c r="AE116" s="117">
        <v>44.2</v>
      </c>
      <c r="AF116" s="117">
        <v>46.7</v>
      </c>
      <c r="AG116" s="118"/>
      <c r="AH116" s="47">
        <f t="shared" si="15"/>
        <v>66</v>
      </c>
      <c r="AI116" s="48">
        <f t="shared" si="16"/>
        <v>-4.3</v>
      </c>
    </row>
    <row r="117" spans="1:37" x14ac:dyDescent="0.25">
      <c r="A117" s="116" t="s">
        <v>133</v>
      </c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9"/>
      <c r="AH117" s="47">
        <f t="shared" si="15"/>
        <v>0</v>
      </c>
      <c r="AI117" s="48">
        <f t="shared" si="16"/>
        <v>0</v>
      </c>
    </row>
    <row r="118" spans="1:37" x14ac:dyDescent="0.25">
      <c r="A118" s="120" t="s">
        <v>134</v>
      </c>
      <c r="B118" s="106"/>
      <c r="C118" s="106">
        <v>29.3</v>
      </c>
      <c r="D118" s="106">
        <v>34</v>
      </c>
      <c r="E118" s="106">
        <v>29</v>
      </c>
      <c r="F118" s="106">
        <v>29</v>
      </c>
      <c r="G118" s="106">
        <v>30.8</v>
      </c>
      <c r="H118" s="106">
        <v>31.8</v>
      </c>
      <c r="I118" s="106">
        <v>25.2</v>
      </c>
      <c r="J118" s="106">
        <v>22.8</v>
      </c>
      <c r="K118" s="106">
        <v>24.4</v>
      </c>
      <c r="L118" s="106">
        <v>23.1</v>
      </c>
      <c r="M118" s="106">
        <v>14.7</v>
      </c>
      <c r="N118" s="106">
        <v>14.7</v>
      </c>
      <c r="O118" s="106">
        <v>18.100000000000001</v>
      </c>
      <c r="P118" s="106">
        <v>19.600000000000001</v>
      </c>
      <c r="Q118" s="106">
        <v>19.600000000000001</v>
      </c>
      <c r="R118" s="106">
        <v>16</v>
      </c>
      <c r="S118" s="106">
        <v>30</v>
      </c>
      <c r="T118" s="106">
        <v>10.5</v>
      </c>
      <c r="U118" s="106">
        <v>-13.2</v>
      </c>
      <c r="V118" s="106">
        <v>-11.6</v>
      </c>
      <c r="W118" s="106">
        <v>-14.8</v>
      </c>
      <c r="X118" s="106">
        <v>-11</v>
      </c>
      <c r="Y118" s="106">
        <v>-7.5</v>
      </c>
      <c r="Z118" s="106">
        <v>7.4</v>
      </c>
      <c r="AA118" s="178">
        <v>-2.2000000000000002</v>
      </c>
      <c r="AB118" s="178">
        <v>-2.2000000000000002</v>
      </c>
      <c r="AC118" s="106">
        <v>10.199999999999999</v>
      </c>
      <c r="AD118" s="106">
        <v>10.199999999999999</v>
      </c>
      <c r="AE118" s="106">
        <v>19</v>
      </c>
      <c r="AF118" s="106">
        <v>16</v>
      </c>
      <c r="AG118" s="119"/>
      <c r="AH118" s="47">
        <f t="shared" si="15"/>
        <v>34</v>
      </c>
      <c r="AI118" s="48">
        <f t="shared" si="16"/>
        <v>-14.8</v>
      </c>
    </row>
    <row r="119" spans="1:37" x14ac:dyDescent="0.25">
      <c r="A119" s="121" t="s">
        <v>135</v>
      </c>
      <c r="B119" s="106"/>
      <c r="C119" s="106">
        <v>22</v>
      </c>
      <c r="D119" s="106">
        <v>50</v>
      </c>
      <c r="E119" s="106">
        <v>51</v>
      </c>
      <c r="F119" s="106">
        <v>51</v>
      </c>
      <c r="G119" s="106">
        <v>44.5</v>
      </c>
      <c r="H119" s="106">
        <v>44.6</v>
      </c>
      <c r="I119" s="106">
        <v>33.4</v>
      </c>
      <c r="J119" s="106">
        <v>37.6</v>
      </c>
      <c r="K119" s="106">
        <v>52.6</v>
      </c>
      <c r="L119" s="106">
        <v>13.1</v>
      </c>
      <c r="M119" s="106">
        <v>13.7</v>
      </c>
      <c r="N119" s="106">
        <v>13.7</v>
      </c>
      <c r="O119" s="106">
        <v>14.3</v>
      </c>
      <c r="P119" s="106">
        <v>16.399999999999999</v>
      </c>
      <c r="Q119" s="106">
        <v>16.399999999999999</v>
      </c>
      <c r="R119" s="106">
        <v>24</v>
      </c>
      <c r="S119" s="106">
        <v>69.599999999999994</v>
      </c>
      <c r="T119" s="106">
        <v>57.9</v>
      </c>
      <c r="U119" s="106">
        <v>58.6</v>
      </c>
      <c r="V119" s="106">
        <v>67.7</v>
      </c>
      <c r="W119" s="106">
        <v>56.3</v>
      </c>
      <c r="X119" s="106">
        <v>59.3</v>
      </c>
      <c r="Y119" s="106">
        <v>64.099999999999994</v>
      </c>
      <c r="Z119" s="106">
        <v>66.900000000000006</v>
      </c>
      <c r="AA119" s="178">
        <v>51.5</v>
      </c>
      <c r="AB119" s="178">
        <v>51.5</v>
      </c>
      <c r="AC119" s="106">
        <v>84.3</v>
      </c>
      <c r="AD119" s="106">
        <v>84.3</v>
      </c>
      <c r="AE119" s="106">
        <v>72.400000000000006</v>
      </c>
      <c r="AF119" s="106">
        <v>75.8</v>
      </c>
      <c r="AG119" s="119"/>
      <c r="AH119" s="47">
        <f t="shared" si="15"/>
        <v>84.3</v>
      </c>
      <c r="AI119" s="48">
        <f t="shared" si="16"/>
        <v>13.1</v>
      </c>
    </row>
    <row r="120" spans="1:37" ht="15.75" thickBot="1" x14ac:dyDescent="0.3">
      <c r="A120" s="120" t="s">
        <v>136</v>
      </c>
      <c r="B120" s="106"/>
      <c r="C120" s="106">
        <v>41</v>
      </c>
      <c r="D120" s="106">
        <v>40</v>
      </c>
      <c r="E120" s="106">
        <v>41</v>
      </c>
      <c r="F120" s="106">
        <v>41</v>
      </c>
      <c r="G120" s="106">
        <v>31.8</v>
      </c>
      <c r="H120" s="106">
        <v>15.9</v>
      </c>
      <c r="I120" s="106">
        <v>27</v>
      </c>
      <c r="J120" s="106">
        <v>27.6</v>
      </c>
      <c r="K120" s="106">
        <v>25</v>
      </c>
      <c r="L120" s="106">
        <v>34</v>
      </c>
      <c r="M120" s="106">
        <v>27</v>
      </c>
      <c r="N120" s="106">
        <v>27</v>
      </c>
      <c r="O120" s="106">
        <v>51.2</v>
      </c>
      <c r="P120" s="106">
        <v>43.3</v>
      </c>
      <c r="Q120" s="106">
        <v>43.3</v>
      </c>
      <c r="R120" s="106">
        <v>58.8</v>
      </c>
      <c r="S120" s="106">
        <v>68.099999999999994</v>
      </c>
      <c r="T120" s="106">
        <v>61.4</v>
      </c>
      <c r="U120" s="106">
        <v>49.7</v>
      </c>
      <c r="V120" s="106">
        <v>38</v>
      </c>
      <c r="W120" s="106">
        <v>29.6</v>
      </c>
      <c r="X120" s="106">
        <v>28.8</v>
      </c>
      <c r="Y120" s="106">
        <v>25.2</v>
      </c>
      <c r="Z120" s="106">
        <v>40.799999999999997</v>
      </c>
      <c r="AA120" s="178">
        <v>52.1</v>
      </c>
      <c r="AB120" s="178">
        <v>52.1</v>
      </c>
      <c r="AC120" s="106">
        <v>43.8</v>
      </c>
      <c r="AD120" s="106">
        <v>43.8</v>
      </c>
      <c r="AE120" s="106">
        <v>48.2</v>
      </c>
      <c r="AF120" s="106">
        <v>48.7</v>
      </c>
      <c r="AG120" s="119"/>
      <c r="AH120" s="47">
        <f t="shared" si="15"/>
        <v>68.099999999999994</v>
      </c>
      <c r="AI120" s="48">
        <f t="shared" si="16"/>
        <v>15.9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28">SUM(B122:B226)</f>
        <v>0</v>
      </c>
      <c r="C227" s="137">
        <f t="shared" si="28"/>
        <v>0</v>
      </c>
      <c r="D227" s="137">
        <f t="shared" si="28"/>
        <v>0</v>
      </c>
      <c r="E227" s="137">
        <f t="shared" si="28"/>
        <v>0</v>
      </c>
      <c r="F227" s="137">
        <f t="shared" si="28"/>
        <v>0</v>
      </c>
      <c r="G227" s="137">
        <f t="shared" si="28"/>
        <v>0</v>
      </c>
      <c r="H227" s="137">
        <f t="shared" si="28"/>
        <v>0</v>
      </c>
      <c r="I227" s="137">
        <f t="shared" si="28"/>
        <v>0</v>
      </c>
      <c r="J227" s="137">
        <f t="shared" si="28"/>
        <v>0</v>
      </c>
      <c r="K227" s="137">
        <f t="shared" si="28"/>
        <v>0</v>
      </c>
      <c r="L227" s="137">
        <f t="shared" si="28"/>
        <v>0</v>
      </c>
      <c r="M227" s="137">
        <f t="shared" si="28"/>
        <v>0</v>
      </c>
      <c r="N227" s="137">
        <f t="shared" si="28"/>
        <v>0</v>
      </c>
      <c r="O227" s="137">
        <f t="shared" si="28"/>
        <v>0</v>
      </c>
      <c r="P227" s="137">
        <f t="shared" si="28"/>
        <v>0</v>
      </c>
      <c r="Q227" s="137">
        <f t="shared" si="28"/>
        <v>0</v>
      </c>
      <c r="R227" s="137">
        <f t="shared" si="28"/>
        <v>0</v>
      </c>
      <c r="S227" s="137">
        <f t="shared" si="28"/>
        <v>0</v>
      </c>
      <c r="T227" s="137">
        <f t="shared" si="28"/>
        <v>0</v>
      </c>
      <c r="U227" s="137">
        <f t="shared" si="28"/>
        <v>0</v>
      </c>
      <c r="V227" s="137">
        <f t="shared" si="28"/>
        <v>0</v>
      </c>
      <c r="W227" s="137">
        <f t="shared" si="28"/>
        <v>0</v>
      </c>
      <c r="X227" s="137">
        <f t="shared" si="28"/>
        <v>0</v>
      </c>
      <c r="Y227" s="137">
        <f t="shared" si="28"/>
        <v>0</v>
      </c>
      <c r="Z227" s="137">
        <f t="shared" si="28"/>
        <v>0</v>
      </c>
      <c r="AA227" s="137">
        <f t="shared" si="28"/>
        <v>0</v>
      </c>
      <c r="AB227" s="137">
        <f t="shared" si="28"/>
        <v>0</v>
      </c>
      <c r="AC227" s="137">
        <f t="shared" si="28"/>
        <v>0</v>
      </c>
      <c r="AD227" s="137">
        <f t="shared" si="28"/>
        <v>0</v>
      </c>
      <c r="AE227" s="137">
        <f t="shared" si="28"/>
        <v>0</v>
      </c>
      <c r="AF227" s="138">
        <f t="shared" si="28"/>
        <v>0</v>
      </c>
      <c r="AG227" s="139">
        <f t="shared" si="28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29">AF229</f>
        <v>0</v>
      </c>
      <c r="C229" s="141">
        <v>0.3</v>
      </c>
      <c r="D229" s="141">
        <f t="shared" ref="D229:P234" si="30">C229</f>
        <v>0.3</v>
      </c>
      <c r="E229" s="141">
        <f t="shared" si="30"/>
        <v>0.3</v>
      </c>
      <c r="F229" s="141">
        <f t="shared" si="30"/>
        <v>0.3</v>
      </c>
      <c r="G229" s="141">
        <f t="shared" si="30"/>
        <v>0.3</v>
      </c>
      <c r="H229" s="141">
        <f t="shared" si="30"/>
        <v>0.3</v>
      </c>
      <c r="I229" s="141">
        <f t="shared" si="30"/>
        <v>0.3</v>
      </c>
      <c r="J229" s="141">
        <f t="shared" si="30"/>
        <v>0.3</v>
      </c>
      <c r="K229" s="141">
        <f t="shared" si="30"/>
        <v>0.3</v>
      </c>
      <c r="L229" s="141">
        <f t="shared" si="30"/>
        <v>0.3</v>
      </c>
      <c r="M229" s="141">
        <f t="shared" si="30"/>
        <v>0.3</v>
      </c>
      <c r="N229" s="141">
        <f t="shared" si="30"/>
        <v>0.3</v>
      </c>
      <c r="O229" s="141">
        <f t="shared" si="30"/>
        <v>0.3</v>
      </c>
      <c r="P229" s="141">
        <f t="shared" si="30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29"/>
        <v>0</v>
      </c>
      <c r="C230" s="129">
        <v>0.4</v>
      </c>
      <c r="D230" s="129">
        <f t="shared" si="30"/>
        <v>0.4</v>
      </c>
      <c r="E230" s="129">
        <f t="shared" si="30"/>
        <v>0.4</v>
      </c>
      <c r="F230" s="129">
        <f t="shared" si="30"/>
        <v>0.4</v>
      </c>
      <c r="G230" s="129">
        <f t="shared" si="30"/>
        <v>0.4</v>
      </c>
      <c r="H230" s="129">
        <f t="shared" si="30"/>
        <v>0.4</v>
      </c>
      <c r="I230" s="129">
        <f t="shared" si="30"/>
        <v>0.4</v>
      </c>
      <c r="J230" s="129">
        <f t="shared" si="30"/>
        <v>0.4</v>
      </c>
      <c r="K230" s="129">
        <f t="shared" si="30"/>
        <v>0.4</v>
      </c>
      <c r="L230" s="129">
        <f t="shared" si="30"/>
        <v>0.4</v>
      </c>
      <c r="M230" s="129">
        <f t="shared" si="30"/>
        <v>0.4</v>
      </c>
      <c r="N230" s="129">
        <f t="shared" si="30"/>
        <v>0.4</v>
      </c>
      <c r="O230" s="129">
        <f t="shared" si="30"/>
        <v>0.4</v>
      </c>
      <c r="P230" s="129">
        <f t="shared" si="30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29"/>
        <v>0</v>
      </c>
      <c r="C231" s="129">
        <v>1.5</v>
      </c>
      <c r="D231" s="129">
        <f t="shared" si="30"/>
        <v>1.5</v>
      </c>
      <c r="E231" s="129">
        <f t="shared" si="30"/>
        <v>1.5</v>
      </c>
      <c r="F231" s="129">
        <f t="shared" si="30"/>
        <v>1.5</v>
      </c>
      <c r="G231" s="129">
        <f t="shared" si="30"/>
        <v>1.5</v>
      </c>
      <c r="H231" s="129">
        <f t="shared" si="30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30"/>
        <v>123.21900000000009</v>
      </c>
      <c r="K231" s="129">
        <f t="shared" ca="1" si="30"/>
        <v>123.21900000000009</v>
      </c>
      <c r="L231" s="129">
        <f t="shared" ca="1" si="30"/>
        <v>123.21900000000009</v>
      </c>
      <c r="M231" s="129">
        <f t="shared" ca="1" si="30"/>
        <v>119.19900000000008</v>
      </c>
      <c r="N231" s="129">
        <f t="shared" ca="1" si="30"/>
        <v>119.19900000000008</v>
      </c>
      <c r="O231" s="129">
        <f t="shared" ca="1" si="30"/>
        <v>119.19900000000008</v>
      </c>
      <c r="P231" s="129">
        <f t="shared" ca="1" si="30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29"/>
        <v>0</v>
      </c>
      <c r="C232" s="129">
        <v>0.3</v>
      </c>
      <c r="D232" s="129">
        <f t="shared" si="30"/>
        <v>0.3</v>
      </c>
      <c r="E232" s="129">
        <f t="shared" si="30"/>
        <v>0.3</v>
      </c>
      <c r="F232" s="129">
        <f t="shared" si="30"/>
        <v>0.3</v>
      </c>
      <c r="G232" s="129">
        <f t="shared" si="30"/>
        <v>0.3</v>
      </c>
      <c r="H232" s="129">
        <f t="shared" si="30"/>
        <v>0.3</v>
      </c>
      <c r="I232" s="129">
        <f t="shared" si="30"/>
        <v>0.3</v>
      </c>
      <c r="J232" s="129">
        <f t="shared" si="30"/>
        <v>0.3</v>
      </c>
      <c r="K232" s="129">
        <f t="shared" si="30"/>
        <v>0.3</v>
      </c>
      <c r="L232" s="129">
        <f t="shared" si="30"/>
        <v>0.3</v>
      </c>
      <c r="M232" s="129">
        <f t="shared" si="30"/>
        <v>0.3</v>
      </c>
      <c r="N232" s="129">
        <f t="shared" si="30"/>
        <v>0.3</v>
      </c>
      <c r="O232" s="129">
        <f t="shared" si="30"/>
        <v>0.3</v>
      </c>
      <c r="P232" s="129">
        <f t="shared" si="30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29"/>
        <v>0</v>
      </c>
      <c r="C233" s="129">
        <v>0.4</v>
      </c>
      <c r="D233" s="129">
        <f t="shared" si="30"/>
        <v>0.4</v>
      </c>
      <c r="E233" s="129">
        <f t="shared" si="30"/>
        <v>0.4</v>
      </c>
      <c r="F233" s="129">
        <f t="shared" si="30"/>
        <v>0.4</v>
      </c>
      <c r="G233" s="129">
        <f t="shared" si="30"/>
        <v>0.4</v>
      </c>
      <c r="H233" s="129">
        <f t="shared" si="30"/>
        <v>0.4</v>
      </c>
      <c r="I233" s="129">
        <f t="shared" si="30"/>
        <v>0.4</v>
      </c>
      <c r="J233" s="129">
        <f t="shared" si="30"/>
        <v>0.4</v>
      </c>
      <c r="K233" s="129">
        <f t="shared" si="30"/>
        <v>0.4</v>
      </c>
      <c r="L233" s="129">
        <f t="shared" si="30"/>
        <v>0.4</v>
      </c>
      <c r="M233" s="129">
        <f t="shared" si="30"/>
        <v>0.4</v>
      </c>
      <c r="N233" s="129">
        <f t="shared" si="30"/>
        <v>0.4</v>
      </c>
      <c r="O233" s="129">
        <f t="shared" si="30"/>
        <v>0.4</v>
      </c>
      <c r="P233" s="129">
        <f t="shared" si="30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29"/>
        <v>0</v>
      </c>
      <c r="C234" s="133">
        <v>0.64</v>
      </c>
      <c r="D234" s="133">
        <f t="shared" si="30"/>
        <v>0.64</v>
      </c>
      <c r="E234" s="133">
        <f t="shared" si="30"/>
        <v>0.64</v>
      </c>
      <c r="F234" s="133">
        <f t="shared" si="30"/>
        <v>0.64</v>
      </c>
      <c r="G234" s="133">
        <f t="shared" si="30"/>
        <v>0.64</v>
      </c>
      <c r="H234" s="133">
        <f t="shared" si="30"/>
        <v>0.64</v>
      </c>
      <c r="I234" s="133">
        <f t="shared" si="30"/>
        <v>0.64</v>
      </c>
      <c r="J234" s="133">
        <f t="shared" si="30"/>
        <v>0.64</v>
      </c>
      <c r="K234" s="133">
        <f t="shared" si="30"/>
        <v>0.64</v>
      </c>
      <c r="L234" s="133">
        <f t="shared" si="30"/>
        <v>0.64</v>
      </c>
      <c r="M234" s="133">
        <f t="shared" si="30"/>
        <v>0.64</v>
      </c>
      <c r="N234" s="133">
        <f t="shared" si="30"/>
        <v>0.64</v>
      </c>
      <c r="O234" s="133">
        <f t="shared" si="30"/>
        <v>0.64</v>
      </c>
      <c r="P234" s="133">
        <f t="shared" si="30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31">SUM(B229:B234)</f>
        <v>0</v>
      </c>
      <c r="C235" s="137">
        <f t="shared" si="31"/>
        <v>3.54</v>
      </c>
      <c r="D235" s="137">
        <f t="shared" si="31"/>
        <v>3.54</v>
      </c>
      <c r="E235" s="137">
        <f t="shared" si="31"/>
        <v>3.54</v>
      </c>
      <c r="F235" s="137">
        <f t="shared" si="31"/>
        <v>3.54</v>
      </c>
      <c r="G235" s="137">
        <f t="shared" si="31"/>
        <v>3.54</v>
      </c>
      <c r="H235" s="137">
        <f t="shared" si="31"/>
        <v>3.54</v>
      </c>
      <c r="I235" s="137">
        <f t="shared" ca="1" si="31"/>
        <v>121.23900000000009</v>
      </c>
      <c r="J235" s="137">
        <f t="shared" ca="1" si="31"/>
        <v>121.23900000000009</v>
      </c>
      <c r="K235" s="137">
        <f t="shared" ca="1" si="31"/>
        <v>121.23900000000009</v>
      </c>
      <c r="L235" s="137">
        <f t="shared" ca="1" si="31"/>
        <v>125.2590000000001</v>
      </c>
      <c r="M235" s="137">
        <f t="shared" ca="1" si="31"/>
        <v>121.23900000000009</v>
      </c>
      <c r="N235" s="137">
        <f t="shared" ca="1" si="31"/>
        <v>121.23900000000009</v>
      </c>
      <c r="O235" s="137">
        <f t="shared" ca="1" si="31"/>
        <v>121.23900000000009</v>
      </c>
      <c r="P235" s="137">
        <f t="shared" ca="1" si="31"/>
        <v>121.23900000000009</v>
      </c>
      <c r="Q235" s="137">
        <f t="shared" si="31"/>
        <v>0</v>
      </c>
      <c r="R235" s="137">
        <f t="shared" si="31"/>
        <v>0</v>
      </c>
      <c r="S235" s="137">
        <f t="shared" si="31"/>
        <v>0</v>
      </c>
      <c r="T235" s="137">
        <f t="shared" si="31"/>
        <v>0</v>
      </c>
      <c r="U235" s="137">
        <f t="shared" si="31"/>
        <v>0</v>
      </c>
      <c r="V235" s="137">
        <f t="shared" si="31"/>
        <v>0</v>
      </c>
      <c r="W235" s="137">
        <f t="shared" si="31"/>
        <v>0</v>
      </c>
      <c r="X235" s="137">
        <f t="shared" si="31"/>
        <v>0</v>
      </c>
      <c r="Y235" s="137">
        <f t="shared" si="31"/>
        <v>0</v>
      </c>
      <c r="Z235" s="137">
        <f t="shared" si="31"/>
        <v>0</v>
      </c>
      <c r="AA235" s="137">
        <f t="shared" si="31"/>
        <v>0</v>
      </c>
      <c r="AB235" s="137">
        <f t="shared" si="31"/>
        <v>0</v>
      </c>
      <c r="AC235" s="137">
        <f t="shared" si="31"/>
        <v>0</v>
      </c>
      <c r="AD235" s="137">
        <f t="shared" si="31"/>
        <v>0</v>
      </c>
      <c r="AE235" s="137">
        <f t="shared" si="31"/>
        <v>0</v>
      </c>
      <c r="AF235" s="137">
        <f t="shared" si="31"/>
        <v>0</v>
      </c>
      <c r="AG235" s="146">
        <f t="shared" si="31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1904.84</v>
      </c>
      <c r="C244" s="162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01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2080/03/1)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2080/03/1)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32">B91</f>
        <v>68.540000000000006</v>
      </c>
      <c r="U249" s="171">
        <f t="shared" si="32"/>
        <v>1870.04</v>
      </c>
      <c r="V249" s="171">
        <f t="shared" si="32"/>
        <v>1861.4399999999998</v>
      </c>
      <c r="W249" s="171">
        <f t="shared" si="32"/>
        <v>1853.4399999999998</v>
      </c>
      <c r="X249" s="171">
        <f t="shared" si="32"/>
        <v>1842.1399999999999</v>
      </c>
      <c r="Y249" s="171">
        <f t="shared" si="32"/>
        <v>1884.24</v>
      </c>
      <c r="Z249" s="171">
        <f t="shared" si="32"/>
        <v>1892.34</v>
      </c>
      <c r="AA249" s="171">
        <f t="shared" si="32"/>
        <v>1903.4399999999998</v>
      </c>
      <c r="AB249" s="171">
        <f t="shared" si="32"/>
        <v>1890.4399999999998</v>
      </c>
      <c r="AC249" s="171">
        <f t="shared" si="32"/>
        <v>1904.6399999999999</v>
      </c>
      <c r="AD249" s="171">
        <f t="shared" si="32"/>
        <v>1880.9399999999998</v>
      </c>
      <c r="AE249" s="171">
        <f t="shared" si="32"/>
        <v>1904.84</v>
      </c>
      <c r="AF249" s="171">
        <f t="shared" si="32"/>
        <v>1804.94</v>
      </c>
      <c r="AG249" s="171">
        <f t="shared" si="32"/>
        <v>1835.54</v>
      </c>
      <c r="AH249" s="171">
        <f t="shared" si="32"/>
        <v>1841.9399999999998</v>
      </c>
      <c r="AI249" s="171">
        <f t="shared" si="32"/>
        <v>1596.14</v>
      </c>
      <c r="AJ249" s="171">
        <f t="shared" si="32"/>
        <v>1843.3399999999997</v>
      </c>
      <c r="AK249" s="171">
        <f t="shared" si="32"/>
        <v>1857.5399999999997</v>
      </c>
      <c r="AL249" s="171">
        <f t="shared" si="32"/>
        <v>1860.74</v>
      </c>
      <c r="AM249" s="171">
        <f t="shared" si="32"/>
        <v>1889.54</v>
      </c>
      <c r="AN249" s="171">
        <f t="shared" si="32"/>
        <v>1852.8399999999997</v>
      </c>
      <c r="AO249" s="171">
        <f t="shared" si="32"/>
        <v>1785.3399999999997</v>
      </c>
      <c r="AP249" s="171">
        <f t="shared" si="32"/>
        <v>1758.44</v>
      </c>
      <c r="AQ249" s="171">
        <f t="shared" si="32"/>
        <v>1763.04</v>
      </c>
      <c r="AR249" s="171">
        <f t="shared" si="32"/>
        <v>1765.8400000000001</v>
      </c>
      <c r="AS249" s="171">
        <f t="shared" si="32"/>
        <v>2019.24</v>
      </c>
      <c r="AT249" s="171">
        <f t="shared" si="32"/>
        <v>1993.4399999999998</v>
      </c>
      <c r="AU249" s="171">
        <f t="shared" si="32"/>
        <v>1965.1399999999999</v>
      </c>
      <c r="AV249" s="171">
        <f t="shared" si="32"/>
        <v>1810.3399999999997</v>
      </c>
      <c r="AW249" s="171">
        <f t="shared" si="32"/>
        <v>1867.9399999999996</v>
      </c>
      <c r="AX249" s="171">
        <f t="shared" si="32"/>
        <v>1974.9399999999996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33">C234</f>
        <v>0.64</v>
      </c>
      <c r="C270" s="174">
        <f t="shared" si="33"/>
        <v>0.64</v>
      </c>
      <c r="D270" s="174">
        <f t="shared" si="33"/>
        <v>0.64</v>
      </c>
      <c r="E270" s="174">
        <f t="shared" si="33"/>
        <v>0.64</v>
      </c>
      <c r="F270" s="174">
        <f t="shared" si="33"/>
        <v>0.64</v>
      </c>
      <c r="G270" s="174">
        <f t="shared" si="33"/>
        <v>0.64</v>
      </c>
      <c r="H270" s="174">
        <f t="shared" si="33"/>
        <v>0.64</v>
      </c>
      <c r="I270" s="174">
        <f t="shared" si="33"/>
        <v>0.64</v>
      </c>
      <c r="J270" s="174">
        <f t="shared" si="33"/>
        <v>0.64</v>
      </c>
      <c r="K270" s="174">
        <f t="shared" si="33"/>
        <v>0.64</v>
      </c>
      <c r="L270" s="174">
        <f t="shared" si="33"/>
        <v>0.64</v>
      </c>
      <c r="M270" s="174">
        <f t="shared" si="33"/>
        <v>0.64</v>
      </c>
      <c r="N270" s="174">
        <f t="shared" si="33"/>
        <v>0.64</v>
      </c>
      <c r="O270" s="174">
        <f t="shared" si="33"/>
        <v>0.64</v>
      </c>
      <c r="P270" s="174">
        <f t="shared" si="33"/>
        <v>0</v>
      </c>
      <c r="Q270" s="174">
        <f t="shared" si="33"/>
        <v>0</v>
      </c>
      <c r="R270" s="174">
        <f t="shared" si="33"/>
        <v>0</v>
      </c>
      <c r="S270" s="174">
        <f t="shared" si="33"/>
        <v>0</v>
      </c>
      <c r="T270" s="174">
        <f t="shared" si="33"/>
        <v>0</v>
      </c>
      <c r="U270" s="174">
        <f t="shared" si="33"/>
        <v>0</v>
      </c>
      <c r="V270" s="174">
        <f t="shared" si="33"/>
        <v>0</v>
      </c>
      <c r="W270" s="174">
        <f t="shared" si="33"/>
        <v>0</v>
      </c>
      <c r="X270" s="174">
        <f t="shared" si="33"/>
        <v>0</v>
      </c>
      <c r="Y270" s="174">
        <f t="shared" si="33"/>
        <v>0</v>
      </c>
      <c r="Z270" s="174">
        <f t="shared" si="33"/>
        <v>0</v>
      </c>
      <c r="AA270" s="174">
        <f t="shared" si="33"/>
        <v>0</v>
      </c>
      <c r="AB270" s="174">
        <f t="shared" si="33"/>
        <v>0</v>
      </c>
      <c r="AC270" s="174">
        <f t="shared" si="33"/>
        <v>0</v>
      </c>
      <c r="AD270" s="174">
        <f t="shared" si="33"/>
        <v>0</v>
      </c>
      <c r="AE270" s="174">
        <f t="shared" si="33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34">IF(B238&lt;100,"",B238-520)</f>
        <v/>
      </c>
      <c r="C271" s="175" t="str">
        <f t="shared" si="34"/>
        <v/>
      </c>
      <c r="D271" s="175" t="str">
        <f t="shared" si="34"/>
        <v/>
      </c>
      <c r="E271" s="175" t="str">
        <f t="shared" si="34"/>
        <v/>
      </c>
      <c r="F271" s="175" t="str">
        <f t="shared" si="34"/>
        <v/>
      </c>
      <c r="G271" s="175" t="str">
        <f t="shared" si="34"/>
        <v/>
      </c>
      <c r="H271" s="175" t="str">
        <f t="shared" si="34"/>
        <v/>
      </c>
      <c r="I271" s="175" t="str">
        <f t="shared" si="34"/>
        <v/>
      </c>
      <c r="J271" s="175" t="str">
        <f t="shared" si="34"/>
        <v/>
      </c>
      <c r="K271" s="175" t="str">
        <f t="shared" si="34"/>
        <v/>
      </c>
      <c r="L271" s="175" t="str">
        <f t="shared" si="34"/>
        <v/>
      </c>
      <c r="M271" s="175" t="str">
        <f t="shared" si="34"/>
        <v/>
      </c>
      <c r="N271" s="175" t="str">
        <f t="shared" si="34"/>
        <v/>
      </c>
      <c r="O271" s="175" t="str">
        <f t="shared" si="34"/>
        <v/>
      </c>
      <c r="P271" s="175" t="str">
        <f t="shared" si="34"/>
        <v/>
      </c>
      <c r="Q271" s="175" t="str">
        <f t="shared" si="34"/>
        <v/>
      </c>
      <c r="R271" s="175" t="str">
        <f t="shared" si="34"/>
        <v/>
      </c>
      <c r="S271" s="175" t="str">
        <f t="shared" si="34"/>
        <v/>
      </c>
      <c r="T271" s="175" t="str">
        <f t="shared" si="34"/>
        <v/>
      </c>
      <c r="U271" s="175" t="str">
        <f t="shared" si="34"/>
        <v/>
      </c>
      <c r="V271" s="175" t="str">
        <f t="shared" si="34"/>
        <v/>
      </c>
      <c r="W271" s="175" t="str">
        <f t="shared" si="34"/>
        <v/>
      </c>
      <c r="X271" s="175" t="str">
        <f t="shared" si="34"/>
        <v/>
      </c>
      <c r="Y271" s="175" t="str">
        <f t="shared" si="34"/>
        <v/>
      </c>
      <c r="Z271" s="175" t="str">
        <f t="shared" si="34"/>
        <v/>
      </c>
      <c r="AA271" s="175" t="str">
        <f t="shared" si="34"/>
        <v/>
      </c>
      <c r="AB271" s="175" t="str">
        <f t="shared" si="34"/>
        <v/>
      </c>
      <c r="AC271" s="175" t="str">
        <f t="shared" si="34"/>
        <v/>
      </c>
      <c r="AD271" s="175" t="str">
        <f t="shared" si="34"/>
        <v/>
      </c>
      <c r="AE271" s="175" t="str">
        <f t="shared" si="34"/>
        <v/>
      </c>
      <c r="AF271" s="175" t="str">
        <f t="shared" si="34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35">IF(B239&lt;100,"",B239-620)</f>
        <v/>
      </c>
      <c r="C272" s="175" t="str">
        <f t="shared" si="35"/>
        <v/>
      </c>
      <c r="D272" s="175" t="str">
        <f t="shared" si="35"/>
        <v/>
      </c>
      <c r="E272" s="175" t="str">
        <f t="shared" si="35"/>
        <v/>
      </c>
      <c r="F272" s="175" t="str">
        <f t="shared" si="35"/>
        <v/>
      </c>
      <c r="G272" s="175" t="str">
        <f t="shared" si="35"/>
        <v/>
      </c>
      <c r="H272" s="175" t="str">
        <f t="shared" si="35"/>
        <v/>
      </c>
      <c r="I272" s="175" t="str">
        <f t="shared" si="35"/>
        <v/>
      </c>
      <c r="J272" s="175" t="str">
        <f t="shared" si="35"/>
        <v/>
      </c>
      <c r="K272" s="175" t="str">
        <f t="shared" si="35"/>
        <v/>
      </c>
      <c r="L272" s="175" t="str">
        <f t="shared" si="35"/>
        <v/>
      </c>
      <c r="M272" s="175" t="str">
        <f t="shared" si="35"/>
        <v/>
      </c>
      <c r="N272" s="175" t="str">
        <f t="shared" si="35"/>
        <v/>
      </c>
      <c r="O272" s="175" t="str">
        <f t="shared" si="35"/>
        <v/>
      </c>
      <c r="P272" s="175" t="str">
        <f t="shared" si="35"/>
        <v/>
      </c>
      <c r="Q272" s="175" t="str">
        <f t="shared" si="35"/>
        <v/>
      </c>
      <c r="R272" s="175" t="str">
        <f t="shared" si="35"/>
        <v/>
      </c>
      <c r="S272" s="175" t="str">
        <f t="shared" si="35"/>
        <v/>
      </c>
      <c r="T272" s="175" t="str">
        <f t="shared" si="35"/>
        <v/>
      </c>
      <c r="U272" s="175" t="str">
        <f t="shared" si="35"/>
        <v/>
      </c>
      <c r="V272" s="175" t="str">
        <f t="shared" si="35"/>
        <v/>
      </c>
      <c r="W272" s="175" t="str">
        <f t="shared" si="35"/>
        <v/>
      </c>
      <c r="X272" s="175" t="str">
        <f t="shared" si="35"/>
        <v/>
      </c>
      <c r="Y272" s="175" t="str">
        <f t="shared" si="35"/>
        <v/>
      </c>
      <c r="Z272" s="175" t="str">
        <f t="shared" si="35"/>
        <v/>
      </c>
      <c r="AA272" s="175" t="str">
        <f t="shared" si="35"/>
        <v/>
      </c>
      <c r="AB272" s="175" t="str">
        <f t="shared" si="35"/>
        <v/>
      </c>
      <c r="AC272" s="175" t="str">
        <f t="shared" si="35"/>
        <v/>
      </c>
      <c r="AD272" s="175" t="str">
        <f t="shared" si="35"/>
        <v/>
      </c>
      <c r="AE272" s="175" t="str">
        <f t="shared" si="35"/>
        <v/>
      </c>
      <c r="AF272" s="175" t="str">
        <f t="shared" si="35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36">IF(B240&lt;100,"",B240-330)</f>
        <v/>
      </c>
      <c r="C273" s="175" t="str">
        <f t="shared" si="36"/>
        <v/>
      </c>
      <c r="D273" s="175" t="str">
        <f t="shared" si="36"/>
        <v/>
      </c>
      <c r="E273" s="175" t="str">
        <f t="shared" si="36"/>
        <v/>
      </c>
      <c r="F273" s="175" t="str">
        <f t="shared" si="36"/>
        <v/>
      </c>
      <c r="G273" s="175" t="str">
        <f t="shared" si="36"/>
        <v/>
      </c>
      <c r="H273" s="175" t="str">
        <f t="shared" si="36"/>
        <v/>
      </c>
      <c r="I273" s="175" t="str">
        <f t="shared" si="36"/>
        <v/>
      </c>
      <c r="J273" s="175" t="str">
        <f t="shared" si="36"/>
        <v/>
      </c>
      <c r="K273" s="175" t="str">
        <f t="shared" si="36"/>
        <v/>
      </c>
      <c r="L273" s="175" t="str">
        <f t="shared" si="36"/>
        <v/>
      </c>
      <c r="M273" s="175" t="str">
        <f t="shared" si="36"/>
        <v/>
      </c>
      <c r="N273" s="175" t="str">
        <f t="shared" si="36"/>
        <v/>
      </c>
      <c r="O273" s="175" t="str">
        <f t="shared" si="36"/>
        <v/>
      </c>
      <c r="P273" s="175" t="str">
        <f t="shared" si="36"/>
        <v/>
      </c>
      <c r="Q273" s="175" t="str">
        <f t="shared" si="36"/>
        <v/>
      </c>
      <c r="R273" s="175" t="str">
        <f t="shared" si="36"/>
        <v/>
      </c>
      <c r="S273" s="175" t="str">
        <f t="shared" si="36"/>
        <v/>
      </c>
      <c r="T273" s="175" t="str">
        <f t="shared" si="36"/>
        <v/>
      </c>
      <c r="U273" s="175" t="str">
        <f t="shared" si="36"/>
        <v/>
      </c>
      <c r="V273" s="175" t="str">
        <f t="shared" si="36"/>
        <v/>
      </c>
      <c r="W273" s="175" t="str">
        <f t="shared" si="36"/>
        <v/>
      </c>
      <c r="X273" s="175" t="str">
        <f t="shared" si="36"/>
        <v/>
      </c>
      <c r="Y273" s="175" t="str">
        <f t="shared" si="36"/>
        <v/>
      </c>
      <c r="Z273" s="175" t="str">
        <f t="shared" si="36"/>
        <v/>
      </c>
      <c r="AA273" s="175" t="str">
        <f t="shared" si="36"/>
        <v/>
      </c>
      <c r="AB273" s="175" t="str">
        <f t="shared" si="36"/>
        <v/>
      </c>
      <c r="AC273" s="175" t="str">
        <f t="shared" si="36"/>
        <v/>
      </c>
      <c r="AD273" s="175" t="str">
        <f t="shared" si="36"/>
        <v/>
      </c>
      <c r="AE273" s="175" t="str">
        <f t="shared" si="36"/>
        <v/>
      </c>
      <c r="AF273" s="175" t="str">
        <f t="shared" si="36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37">IF(B241&lt;100,"",B241-1500)</f>
        <v/>
      </c>
      <c r="C274" s="175" t="str">
        <f t="shared" si="37"/>
        <v/>
      </c>
      <c r="D274" s="175" t="str">
        <f t="shared" si="37"/>
        <v/>
      </c>
      <c r="E274" s="175" t="str">
        <f t="shared" si="37"/>
        <v/>
      </c>
      <c r="F274" s="175" t="str">
        <f t="shared" si="37"/>
        <v/>
      </c>
      <c r="G274" s="175" t="str">
        <f t="shared" si="37"/>
        <v/>
      </c>
      <c r="H274" s="175" t="str">
        <f t="shared" si="37"/>
        <v/>
      </c>
      <c r="I274" s="175" t="str">
        <f t="shared" si="37"/>
        <v/>
      </c>
      <c r="J274" s="175" t="str">
        <f t="shared" si="37"/>
        <v/>
      </c>
      <c r="K274" s="175" t="str">
        <f t="shared" si="37"/>
        <v/>
      </c>
      <c r="L274" s="175" t="str">
        <f t="shared" si="37"/>
        <v/>
      </c>
      <c r="M274" s="175" t="str">
        <f t="shared" si="37"/>
        <v/>
      </c>
      <c r="N274" s="175" t="str">
        <f t="shared" si="37"/>
        <v/>
      </c>
      <c r="O274" s="175" t="str">
        <f t="shared" si="37"/>
        <v/>
      </c>
      <c r="P274" s="175" t="str">
        <f t="shared" si="37"/>
        <v/>
      </c>
      <c r="Q274" s="175" t="str">
        <f t="shared" si="37"/>
        <v/>
      </c>
      <c r="R274" s="175" t="str">
        <f t="shared" si="37"/>
        <v/>
      </c>
      <c r="S274" s="175" t="str">
        <f t="shared" si="37"/>
        <v/>
      </c>
      <c r="T274" s="175" t="str">
        <f t="shared" si="37"/>
        <v/>
      </c>
      <c r="U274" s="175" t="str">
        <f t="shared" si="37"/>
        <v/>
      </c>
      <c r="V274" s="175" t="str">
        <f t="shared" si="37"/>
        <v/>
      </c>
      <c r="W274" s="175" t="str">
        <f t="shared" si="37"/>
        <v/>
      </c>
      <c r="X274" s="175" t="str">
        <f t="shared" si="37"/>
        <v/>
      </c>
      <c r="Y274" s="175" t="str">
        <f t="shared" si="37"/>
        <v/>
      </c>
      <c r="Z274" s="175" t="str">
        <f t="shared" si="37"/>
        <v/>
      </c>
      <c r="AA274" s="175" t="str">
        <f t="shared" si="37"/>
        <v/>
      </c>
      <c r="AB274" s="175" t="str">
        <f t="shared" si="37"/>
        <v/>
      </c>
      <c r="AC274" s="175" t="str">
        <f t="shared" si="37"/>
        <v/>
      </c>
      <c r="AD274" s="175" t="str">
        <f t="shared" si="37"/>
        <v/>
      </c>
      <c r="AE274" s="175" t="str">
        <f t="shared" si="37"/>
        <v/>
      </c>
      <c r="AF274" s="175" t="str">
        <f t="shared" si="37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2959" priority="188">
      <formula>$AH11=0</formula>
    </cfRule>
  </conditionalFormatting>
  <conditionalFormatting sqref="B8 M8 S8 AB8">
    <cfRule type="expression" dxfId="2958" priority="441">
      <formula>AND(C$9&gt;=8/24,C$9&lt;14/24)</formula>
    </cfRule>
    <cfRule type="expression" dxfId="2957" priority="442">
      <formula>C$9&lt;8/24</formula>
    </cfRule>
    <cfRule type="expression" dxfId="2956" priority="440">
      <formula>AND(C$9&gt;=14/24,C$9&lt;20/24)</formula>
    </cfRule>
  </conditionalFormatting>
  <conditionalFormatting sqref="B77:B84">
    <cfRule type="expression" dxfId="2955" priority="112">
      <formula>B$9&lt;8/24</formula>
    </cfRule>
    <cfRule type="expression" dxfId="2954" priority="111">
      <formula>AND(B$9&gt;=8/24,B$9&lt;14/24)</formula>
    </cfRule>
    <cfRule type="expression" dxfId="2953" priority="110">
      <formula>AND(B$9&gt;=14/24,B$9&lt;20/24)</formula>
    </cfRule>
    <cfRule type="expression" dxfId="2952" priority="109">
      <formula>B$9&gt;=20/24</formula>
    </cfRule>
  </conditionalFormatting>
  <conditionalFormatting sqref="B55:E60">
    <cfRule type="expression" dxfId="2951" priority="145">
      <formula>B$9&gt;=20/24</formula>
    </cfRule>
    <cfRule type="expression" dxfId="2950" priority="148">
      <formula>B$9&lt;8/24</formula>
    </cfRule>
    <cfRule type="expression" dxfId="2949" priority="147">
      <formula>AND(B$9&gt;=8/24,B$9&lt;14/24)</formula>
    </cfRule>
    <cfRule type="expression" dxfId="2948" priority="146">
      <formula>AND(B$9&gt;=14/24,B$9&lt;20/24)</formula>
    </cfRule>
  </conditionalFormatting>
  <conditionalFormatting sqref="B11:Z45">
    <cfRule type="expression" dxfId="2947" priority="69">
      <formula>B$9&gt;=20/24</formula>
    </cfRule>
    <cfRule type="expression" dxfId="2946" priority="72">
      <formula>B$9&lt;8/24</formula>
    </cfRule>
    <cfRule type="expression" dxfId="2945" priority="71">
      <formula>AND(B$9&gt;=8/24,B$9&lt;14/24)</formula>
    </cfRule>
    <cfRule type="expression" dxfId="2944" priority="70">
      <formula>AND(B$9&gt;=14/24,B$9&lt;20/24)</formula>
    </cfRule>
  </conditionalFormatting>
  <conditionalFormatting sqref="B11:Z46">
    <cfRule type="expression" dxfId="2943" priority="67">
      <formula>B11&gt;$AG11</formula>
    </cfRule>
  </conditionalFormatting>
  <conditionalFormatting sqref="B46:Z46">
    <cfRule type="expression" dxfId="2942" priority="63">
      <formula>B$9&gt;=20/24</formula>
    </cfRule>
    <cfRule type="expression" dxfId="2941" priority="64">
      <formula>AND(B$9&gt;=14/24,B$9&lt;20/24)</formula>
    </cfRule>
    <cfRule type="expression" dxfId="2940" priority="65">
      <formula>AND(B$9&gt;=8/24,B$9&lt;14/24)</formula>
    </cfRule>
    <cfRule type="expression" dxfId="2939" priority="66">
      <formula>B$9&lt;8/24</formula>
    </cfRule>
  </conditionalFormatting>
  <conditionalFormatting sqref="B48:Z49">
    <cfRule type="expression" dxfId="2938" priority="85">
      <formula>B$9&gt;=20/24</formula>
    </cfRule>
    <cfRule type="expression" dxfId="2937" priority="86">
      <formula>AND(B$9&gt;=14/24,B$9&lt;20/24)</formula>
    </cfRule>
    <cfRule type="expression" dxfId="2936" priority="87">
      <formula>AND(B$9&gt;=8/24,B$9&lt;14/24)</formula>
    </cfRule>
    <cfRule type="expression" dxfId="2935" priority="88">
      <formula>B$9&lt;8/24</formula>
    </cfRule>
  </conditionalFormatting>
  <conditionalFormatting sqref="B48:Z72">
    <cfRule type="expression" dxfId="2934" priority="83">
      <formula>B48&gt;$AG48</formula>
    </cfRule>
  </conditionalFormatting>
  <conditionalFormatting sqref="B51:Z54">
    <cfRule type="expression" dxfId="2933" priority="107">
      <formula>AND(B$9&gt;=8/24,B$9&lt;14/24)</formula>
    </cfRule>
    <cfRule type="expression" dxfId="2932" priority="108">
      <formula>B$9&lt;8/24</formula>
    </cfRule>
    <cfRule type="expression" dxfId="2931" priority="106">
      <formula>AND(B$9&gt;=14/24,B$9&lt;20/24)</formula>
    </cfRule>
    <cfRule type="expression" dxfId="2930" priority="105">
      <formula>B$9&gt;=20/24</formula>
    </cfRule>
  </conditionalFormatting>
  <conditionalFormatting sqref="B61:Z66">
    <cfRule type="expression" dxfId="2929" priority="100">
      <formula>B$9&gt;=20/24</formula>
    </cfRule>
    <cfRule type="expression" dxfId="2928" priority="101">
      <formula>AND(B$9&gt;=14/24,B$9&lt;20/24)</formula>
    </cfRule>
    <cfRule type="expression" dxfId="2927" priority="102">
      <formula>AND(B$9&gt;=8/24,B$9&lt;14/24)</formula>
    </cfRule>
    <cfRule type="expression" dxfId="2926" priority="103">
      <formula>B$9&lt;8/24</formula>
    </cfRule>
  </conditionalFormatting>
  <conditionalFormatting sqref="B69:Z72 B73:E76">
    <cfRule type="expression" dxfId="2925" priority="156">
      <formula>AND(B$9&gt;=8/24,B$9&lt;14/24)</formula>
    </cfRule>
    <cfRule type="expression" dxfId="2924" priority="157">
      <formula>B$9&lt;8/24</formula>
    </cfRule>
    <cfRule type="expression" dxfId="2923" priority="154">
      <formula>B$9&gt;=20/24</formula>
    </cfRule>
    <cfRule type="expression" dxfId="2922" priority="155">
      <formula>AND(B$9&gt;=14/24,B$9&lt;20/24)</formula>
    </cfRule>
  </conditionalFormatting>
  <conditionalFormatting sqref="B85:Z91 B93:Z109">
    <cfRule type="expression" dxfId="2921" priority="116">
      <formula>AND(B$9&gt;=8/24,B$9&lt;14/24)</formula>
    </cfRule>
    <cfRule type="expression" dxfId="2920" priority="117">
      <formula>B$9&lt;8/24</formula>
    </cfRule>
    <cfRule type="expression" dxfId="2919" priority="114">
      <formula>B$9&gt;=20/24</formula>
    </cfRule>
    <cfRule type="expression" dxfId="2918" priority="115">
      <formula>AND(B$9&gt;=14/24,B$9&lt;20/24)</formula>
    </cfRule>
  </conditionalFormatting>
  <conditionalFormatting sqref="B9:AF10 U55:Z58 W59:Z59 B227:AF227 D229:AF230 B229:B235 D231:H231 J231:AF231 D232:AF235 U248:AF248">
    <cfRule type="expression" dxfId="2917" priority="436">
      <formula>B$9&lt;8/24</formula>
    </cfRule>
    <cfRule type="expression" dxfId="2916" priority="434">
      <formula>AND(B$9&gt;=14/24,B$9&lt;20/24)</formula>
    </cfRule>
    <cfRule type="expression" dxfId="2915" priority="435">
      <formula>AND(B$9&gt;=8/24,B$9&lt;14/24)</formula>
    </cfRule>
  </conditionalFormatting>
  <conditionalFormatting sqref="B47:AF47">
    <cfRule type="expression" dxfId="2914" priority="90">
      <formula>AND(B$9&gt;=14/24,B$9&lt;20/24)</formula>
    </cfRule>
    <cfRule type="expression" dxfId="2913" priority="89">
      <formula>B$9&gt;=20/24</formula>
    </cfRule>
    <cfRule type="expression" dxfId="2912" priority="98">
      <formula>B47&gt;$AG47</formula>
    </cfRule>
    <cfRule type="expression" dxfId="2911" priority="92">
      <formula>B$9&lt;8/24</formula>
    </cfRule>
    <cfRule type="expression" dxfId="2910" priority="91">
      <formula>AND(B$9&gt;=8/24,B$9&lt;14/24)</formula>
    </cfRule>
  </conditionalFormatting>
  <conditionalFormatting sqref="B111:AF120">
    <cfRule type="expression" dxfId="2909" priority="14">
      <formula>B$9&lt;8/24</formula>
    </cfRule>
    <cfRule type="expression" dxfId="2908" priority="13">
      <formula>AND(B$9&gt;=8/24,B$9&lt;14/24)</formula>
    </cfRule>
    <cfRule type="expression" dxfId="2907" priority="12">
      <formula>AND(B$9&gt;=14/24,B$9&lt;20/24)</formula>
    </cfRule>
    <cfRule type="expression" dxfId="2906" priority="11">
      <formula>B$9&gt;=20/24</formula>
    </cfRule>
  </conditionalFormatting>
  <conditionalFormatting sqref="C77:I78">
    <cfRule type="expression" dxfId="2905" priority="222">
      <formula>AND(C$9&gt;=8/24,C$9&lt;14/24)</formula>
    </cfRule>
    <cfRule type="expression" dxfId="2904" priority="221">
      <formula>AND(C$9&gt;=14/24,C$9&lt;20/24)</formula>
    </cfRule>
    <cfRule type="expression" dxfId="2903" priority="220">
      <formula>C$9&gt;=20/24</formula>
    </cfRule>
    <cfRule type="expression" dxfId="2902" priority="223">
      <formula>C$9&lt;8/24</formula>
    </cfRule>
  </conditionalFormatting>
  <conditionalFormatting sqref="C79:Z83">
    <cfRule type="expression" dxfId="2901" priority="213">
      <formula>C$9&lt;8/24</formula>
    </cfRule>
    <cfRule type="expression" dxfId="2900" priority="212">
      <formula>AND(C$9&gt;=8/24,C$9&lt;14/24)</formula>
    </cfRule>
    <cfRule type="expression" dxfId="2899" priority="211">
      <formula>AND(C$9&gt;=14/24,C$9&lt;20/24)</formula>
    </cfRule>
    <cfRule type="expression" dxfId="2898" priority="210">
      <formula>C$9&gt;=20/24</formula>
    </cfRule>
  </conditionalFormatting>
  <conditionalFormatting sqref="C84:AF84">
    <cfRule type="expression" dxfId="2897" priority="296">
      <formula>C$9&lt;8/24</formula>
    </cfRule>
    <cfRule type="expression" dxfId="2896" priority="294">
      <formula>AND(C$9&gt;=14/24,C$9&lt;20/24)</formula>
    </cfRule>
    <cfRule type="expression" dxfId="2895" priority="293">
      <formula>C$9&gt;=20/24</formula>
    </cfRule>
    <cfRule type="expression" dxfId="2894" priority="295">
      <formula>AND(C$9&gt;=8/24,C$9&lt;14/24)</formula>
    </cfRule>
  </conditionalFormatting>
  <conditionalFormatting sqref="F76:I76 J76:Z78">
    <cfRule type="expression" dxfId="2893" priority="306">
      <formula>F$9&lt;8/24</formula>
    </cfRule>
    <cfRule type="expression" dxfId="2892" priority="305">
      <formula>AND(F$9&gt;=8/24,F$9&lt;14/24)</formula>
    </cfRule>
    <cfRule type="expression" dxfId="2891" priority="304">
      <formula>AND(F$9&gt;=14/24,F$9&lt;20/24)</formula>
    </cfRule>
    <cfRule type="expression" dxfId="2890" priority="303">
      <formula>F$9&gt;=20/24</formula>
    </cfRule>
  </conditionalFormatting>
  <conditionalFormatting sqref="F55:Q57">
    <cfRule type="expression" dxfId="2889" priority="371">
      <formula>F$9&gt;=20/24</formula>
    </cfRule>
    <cfRule type="expression" dxfId="2888" priority="374">
      <formula>F$9&lt;8/24</formula>
    </cfRule>
    <cfRule type="expression" dxfId="2887" priority="373">
      <formula>AND(F$9&gt;=8/24,F$9&lt;14/24)</formula>
    </cfRule>
    <cfRule type="expression" dxfId="2886" priority="372">
      <formula>AND(F$9&gt;=14/24,F$9&lt;20/24)</formula>
    </cfRule>
  </conditionalFormatting>
  <conditionalFormatting sqref="F60:Z60">
    <cfRule type="expression" dxfId="2885" priority="225">
      <formula>F$9&gt;=20/24</formula>
    </cfRule>
    <cfRule type="expression" dxfId="2884" priority="226">
      <formula>AND(F$9&gt;=14/24,F$9&lt;20/24)</formula>
    </cfRule>
    <cfRule type="expression" dxfId="2883" priority="227">
      <formula>AND(F$9&gt;=8/24,F$9&lt;14/24)</formula>
    </cfRule>
    <cfRule type="expression" dxfId="2882" priority="228">
      <formula>F$9&lt;8/24</formula>
    </cfRule>
  </conditionalFormatting>
  <conditionalFormatting sqref="F73:Z75">
    <cfRule type="expression" dxfId="2881" priority="395">
      <formula>AND(F$9&gt;=14/24,F$9&lt;20/24)</formula>
    </cfRule>
    <cfRule type="expression" dxfId="2880" priority="396">
      <formula>AND(F$9&gt;=8/24,F$9&lt;14/24)</formula>
    </cfRule>
    <cfRule type="expression" dxfId="2879" priority="397">
      <formula>F$9&lt;8/24</formula>
    </cfRule>
    <cfRule type="expression" dxfId="2878" priority="394">
      <formula>F$9&gt;=20/24</formula>
    </cfRule>
  </conditionalFormatting>
  <conditionalFormatting sqref="O3:P3">
    <cfRule type="iconSet" priority="437">
      <iconSet iconSet="3TrafficLights2" reverse="1">
        <cfvo type="percent" val="0"/>
        <cfvo type="num" val="1"/>
        <cfvo type="num" val="1"/>
      </iconSet>
    </cfRule>
  </conditionalFormatting>
  <conditionalFormatting sqref="R55:T59">
    <cfRule type="expression" dxfId="2877" priority="392">
      <formula>R$9&lt;8/24</formula>
    </cfRule>
    <cfRule type="expression" dxfId="2876" priority="391">
      <formula>AND(R$9&gt;=8/24,R$9&lt;14/24)</formula>
    </cfRule>
    <cfRule type="expression" dxfId="2875" priority="390">
      <formula>AND(R$9&gt;=14/24,R$9&lt;20/24)</formula>
    </cfRule>
    <cfRule type="expression" dxfId="2874" priority="389">
      <formula>R$9&gt;=20/24</formula>
    </cfRule>
  </conditionalFormatting>
  <conditionalFormatting sqref="S8 AB8 B8 M8">
    <cfRule type="expression" dxfId="2873" priority="439">
      <formula>C$9&gt;=20/24</formula>
    </cfRule>
  </conditionalFormatting>
  <conditionalFormatting sqref="S8">
    <cfRule type="expression" dxfId="2872" priority="414">
      <formula>AND(U$9&gt;=8/24,U$9&lt;14/24)</formula>
    </cfRule>
    <cfRule type="expression" dxfId="2871" priority="415">
      <formula>U$9&lt;8/24</formula>
    </cfRule>
    <cfRule type="expression" dxfId="2870" priority="412">
      <formula>U$9&gt;=20/24</formula>
    </cfRule>
    <cfRule type="expression" dxfId="2869" priority="413">
      <formula>AND(U$9&gt;=14/24,U$9&lt;20/24)</formula>
    </cfRule>
  </conditionalFormatting>
  <conditionalFormatting sqref="T248">
    <cfRule type="expression" dxfId="2868" priority="452">
      <formula>AX$9&gt;=20/24</formula>
    </cfRule>
    <cfRule type="expression" dxfId="2867" priority="454">
      <formula>AND(AX$9&gt;=8/24,AX$9&lt;14/24)</formula>
    </cfRule>
    <cfRule type="expression" dxfId="2866" priority="455">
      <formula>AX$9&lt;8/24</formula>
    </cfRule>
    <cfRule type="expression" dxfId="2865" priority="453">
      <formula>AND(AX$9&gt;=14/24,AX$9&lt;20/24)</formula>
    </cfRule>
  </conditionalFormatting>
  <conditionalFormatting sqref="U59:V59 AH248:AX248">
    <cfRule type="expression" dxfId="2864" priority="449">
      <formula>AND(T$9&gt;=14/24,T$9&lt;20/24)</formula>
    </cfRule>
    <cfRule type="expression" dxfId="2863" priority="448">
      <formula>T$9&gt;=20/24</formula>
    </cfRule>
    <cfRule type="expression" dxfId="2862" priority="450">
      <formula>AND(T$9&gt;=8/24,T$9&lt;14/24)</formula>
    </cfRule>
    <cfRule type="expression" dxfId="2861" priority="451">
      <formula>T$9&lt;8/24</formula>
    </cfRule>
  </conditionalFormatting>
  <conditionalFormatting sqref="U55:Z58 W59:Z59 B9:AF10 B227:AF227 D229:AF230 B229:B235 D231:H231 J231:AF231 D232:AF235 U248:AF248">
    <cfRule type="expression" dxfId="2860" priority="433">
      <formula>B$9&gt;=20/24</formula>
    </cfRule>
  </conditionalFormatting>
  <conditionalFormatting sqref="V3 AB3">
    <cfRule type="iconSet" priority="438">
      <iconSet iconSet="3TrafficLights2" reverse="1">
        <cfvo type="percent" val="0"/>
        <cfvo type="num" val="1"/>
        <cfvo type="num" val="1"/>
      </iconSet>
    </cfRule>
  </conditionalFormatting>
  <conditionalFormatting sqref="AA50:AA83 AB51:AF53 AB55:AF66 AB69:AF83 AB85:AF91 AA85:AA109 AB93:AF109">
    <cfRule type="expression" dxfId="2859" priority="4">
      <formula>AND(AA$9&gt;=8/24,AA$9&lt;14/24)</formula>
    </cfRule>
    <cfRule type="expression" dxfId="2858" priority="3">
      <formula>AND(AA$9&gt;=14/24,AA$9&lt;20/24)</formula>
    </cfRule>
    <cfRule type="expression" dxfId="2857" priority="2">
      <formula>AA$9&gt;=20/24</formula>
    </cfRule>
    <cfRule type="expression" dxfId="2856" priority="5">
      <formula>AA$9&lt;8/24</formula>
    </cfRule>
  </conditionalFormatting>
  <conditionalFormatting sqref="AA50:AA83 AB51:AF53 AB55:AF72 AB73:AB83 AC79:AF83 AA85:AA109 AB90 AB102:AB108">
    <cfRule type="expression" dxfId="2855" priority="1">
      <formula>AA50&gt;$AG50</formula>
    </cfRule>
  </conditionalFormatting>
  <conditionalFormatting sqref="AA11:AF46 AA48:AF49">
    <cfRule type="expression" dxfId="2854" priority="7">
      <formula>AA$9&gt;=20/24</formula>
    </cfRule>
    <cfRule type="expression" dxfId="2853" priority="6">
      <formula>AA11&gt;$AG11</formula>
    </cfRule>
    <cfRule type="expression" dxfId="2852" priority="10">
      <formula>AA$9&lt;8/24</formula>
    </cfRule>
    <cfRule type="expression" dxfId="2851" priority="9">
      <formula>AND(AA$9&gt;=8/24,AA$9&lt;14/24)</formula>
    </cfRule>
    <cfRule type="expression" dxfId="2850" priority="8">
      <formula>AND(AA$9&gt;=14/24,AA$9&lt;20/24)</formula>
    </cfRule>
  </conditionalFormatting>
  <conditionalFormatting sqref="AB8">
    <cfRule type="expression" dxfId="2849" priority="410">
      <formula>AND(AD$9&gt;=8/24,AD$9&lt;14/24)</formula>
    </cfRule>
    <cfRule type="expression" dxfId="2848" priority="411">
      <formula>AD$9&lt;8/24</formula>
    </cfRule>
    <cfRule type="expression" dxfId="2847" priority="408">
      <formula>AD$9&gt;=20/24</formula>
    </cfRule>
    <cfRule type="expression" dxfId="2846" priority="409">
      <formula>AND(AD$9&gt;=14/24,AD$9&lt;20/24)</formula>
    </cfRule>
  </conditionalFormatting>
  <conditionalFormatting sqref="AB50:AG50">
    <cfRule type="expression" dxfId="2845" priority="219">
      <formula>AB50&gt;$AG50</formula>
    </cfRule>
  </conditionalFormatting>
  <conditionalFormatting sqref="AB54:AG54">
    <cfRule type="expression" dxfId="2844" priority="285">
      <formula>AB$9&gt;=20/24</formula>
    </cfRule>
    <cfRule type="expression" dxfId="2843" priority="286">
      <formula>AND(AB$9&gt;=14/24,AB$9&lt;20/24)</formula>
    </cfRule>
    <cfRule type="expression" dxfId="2842" priority="287">
      <formula>AND(AB$9&gt;=8/24,AB$9&lt;14/24)</formula>
    </cfRule>
    <cfRule type="expression" dxfId="2841" priority="288">
      <formula>AB$9&lt;8/24</formula>
    </cfRule>
    <cfRule type="expression" dxfId="2840" priority="284">
      <formula>AB54&gt;$AG54</formula>
    </cfRule>
  </conditionalFormatting>
  <conditionalFormatting sqref="AG67:AG68 AG72">
    <cfRule type="expression" dxfId="2839" priority="365">
      <formula>AG67&gt;$AG67</formula>
    </cfRule>
  </conditionalFormatting>
  <conditionalFormatting sqref="AG72 AG89">
    <cfRule type="expression" dxfId="2838" priority="367">
      <formula>AND(AG$9&gt;=14/24,AG$9&lt;20/24)</formula>
    </cfRule>
    <cfRule type="expression" dxfId="2837" priority="366">
      <formula>AG$9&gt;=20/24</formula>
    </cfRule>
    <cfRule type="expression" dxfId="2836" priority="369">
      <formula>AG$9&lt;8/24</formula>
    </cfRule>
    <cfRule type="expression" dxfId="2835" priority="368">
      <formula>AND(AG$9&gt;=8/24,AG$9&lt;14/24)</formula>
    </cfRule>
  </conditionalFormatting>
  <conditionalFormatting sqref="AG248">
    <cfRule type="expression" dxfId="2834" priority="445">
      <formula>AND(B$9&gt;=14/24,B$9&lt;20/24)</formula>
    </cfRule>
    <cfRule type="expression" dxfId="2833" priority="446">
      <formula>AND(B$9&gt;=8/24,B$9&lt;14/24)</formula>
    </cfRule>
    <cfRule type="expression" dxfId="2832" priority="447">
      <formula>B$9&lt;8/24</formula>
    </cfRule>
    <cfRule type="expression" dxfId="2831" priority="444">
      <formula>B$9&gt;=20/24</formula>
    </cfRule>
  </conditionalFormatting>
  <conditionalFormatting sqref="AL4:AL6">
    <cfRule type="iconSet" priority="432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203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331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96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329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40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428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416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56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830" priority="457">
      <formula>AJ$9&gt;=20/24</formula>
    </cfRule>
    <cfRule type="expression" dxfId="2829" priority="458">
      <formula>AND(AJ$9&gt;=14/24,AJ$9&lt;20/24)</formula>
    </cfRule>
    <cfRule type="expression" dxfId="2828" priority="459">
      <formula>AND(AJ$9&gt;=8/24,AJ$9&lt;14/24)</formula>
    </cfRule>
    <cfRule type="expression" dxfId="2827" priority="460">
      <formula>AJ$9&lt;8/24</formula>
    </cfRule>
  </conditionalFormatting>
  <conditionalFormatting sqref="AL80:AN80 AL86:AN86">
    <cfRule type="expression" dxfId="2826" priority="259">
      <formula>AND(AL$9&gt;=8/24,AL$9&lt;14/24)</formula>
    </cfRule>
    <cfRule type="expression" dxfId="2825" priority="260">
      <formula>AL$9&lt;8/24</formula>
    </cfRule>
    <cfRule type="expression" dxfId="2824" priority="258">
      <formula>AND(AL$9&gt;=14/24,AL$9&lt;20/24)</formula>
    </cfRule>
    <cfRule type="expression" dxfId="2823" priority="257">
      <formula>AL$9&gt;=20/24</formula>
    </cfRule>
  </conditionalFormatting>
  <conditionalFormatting sqref="AN81:AN84">
    <cfRule type="expression" dxfId="2822" priority="255">
      <formula>AND(AN$9&gt;=8/24,AN$9&lt;14/24)</formula>
    </cfRule>
    <cfRule type="expression" dxfId="2821" priority="253">
      <formula>AN$9&gt;=20/24</formula>
    </cfRule>
    <cfRule type="expression" dxfId="2820" priority="254">
      <formula>AND(AN$9&gt;=14/24,AN$9&lt;20/24)</formula>
    </cfRule>
    <cfRule type="expression" dxfId="2819" priority="256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C518-0809-4904-8197-7D4B62020370}">
  <dimension ref="A1:CJ281"/>
  <sheetViews>
    <sheetView zoomScale="85" zoomScaleNormal="85" workbookViewId="0">
      <pane xSplit="1" ySplit="10" topLeftCell="B87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X47" sqref="X47:AF4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8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2080/03/2</v>
      </c>
      <c r="C4" s="187"/>
      <c r="D4" s="187"/>
      <c r="E4" s="188" t="str">
        <f ca="1">"2079/"&amp;"12/"&amp;INT(MID(CELL("filename",G6),FIND("]",CELL("filename",G6))+1,200))</f>
        <v>2079/12/2</v>
      </c>
      <c r="F4" s="188"/>
      <c r="G4" s="188"/>
      <c r="H4" s="188" t="str">
        <f ca="1">TEXT(E4,"dddd")</f>
        <v>Saturday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97.6</v>
      </c>
      <c r="C5" s="30">
        <f t="shared" si="0"/>
        <v>97.199999999999989</v>
      </c>
      <c r="D5" s="30">
        <f t="shared" si="0"/>
        <v>95.8</v>
      </c>
      <c r="E5" s="30">
        <f t="shared" si="0"/>
        <v>95.4</v>
      </c>
      <c r="F5" s="30">
        <f t="shared" si="0"/>
        <v>109.5</v>
      </c>
      <c r="G5" s="30">
        <f t="shared" si="0"/>
        <v>109.2</v>
      </c>
      <c r="H5" s="30">
        <f t="shared" si="0"/>
        <v>106.5</v>
      </c>
      <c r="I5" s="30">
        <f t="shared" si="0"/>
        <v>106.5</v>
      </c>
      <c r="J5" s="30">
        <f t="shared" si="0"/>
        <v>106.5</v>
      </c>
      <c r="K5" s="30">
        <f t="shared" si="0"/>
        <v>106.5</v>
      </c>
      <c r="L5" s="30">
        <f t="shared" si="0"/>
        <v>101.9</v>
      </c>
      <c r="M5" s="30">
        <f t="shared" si="0"/>
        <v>115.80000000000001</v>
      </c>
      <c r="N5" s="30">
        <f t="shared" si="0"/>
        <v>117.80000000000001</v>
      </c>
      <c r="O5" s="30">
        <f t="shared" si="0"/>
        <v>115.2</v>
      </c>
      <c r="P5" s="30">
        <f t="shared" si="0"/>
        <v>111.1</v>
      </c>
      <c r="Q5" s="30">
        <f t="shared" si="0"/>
        <v>116.8</v>
      </c>
      <c r="R5" s="30">
        <f t="shared" si="0"/>
        <v>73.099999999999994</v>
      </c>
      <c r="S5" s="30">
        <f t="shared" si="0"/>
        <v>73.099999999999994</v>
      </c>
      <c r="T5" s="30">
        <f t="shared" si="0"/>
        <v>44.7</v>
      </c>
      <c r="U5" s="30">
        <f t="shared" si="0"/>
        <v>44</v>
      </c>
      <c r="V5" s="30">
        <f t="shared" si="0"/>
        <v>53.8</v>
      </c>
      <c r="W5" s="30">
        <f t="shared" si="0"/>
        <v>50.7</v>
      </c>
      <c r="X5" s="30">
        <f t="shared" si="0"/>
        <v>56.7</v>
      </c>
      <c r="Y5" s="30">
        <f t="shared" si="0"/>
        <v>58.6</v>
      </c>
      <c r="Z5" s="30">
        <f t="shared" si="0"/>
        <v>58</v>
      </c>
      <c r="AA5" s="30">
        <f t="shared" si="0"/>
        <v>76.400000000000006</v>
      </c>
      <c r="AB5" s="30">
        <f t="shared" si="0"/>
        <v>76.400000000000006</v>
      </c>
      <c r="AC5" s="30">
        <f t="shared" si="0"/>
        <v>64.2</v>
      </c>
      <c r="AD5" s="30">
        <f t="shared" si="0"/>
        <v>66</v>
      </c>
      <c r="AE5" s="30">
        <f t="shared" si="0"/>
        <v>56</v>
      </c>
      <c r="AF5" s="30">
        <f>B84</f>
        <v>144.1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1943MW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Load=1781</v>
      </c>
      <c r="B7" s="35">
        <f t="shared" ref="B7:AF7" si="1">B91</f>
        <v>2020.3399999999997</v>
      </c>
      <c r="C7" s="35">
        <f t="shared" si="1"/>
        <v>1912.7399999999998</v>
      </c>
      <c r="D7" s="35">
        <f t="shared" si="1"/>
        <v>1911.34</v>
      </c>
      <c r="E7" s="35">
        <f t="shared" si="1"/>
        <v>1872.84</v>
      </c>
      <c r="F7" s="35">
        <f t="shared" si="1"/>
        <v>1929.54</v>
      </c>
      <c r="G7" s="35">
        <f t="shared" si="1"/>
        <v>1835.8399999999997</v>
      </c>
      <c r="H7" s="35">
        <f t="shared" si="1"/>
        <v>1855.9399999999998</v>
      </c>
      <c r="I7" s="35">
        <f t="shared" si="1"/>
        <v>1879.6399999999999</v>
      </c>
      <c r="J7" s="35">
        <f t="shared" si="1"/>
        <v>1780.6399999999999</v>
      </c>
      <c r="K7" s="35">
        <f t="shared" si="1"/>
        <v>1781.3399999999997</v>
      </c>
      <c r="L7" s="35">
        <f t="shared" si="1"/>
        <v>1813.3399999999997</v>
      </c>
      <c r="M7" s="35">
        <f t="shared" si="1"/>
        <v>1943.04</v>
      </c>
      <c r="N7" s="35">
        <f>N91</f>
        <v>1911.74</v>
      </c>
      <c r="O7" s="35">
        <f t="shared" si="1"/>
        <v>1892.1399999999999</v>
      </c>
      <c r="P7" s="35">
        <f t="shared" si="1"/>
        <v>2007.74</v>
      </c>
      <c r="Q7" s="35">
        <f t="shared" si="1"/>
        <v>1998.2399999999998</v>
      </c>
      <c r="R7" s="35">
        <f t="shared" si="1"/>
        <v>1906.9399999999998</v>
      </c>
      <c r="S7" s="35">
        <f t="shared" si="1"/>
        <v>1783.34</v>
      </c>
      <c r="T7" s="35">
        <f t="shared" si="1"/>
        <v>1832.44</v>
      </c>
      <c r="U7" s="35">
        <f t="shared" si="1"/>
        <v>1787.3400000000001</v>
      </c>
      <c r="V7" s="35">
        <f t="shared" si="1"/>
        <v>1823.24</v>
      </c>
      <c r="W7" s="35">
        <f t="shared" si="1"/>
        <v>1832.4399999999998</v>
      </c>
      <c r="X7" s="35">
        <f t="shared" si="1"/>
        <v>1818.0399999999997</v>
      </c>
      <c r="Y7" s="35">
        <f t="shared" si="1"/>
        <v>1916.0399999999997</v>
      </c>
      <c r="Z7" s="35">
        <f t="shared" si="1"/>
        <v>1982.6399999999999</v>
      </c>
      <c r="AA7" s="35">
        <f t="shared" si="1"/>
        <v>2001.94</v>
      </c>
      <c r="AB7" s="35">
        <f t="shared" si="1"/>
        <v>2095.84</v>
      </c>
      <c r="AC7" s="35">
        <f t="shared" si="1"/>
        <v>2095.64</v>
      </c>
      <c r="AD7" s="35">
        <f t="shared" si="1"/>
        <v>2083.4399999999996</v>
      </c>
      <c r="AE7" s="35">
        <f t="shared" si="1"/>
        <v>2100.2399999999998</v>
      </c>
      <c r="AF7" s="35">
        <f t="shared" si="1"/>
        <v>1887.2399999999998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60.4</v>
      </c>
      <c r="C11" s="45">
        <v>60.4</v>
      </c>
      <c r="D11" s="45">
        <v>60.4</v>
      </c>
      <c r="E11" s="45">
        <v>60.4</v>
      </c>
      <c r="F11" s="45">
        <v>60.4</v>
      </c>
      <c r="G11" s="45">
        <v>60.4</v>
      </c>
      <c r="H11" s="45">
        <v>60.4</v>
      </c>
      <c r="I11" s="45">
        <v>60.4</v>
      </c>
      <c r="J11" s="45">
        <v>60.4</v>
      </c>
      <c r="K11" s="45">
        <v>60.4</v>
      </c>
      <c r="L11" s="45">
        <v>60.4</v>
      </c>
      <c r="M11" s="45">
        <v>60.4</v>
      </c>
      <c r="N11" s="45">
        <v>52.1</v>
      </c>
      <c r="O11" s="45">
        <v>50.6</v>
      </c>
      <c r="P11" s="45">
        <v>49.9</v>
      </c>
      <c r="Q11" s="45">
        <v>49.9</v>
      </c>
      <c r="R11" s="45">
        <v>49.9</v>
      </c>
      <c r="S11" s="45">
        <v>49.9</v>
      </c>
      <c r="T11" s="45">
        <v>49.9</v>
      </c>
      <c r="U11" s="45">
        <v>49.9</v>
      </c>
      <c r="V11" s="45">
        <v>49.9</v>
      </c>
      <c r="W11" s="45">
        <v>49.9</v>
      </c>
      <c r="X11" s="45">
        <v>49.9</v>
      </c>
      <c r="Y11" s="45">
        <v>49.9</v>
      </c>
      <c r="Z11" s="45">
        <v>49.9</v>
      </c>
      <c r="AA11" s="45">
        <v>45.6</v>
      </c>
      <c r="AB11" s="45">
        <v>54.6</v>
      </c>
      <c r="AC11" s="45">
        <v>54.6</v>
      </c>
      <c r="AD11" s="45">
        <v>54.6</v>
      </c>
      <c r="AE11" s="45">
        <v>54.6</v>
      </c>
      <c r="AF11" s="45">
        <v>54.6</v>
      </c>
      <c r="AG11" s="46">
        <v>86</v>
      </c>
      <c r="AH11" s="47">
        <f t="shared" ref="AH11:AH76" si="2">MAX(B11:AF11)</f>
        <v>60.4</v>
      </c>
      <c r="AI11" s="48">
        <f t="shared" ref="AI11:AI76" si="3">MIN(B11:AF11)</f>
        <v>45.6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9">
        <v>54</v>
      </c>
      <c r="AH12" s="47">
        <f t="shared" si="2"/>
        <v>0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46.1</v>
      </c>
      <c r="C13" s="45">
        <v>46.1</v>
      </c>
      <c r="D13" s="45">
        <v>46.1</v>
      </c>
      <c r="E13" s="45">
        <v>46.1</v>
      </c>
      <c r="F13" s="45">
        <v>46.1</v>
      </c>
      <c r="G13" s="45">
        <v>46.1</v>
      </c>
      <c r="H13" s="45">
        <v>46.1</v>
      </c>
      <c r="I13" s="45">
        <v>46.1</v>
      </c>
      <c r="J13" s="45">
        <v>46.1</v>
      </c>
      <c r="K13" s="45">
        <v>46.1</v>
      </c>
      <c r="L13" s="45">
        <v>46.1</v>
      </c>
      <c r="M13" s="45">
        <v>46.1</v>
      </c>
      <c r="N13" s="45">
        <v>46.1</v>
      </c>
      <c r="O13" s="45">
        <v>28.8</v>
      </c>
      <c r="P13" s="45">
        <v>28.8</v>
      </c>
      <c r="Q13" s="45">
        <v>28.8</v>
      </c>
      <c r="R13" s="45">
        <v>28.8</v>
      </c>
      <c r="S13" s="45">
        <v>28.8</v>
      </c>
      <c r="T13" s="45">
        <v>28.8</v>
      </c>
      <c r="U13" s="45">
        <v>28.8</v>
      </c>
      <c r="V13" s="45">
        <v>28.8</v>
      </c>
      <c r="W13" s="45">
        <v>28.8</v>
      </c>
      <c r="X13" s="45">
        <v>28.8</v>
      </c>
      <c r="Y13" s="45">
        <v>28.8</v>
      </c>
      <c r="Z13" s="45">
        <v>44.1</v>
      </c>
      <c r="AA13" s="45">
        <v>44</v>
      </c>
      <c r="AB13" s="45">
        <v>44</v>
      </c>
      <c r="AC13" s="45">
        <v>44</v>
      </c>
      <c r="AD13" s="45">
        <v>44</v>
      </c>
      <c r="AE13" s="45">
        <v>44</v>
      </c>
      <c r="AF13" s="45">
        <v>44</v>
      </c>
      <c r="AG13" s="46">
        <v>52.4</v>
      </c>
      <c r="AH13" s="47">
        <f t="shared" si="2"/>
        <v>46.1</v>
      </c>
      <c r="AI13" s="48">
        <f t="shared" si="3"/>
        <v>28.8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45">
        <v>50.7</v>
      </c>
      <c r="C14" s="45">
        <v>50.7</v>
      </c>
      <c r="D14" s="45">
        <v>50.7</v>
      </c>
      <c r="E14" s="45">
        <v>50.7</v>
      </c>
      <c r="F14" s="45">
        <v>50.7</v>
      </c>
      <c r="G14" s="45">
        <v>50.7</v>
      </c>
      <c r="H14" s="45">
        <v>50.7</v>
      </c>
      <c r="I14" s="45">
        <v>50.7</v>
      </c>
      <c r="J14" s="45">
        <v>50.7</v>
      </c>
      <c r="K14" s="45">
        <v>50.7</v>
      </c>
      <c r="L14" s="45">
        <v>50.7</v>
      </c>
      <c r="M14" s="45">
        <v>50.7</v>
      </c>
      <c r="N14" s="45">
        <v>50.7</v>
      </c>
      <c r="O14" s="45">
        <v>50.6</v>
      </c>
      <c r="P14" s="45">
        <v>50.6</v>
      </c>
      <c r="Q14" s="45">
        <v>50.6</v>
      </c>
      <c r="R14" s="45">
        <v>50.6</v>
      </c>
      <c r="S14" s="45">
        <v>50.6</v>
      </c>
      <c r="T14" s="45">
        <v>50.6</v>
      </c>
      <c r="U14" s="45">
        <v>50.6</v>
      </c>
      <c r="V14" s="45">
        <v>50.6</v>
      </c>
      <c r="W14" s="45">
        <v>50.6</v>
      </c>
      <c r="X14" s="45">
        <v>50.6</v>
      </c>
      <c r="Y14" s="45">
        <v>50.6</v>
      </c>
      <c r="Z14" s="45">
        <v>50.6</v>
      </c>
      <c r="AA14" s="45">
        <v>50.7</v>
      </c>
      <c r="AB14" s="45">
        <v>50.7</v>
      </c>
      <c r="AC14" s="45">
        <v>50.7</v>
      </c>
      <c r="AD14" s="45">
        <v>50.7</v>
      </c>
      <c r="AE14" s="45">
        <v>50.7</v>
      </c>
      <c r="AF14" s="45">
        <v>50.7</v>
      </c>
      <c r="AG14" s="49">
        <v>50</v>
      </c>
      <c r="AH14" s="47">
        <f t="shared" si="2"/>
        <v>50.7</v>
      </c>
      <c r="AI14" s="48">
        <f t="shared" si="3"/>
        <v>50.6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45.9</v>
      </c>
      <c r="C15" s="45">
        <v>45.9</v>
      </c>
      <c r="D15" s="45">
        <v>45.9</v>
      </c>
      <c r="E15" s="45">
        <v>0</v>
      </c>
      <c r="F15" s="45">
        <v>46.1</v>
      </c>
      <c r="G15" s="45">
        <v>46.1</v>
      </c>
      <c r="H15" s="45">
        <v>46.1</v>
      </c>
      <c r="I15" s="45">
        <v>46.1</v>
      </c>
      <c r="J15" s="45">
        <v>46.1</v>
      </c>
      <c r="K15" s="45">
        <v>46.1</v>
      </c>
      <c r="L15" s="45">
        <v>46.1</v>
      </c>
      <c r="M15" s="45">
        <v>46.1</v>
      </c>
      <c r="N15" s="45">
        <v>46.1</v>
      </c>
      <c r="O15" s="45">
        <v>45.9</v>
      </c>
      <c r="P15" s="45">
        <v>45.9</v>
      </c>
      <c r="Q15" s="45">
        <v>45.9</v>
      </c>
      <c r="R15" s="45">
        <v>45.9</v>
      </c>
      <c r="S15" s="45">
        <v>45.9</v>
      </c>
      <c r="T15" s="45">
        <v>45.9</v>
      </c>
      <c r="U15" s="45">
        <v>45.9</v>
      </c>
      <c r="V15" s="45">
        <v>45.9</v>
      </c>
      <c r="W15" s="45">
        <v>45.9</v>
      </c>
      <c r="X15" s="45">
        <v>45.9</v>
      </c>
      <c r="Y15" s="45">
        <v>45.9</v>
      </c>
      <c r="Z15" s="45">
        <v>45.9</v>
      </c>
      <c r="AA15" s="45">
        <v>46</v>
      </c>
      <c r="AB15" s="45">
        <v>46</v>
      </c>
      <c r="AC15" s="45">
        <v>46</v>
      </c>
      <c r="AD15" s="45">
        <v>46</v>
      </c>
      <c r="AE15" s="45">
        <v>46</v>
      </c>
      <c r="AF15" s="45">
        <v>46</v>
      </c>
      <c r="AG15" s="49">
        <v>45</v>
      </c>
      <c r="AH15" s="47">
        <f t="shared" si="2"/>
        <v>46.1</v>
      </c>
      <c r="AI15" s="48">
        <f t="shared" si="3"/>
        <v>0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30</v>
      </c>
      <c r="C17" s="45">
        <v>30</v>
      </c>
      <c r="D17" s="45">
        <v>30</v>
      </c>
      <c r="E17" s="45">
        <v>30</v>
      </c>
      <c r="F17" s="45">
        <v>26</v>
      </c>
      <c r="G17" s="45">
        <v>26</v>
      </c>
      <c r="H17" s="45">
        <v>26</v>
      </c>
      <c r="I17" s="45">
        <v>26</v>
      </c>
      <c r="J17" s="45">
        <v>26</v>
      </c>
      <c r="K17" s="45">
        <v>26</v>
      </c>
      <c r="L17" s="45">
        <v>26</v>
      </c>
      <c r="M17" s="45">
        <v>32</v>
      </c>
      <c r="N17" s="45">
        <v>32</v>
      </c>
      <c r="O17" s="45">
        <v>32.5</v>
      </c>
      <c r="P17" s="45">
        <v>32.5</v>
      </c>
      <c r="Q17" s="45">
        <v>32.5</v>
      </c>
      <c r="R17" s="45">
        <v>32.5</v>
      </c>
      <c r="S17" s="45">
        <v>32.5</v>
      </c>
      <c r="T17" s="45">
        <v>32.5</v>
      </c>
      <c r="U17" s="45">
        <v>32.5</v>
      </c>
      <c r="V17" s="45">
        <v>32.5</v>
      </c>
      <c r="W17" s="45">
        <v>32.5</v>
      </c>
      <c r="X17" s="45">
        <v>32.5</v>
      </c>
      <c r="Y17" s="45">
        <v>32.5</v>
      </c>
      <c r="Z17" s="45">
        <v>32.5</v>
      </c>
      <c r="AA17" s="45">
        <v>32.5</v>
      </c>
      <c r="AB17" s="45">
        <v>32.5</v>
      </c>
      <c r="AC17" s="45">
        <v>32.5</v>
      </c>
      <c r="AD17" s="45">
        <v>32.5</v>
      </c>
      <c r="AE17" s="45">
        <v>32.5</v>
      </c>
      <c r="AF17" s="45">
        <v>32.5</v>
      </c>
      <c r="AG17" s="49">
        <v>42</v>
      </c>
      <c r="AH17" s="47">
        <f t="shared" si="2"/>
        <v>32.5</v>
      </c>
      <c r="AI17" s="48">
        <f t="shared" si="3"/>
        <v>26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36</v>
      </c>
      <c r="U18" s="45">
        <v>36</v>
      </c>
      <c r="V18" s="45">
        <v>36</v>
      </c>
      <c r="W18" s="45">
        <v>36</v>
      </c>
      <c r="X18" s="45">
        <v>36</v>
      </c>
      <c r="Y18" s="45">
        <v>36</v>
      </c>
      <c r="Z18" s="45">
        <v>36</v>
      </c>
      <c r="AA18" s="45">
        <v>36</v>
      </c>
      <c r="AB18" s="45">
        <v>36</v>
      </c>
      <c r="AC18" s="45">
        <v>36</v>
      </c>
      <c r="AD18" s="45">
        <v>36</v>
      </c>
      <c r="AE18" s="45">
        <v>36</v>
      </c>
      <c r="AF18" s="45">
        <v>36</v>
      </c>
      <c r="AG18" s="49">
        <v>38.46</v>
      </c>
      <c r="AH18" s="47">
        <f t="shared" si="2"/>
        <v>36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36</v>
      </c>
      <c r="C19" s="45">
        <v>36</v>
      </c>
      <c r="D19" s="45">
        <v>36</v>
      </c>
      <c r="E19" s="45">
        <v>0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12.5</v>
      </c>
      <c r="C20" s="45">
        <v>12.5</v>
      </c>
      <c r="D20" s="45">
        <v>12.5</v>
      </c>
      <c r="E20" s="45">
        <v>15</v>
      </c>
      <c r="F20" s="45">
        <v>15</v>
      </c>
      <c r="G20" s="45">
        <v>15</v>
      </c>
      <c r="H20" s="45">
        <v>15</v>
      </c>
      <c r="I20" s="45">
        <v>15</v>
      </c>
      <c r="J20" s="45">
        <v>15</v>
      </c>
      <c r="K20" s="45">
        <v>15</v>
      </c>
      <c r="L20" s="45">
        <v>25</v>
      </c>
      <c r="M20" s="45">
        <v>20</v>
      </c>
      <c r="N20" s="45">
        <v>20</v>
      </c>
      <c r="O20" s="45">
        <v>20</v>
      </c>
      <c r="P20" s="45">
        <v>20</v>
      </c>
      <c r="Q20" s="45">
        <v>20</v>
      </c>
      <c r="R20" s="45">
        <v>20</v>
      </c>
      <c r="S20" s="45">
        <v>20</v>
      </c>
      <c r="T20" s="45">
        <v>20</v>
      </c>
      <c r="U20" s="45">
        <v>20</v>
      </c>
      <c r="V20" s="45">
        <v>20</v>
      </c>
      <c r="W20" s="45">
        <v>20</v>
      </c>
      <c r="X20" s="45">
        <v>20</v>
      </c>
      <c r="Y20" s="45">
        <v>20</v>
      </c>
      <c r="Z20" s="45">
        <v>20</v>
      </c>
      <c r="AA20" s="45">
        <v>20</v>
      </c>
      <c r="AB20" s="45">
        <v>20</v>
      </c>
      <c r="AC20" s="45">
        <v>20</v>
      </c>
      <c r="AD20" s="45">
        <v>20</v>
      </c>
      <c r="AE20" s="45">
        <v>20</v>
      </c>
      <c r="AF20" s="45">
        <v>20</v>
      </c>
      <c r="AG20" s="51">
        <v>30</v>
      </c>
      <c r="AH20" s="47">
        <f t="shared" si="2"/>
        <v>25</v>
      </c>
      <c r="AI20" s="48">
        <f t="shared" si="3"/>
        <v>12.5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20.7</v>
      </c>
      <c r="C21" s="45">
        <v>20.7</v>
      </c>
      <c r="D21" s="45">
        <v>20.7</v>
      </c>
      <c r="E21" s="45">
        <v>20.7</v>
      </c>
      <c r="F21" s="45">
        <v>20.7</v>
      </c>
      <c r="G21" s="45">
        <v>20.7</v>
      </c>
      <c r="H21" s="45">
        <v>20.7</v>
      </c>
      <c r="I21" s="45">
        <v>20.7</v>
      </c>
      <c r="J21" s="45">
        <v>20.7</v>
      </c>
      <c r="K21" s="45">
        <v>20.7</v>
      </c>
      <c r="L21" s="45">
        <v>20.7</v>
      </c>
      <c r="M21" s="45">
        <v>20.7</v>
      </c>
      <c r="N21" s="45">
        <v>20.7</v>
      </c>
      <c r="O21" s="45">
        <v>20.7</v>
      </c>
      <c r="P21" s="45">
        <v>20.7</v>
      </c>
      <c r="Q21" s="45">
        <v>20.7</v>
      </c>
      <c r="R21" s="45">
        <v>20.7</v>
      </c>
      <c r="S21" s="45">
        <v>20.7</v>
      </c>
      <c r="T21" s="45">
        <v>20.7</v>
      </c>
      <c r="U21" s="45">
        <v>20.7</v>
      </c>
      <c r="V21" s="45">
        <v>20.7</v>
      </c>
      <c r="W21" s="45">
        <v>20.7</v>
      </c>
      <c r="X21" s="45">
        <v>20.7</v>
      </c>
      <c r="Y21" s="45">
        <v>20.7</v>
      </c>
      <c r="Z21" s="45">
        <v>20.7</v>
      </c>
      <c r="AA21" s="45">
        <v>20.7</v>
      </c>
      <c r="AB21" s="45">
        <v>20</v>
      </c>
      <c r="AC21" s="45">
        <v>20</v>
      </c>
      <c r="AD21" s="45">
        <v>20</v>
      </c>
      <c r="AE21" s="45">
        <v>20</v>
      </c>
      <c r="AF21" s="45">
        <v>20</v>
      </c>
      <c r="AG21" s="49">
        <v>24.2</v>
      </c>
      <c r="AH21" s="47">
        <f t="shared" si="2"/>
        <v>20.7</v>
      </c>
      <c r="AI21" s="48">
        <f t="shared" si="3"/>
        <v>20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14</v>
      </c>
      <c r="C22" s="45">
        <v>14</v>
      </c>
      <c r="D22" s="45">
        <v>14</v>
      </c>
      <c r="E22" s="45">
        <v>14</v>
      </c>
      <c r="F22" s="45">
        <v>14</v>
      </c>
      <c r="G22" s="45">
        <v>14</v>
      </c>
      <c r="H22" s="45">
        <v>14</v>
      </c>
      <c r="I22" s="45">
        <v>14</v>
      </c>
      <c r="J22" s="45">
        <v>14</v>
      </c>
      <c r="K22" s="45">
        <v>14</v>
      </c>
      <c r="L22" s="45">
        <v>14</v>
      </c>
      <c r="M22" s="45">
        <v>14</v>
      </c>
      <c r="N22" s="45">
        <v>14</v>
      </c>
      <c r="O22" s="45">
        <v>14</v>
      </c>
      <c r="P22" s="45">
        <v>14</v>
      </c>
      <c r="Q22" s="45">
        <v>14</v>
      </c>
      <c r="R22" s="45">
        <v>14</v>
      </c>
      <c r="S22" s="45">
        <v>14</v>
      </c>
      <c r="T22" s="45">
        <v>14</v>
      </c>
      <c r="U22" s="45">
        <v>14</v>
      </c>
      <c r="V22" s="45">
        <v>14</v>
      </c>
      <c r="W22" s="45">
        <v>14</v>
      </c>
      <c r="X22" s="45">
        <v>14</v>
      </c>
      <c r="Y22" s="45">
        <v>14</v>
      </c>
      <c r="Z22" s="45">
        <v>14</v>
      </c>
      <c r="AA22" s="45">
        <v>14</v>
      </c>
      <c r="AB22" s="45">
        <v>14</v>
      </c>
      <c r="AC22" s="45">
        <v>14</v>
      </c>
      <c r="AD22" s="45">
        <v>14</v>
      </c>
      <c r="AE22" s="45">
        <v>14</v>
      </c>
      <c r="AF22" s="45">
        <v>14</v>
      </c>
      <c r="AG22" s="49">
        <v>28</v>
      </c>
      <c r="AH22" s="47">
        <f t="shared" si="2"/>
        <v>14</v>
      </c>
      <c r="AI22" s="48">
        <f t="shared" si="3"/>
        <v>14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5.5</v>
      </c>
      <c r="C23" s="45">
        <v>5.5</v>
      </c>
      <c r="D23" s="45">
        <v>5.5</v>
      </c>
      <c r="E23" s="45">
        <v>5.5</v>
      </c>
      <c r="F23" s="45">
        <v>5.5</v>
      </c>
      <c r="G23" s="45">
        <v>5.5</v>
      </c>
      <c r="H23" s="45">
        <v>5.5</v>
      </c>
      <c r="I23" s="45">
        <v>5.5</v>
      </c>
      <c r="J23" s="45">
        <v>5.5</v>
      </c>
      <c r="K23" s="45">
        <v>5.5</v>
      </c>
      <c r="L23" s="45">
        <v>5.5</v>
      </c>
      <c r="M23" s="45">
        <v>14</v>
      </c>
      <c r="N23" s="45">
        <v>14</v>
      </c>
      <c r="O23" s="45">
        <v>14</v>
      </c>
      <c r="P23" s="45">
        <v>14</v>
      </c>
      <c r="Q23" s="45">
        <v>14</v>
      </c>
      <c r="R23" s="45">
        <v>14</v>
      </c>
      <c r="S23" s="45">
        <v>14</v>
      </c>
      <c r="T23" s="45">
        <v>14</v>
      </c>
      <c r="U23" s="45">
        <v>14</v>
      </c>
      <c r="V23" s="45">
        <v>14</v>
      </c>
      <c r="W23" s="45">
        <v>14</v>
      </c>
      <c r="X23" s="45">
        <v>14</v>
      </c>
      <c r="Y23" s="45">
        <v>14</v>
      </c>
      <c r="Z23" s="45">
        <v>14</v>
      </c>
      <c r="AA23" s="45">
        <v>14</v>
      </c>
      <c r="AB23" s="45">
        <v>14</v>
      </c>
      <c r="AC23" s="45">
        <v>14</v>
      </c>
      <c r="AD23" s="45">
        <v>14</v>
      </c>
      <c r="AE23" s="45">
        <v>14</v>
      </c>
      <c r="AF23" s="45">
        <v>14</v>
      </c>
      <c r="AG23" s="51">
        <v>30</v>
      </c>
      <c r="AH23" s="47">
        <f t="shared" si="2"/>
        <v>14</v>
      </c>
      <c r="AI23" s="48">
        <f t="shared" si="3"/>
        <v>5.5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26.2</v>
      </c>
      <c r="C24" s="45">
        <v>26.2</v>
      </c>
      <c r="D24" s="45">
        <v>26.2</v>
      </c>
      <c r="E24" s="45">
        <v>26.2</v>
      </c>
      <c r="F24" s="45">
        <v>26.2</v>
      </c>
      <c r="G24" s="45">
        <v>26</v>
      </c>
      <c r="H24" s="45">
        <v>26</v>
      </c>
      <c r="I24" s="45">
        <v>26</v>
      </c>
      <c r="J24" s="45">
        <v>26</v>
      </c>
      <c r="K24" s="45">
        <v>26</v>
      </c>
      <c r="L24" s="45">
        <v>26</v>
      </c>
      <c r="M24" s="45">
        <v>26</v>
      </c>
      <c r="N24" s="45">
        <v>26</v>
      </c>
      <c r="O24" s="45">
        <v>26</v>
      </c>
      <c r="P24" s="45">
        <v>26</v>
      </c>
      <c r="Q24" s="45">
        <v>26</v>
      </c>
      <c r="R24" s="45">
        <v>26</v>
      </c>
      <c r="S24" s="45">
        <v>26</v>
      </c>
      <c r="T24" s="45">
        <v>26</v>
      </c>
      <c r="U24" s="45">
        <v>26</v>
      </c>
      <c r="V24" s="45">
        <v>26</v>
      </c>
      <c r="W24" s="45">
        <v>26</v>
      </c>
      <c r="X24" s="45">
        <v>26</v>
      </c>
      <c r="Y24" s="45">
        <v>26</v>
      </c>
      <c r="Z24" s="45">
        <v>26</v>
      </c>
      <c r="AA24" s="45">
        <v>26</v>
      </c>
      <c r="AB24" s="45">
        <v>26</v>
      </c>
      <c r="AC24" s="45">
        <v>26</v>
      </c>
      <c r="AD24" s="45">
        <v>26</v>
      </c>
      <c r="AE24" s="45">
        <v>26</v>
      </c>
      <c r="AF24" s="45">
        <v>26</v>
      </c>
      <c r="AG24" s="49">
        <v>25</v>
      </c>
      <c r="AH24" s="47">
        <f t="shared" si="2"/>
        <v>26.2</v>
      </c>
      <c r="AI24" s="48">
        <f t="shared" si="3"/>
        <v>26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21.5</v>
      </c>
      <c r="C26" s="45">
        <v>21.5</v>
      </c>
      <c r="D26" s="45">
        <v>21.5</v>
      </c>
      <c r="E26" s="45">
        <v>21.5</v>
      </c>
      <c r="F26" s="45">
        <v>21.5</v>
      </c>
      <c r="G26" s="45">
        <v>21.5</v>
      </c>
      <c r="H26" s="45">
        <v>21.5</v>
      </c>
      <c r="I26" s="45">
        <v>21.5</v>
      </c>
      <c r="J26" s="45">
        <v>21.5</v>
      </c>
      <c r="K26" s="45">
        <v>21.5</v>
      </c>
      <c r="L26" s="45">
        <v>21.5</v>
      </c>
      <c r="M26" s="45">
        <v>21.5</v>
      </c>
      <c r="N26" s="45">
        <v>21.5</v>
      </c>
      <c r="O26" s="45">
        <v>21.5</v>
      </c>
      <c r="P26" s="45">
        <v>21.5</v>
      </c>
      <c r="Q26" s="45">
        <v>21.5</v>
      </c>
      <c r="R26" s="45">
        <v>21.5</v>
      </c>
      <c r="S26" s="45">
        <v>21.5</v>
      </c>
      <c r="T26" s="45">
        <v>21.5</v>
      </c>
      <c r="U26" s="45">
        <v>21.5</v>
      </c>
      <c r="V26" s="45">
        <v>21.5</v>
      </c>
      <c r="W26" s="45">
        <v>21.5</v>
      </c>
      <c r="X26" s="45">
        <v>21.5</v>
      </c>
      <c r="Y26" s="45">
        <v>21.5</v>
      </c>
      <c r="Z26" s="45">
        <v>21.5</v>
      </c>
      <c r="AA26" s="45">
        <v>21.5</v>
      </c>
      <c r="AB26" s="45">
        <v>21.5</v>
      </c>
      <c r="AC26" s="45">
        <v>21.5</v>
      </c>
      <c r="AD26" s="45">
        <v>21.5</v>
      </c>
      <c r="AE26" s="45">
        <v>21.5</v>
      </c>
      <c r="AF26" s="45">
        <v>21.5</v>
      </c>
      <c r="AG26" s="49">
        <v>25</v>
      </c>
      <c r="AH26" s="47">
        <f t="shared" si="2"/>
        <v>21.5</v>
      </c>
      <c r="AI26" s="48">
        <f t="shared" si="3"/>
        <v>21.5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10</v>
      </c>
      <c r="C27" s="45">
        <v>10</v>
      </c>
      <c r="D27" s="45">
        <v>10</v>
      </c>
      <c r="E27" s="45">
        <v>10</v>
      </c>
      <c r="F27" s="45">
        <v>10</v>
      </c>
      <c r="G27" s="45">
        <v>10</v>
      </c>
      <c r="H27" s="45">
        <v>10</v>
      </c>
      <c r="I27" s="45">
        <v>10</v>
      </c>
      <c r="J27" s="45">
        <v>10</v>
      </c>
      <c r="K27" s="45">
        <v>10</v>
      </c>
      <c r="L27" s="45">
        <v>10</v>
      </c>
      <c r="M27" s="45">
        <v>24</v>
      </c>
      <c r="N27" s="45">
        <v>24</v>
      </c>
      <c r="O27" s="45">
        <v>0</v>
      </c>
      <c r="P27" s="45">
        <v>18</v>
      </c>
      <c r="Q27" s="45">
        <v>18</v>
      </c>
      <c r="R27" s="45">
        <v>18</v>
      </c>
      <c r="S27" s="45">
        <v>18</v>
      </c>
      <c r="T27" s="45">
        <v>18</v>
      </c>
      <c r="U27" s="45">
        <v>18</v>
      </c>
      <c r="V27" s="45">
        <v>18</v>
      </c>
      <c r="W27" s="45">
        <v>18</v>
      </c>
      <c r="X27" s="45">
        <v>18</v>
      </c>
      <c r="Y27" s="45">
        <v>18</v>
      </c>
      <c r="Z27" s="45">
        <v>18</v>
      </c>
      <c r="AA27" s="45">
        <v>18</v>
      </c>
      <c r="AB27" s="45">
        <v>18</v>
      </c>
      <c r="AC27" s="45">
        <v>18</v>
      </c>
      <c r="AD27" s="45">
        <v>18</v>
      </c>
      <c r="AE27" s="45">
        <v>18</v>
      </c>
      <c r="AF27" s="45">
        <v>18</v>
      </c>
      <c r="AG27" s="49">
        <v>25</v>
      </c>
      <c r="AH27" s="47">
        <f t="shared" si="2"/>
        <v>24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23.7</v>
      </c>
      <c r="C28" s="45">
        <v>23.7</v>
      </c>
      <c r="D28" s="45">
        <v>23.7</v>
      </c>
      <c r="E28" s="45">
        <v>23.7</v>
      </c>
      <c r="F28" s="45">
        <v>23.7</v>
      </c>
      <c r="G28" s="45">
        <v>23.7</v>
      </c>
      <c r="H28" s="45">
        <v>23.7</v>
      </c>
      <c r="I28" s="45">
        <v>23.7</v>
      </c>
      <c r="J28" s="45">
        <v>23.7</v>
      </c>
      <c r="K28" s="45">
        <v>23.7</v>
      </c>
      <c r="L28" s="45">
        <v>23.7</v>
      </c>
      <c r="M28" s="45">
        <v>15</v>
      </c>
      <c r="N28" s="45">
        <v>15</v>
      </c>
      <c r="O28" s="45">
        <v>14.9</v>
      </c>
      <c r="P28" s="45">
        <v>14.4</v>
      </c>
      <c r="Q28" s="45">
        <v>14.4</v>
      </c>
      <c r="R28" s="45">
        <v>14.4</v>
      </c>
      <c r="S28" s="45">
        <v>14.4</v>
      </c>
      <c r="T28" s="45">
        <v>14.4</v>
      </c>
      <c r="U28" s="45">
        <v>14.4</v>
      </c>
      <c r="V28" s="45">
        <v>14.4</v>
      </c>
      <c r="W28" s="45">
        <v>14.4</v>
      </c>
      <c r="X28" s="45">
        <v>14.4</v>
      </c>
      <c r="Y28" s="45">
        <v>14.4</v>
      </c>
      <c r="Z28" s="45">
        <v>14.4</v>
      </c>
      <c r="AA28" s="45">
        <v>14.4</v>
      </c>
      <c r="AB28" s="45">
        <v>14.4</v>
      </c>
      <c r="AC28" s="45">
        <v>14.4</v>
      </c>
      <c r="AD28" s="45">
        <v>14.4</v>
      </c>
      <c r="AE28" s="45">
        <v>14.4</v>
      </c>
      <c r="AF28" s="45">
        <v>14.4</v>
      </c>
      <c r="AG28" s="49">
        <v>23.5</v>
      </c>
      <c r="AH28" s="47">
        <f t="shared" si="2"/>
        <v>23.7</v>
      </c>
      <c r="AI28" s="48">
        <f t="shared" si="3"/>
        <v>14.4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20.5</v>
      </c>
      <c r="C29" s="45">
        <v>20.5</v>
      </c>
      <c r="D29" s="45">
        <v>20.5</v>
      </c>
      <c r="E29" s="45">
        <v>20.5</v>
      </c>
      <c r="F29" s="45">
        <v>20.5</v>
      </c>
      <c r="G29" s="45">
        <v>20.5</v>
      </c>
      <c r="H29" s="45">
        <v>20.5</v>
      </c>
      <c r="I29" s="45">
        <v>20.5</v>
      </c>
      <c r="J29" s="45">
        <v>20.5</v>
      </c>
      <c r="K29" s="45">
        <v>20.5</v>
      </c>
      <c r="L29" s="45">
        <v>20.5</v>
      </c>
      <c r="M29" s="45">
        <v>20.5</v>
      </c>
      <c r="N29" s="45">
        <v>20.5</v>
      </c>
      <c r="O29" s="45">
        <v>20.5</v>
      </c>
      <c r="P29" s="45">
        <v>20.5</v>
      </c>
      <c r="Q29" s="45">
        <v>20.5</v>
      </c>
      <c r="R29" s="45">
        <v>20.5</v>
      </c>
      <c r="S29" s="45">
        <v>20.5</v>
      </c>
      <c r="T29" s="45">
        <v>20.5</v>
      </c>
      <c r="U29" s="45">
        <v>20.5</v>
      </c>
      <c r="V29" s="45">
        <v>20.5</v>
      </c>
      <c r="W29" s="45">
        <v>20.5</v>
      </c>
      <c r="X29" s="45">
        <v>20.5</v>
      </c>
      <c r="Y29" s="45">
        <v>20.5</v>
      </c>
      <c r="Z29" s="45">
        <v>20.5</v>
      </c>
      <c r="AA29" s="45">
        <v>20.5</v>
      </c>
      <c r="AB29" s="45">
        <v>20.5</v>
      </c>
      <c r="AC29" s="45">
        <v>20.5</v>
      </c>
      <c r="AD29" s="45">
        <v>20.5</v>
      </c>
      <c r="AE29" s="45">
        <v>20.5</v>
      </c>
      <c r="AF29" s="45">
        <v>20.5</v>
      </c>
      <c r="AG29" s="49">
        <v>22.2</v>
      </c>
      <c r="AH29" s="47">
        <f t="shared" si="2"/>
        <v>20.5</v>
      </c>
      <c r="AI29" s="48">
        <f t="shared" si="3"/>
        <v>20.5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19.2</v>
      </c>
      <c r="C30" s="45">
        <v>19.2</v>
      </c>
      <c r="D30" s="45">
        <v>19.2</v>
      </c>
      <c r="E30" s="45">
        <v>19.2</v>
      </c>
      <c r="F30" s="45">
        <v>19.2</v>
      </c>
      <c r="G30" s="45">
        <v>19.2</v>
      </c>
      <c r="H30" s="45">
        <v>19.2</v>
      </c>
      <c r="I30" s="45">
        <v>19.2</v>
      </c>
      <c r="J30" s="45">
        <v>19.2</v>
      </c>
      <c r="K30" s="45">
        <v>19.2</v>
      </c>
      <c r="L30" s="45">
        <v>19.2</v>
      </c>
      <c r="M30" s="45">
        <v>19.2</v>
      </c>
      <c r="N30" s="45">
        <v>19.2</v>
      </c>
      <c r="O30" s="45">
        <v>19.2</v>
      </c>
      <c r="P30" s="45">
        <v>19.2</v>
      </c>
      <c r="Q30" s="45">
        <v>19.2</v>
      </c>
      <c r="R30" s="45">
        <v>19.2</v>
      </c>
      <c r="S30" s="45">
        <v>19.2</v>
      </c>
      <c r="T30" s="45">
        <v>19.2</v>
      </c>
      <c r="U30" s="45">
        <v>19.2</v>
      </c>
      <c r="V30" s="45">
        <v>19.2</v>
      </c>
      <c r="W30" s="45">
        <v>19.2</v>
      </c>
      <c r="X30" s="45">
        <v>19.2</v>
      </c>
      <c r="Y30" s="45">
        <v>19.2</v>
      </c>
      <c r="Z30" s="45">
        <v>19.2</v>
      </c>
      <c r="AA30" s="45">
        <v>19.2</v>
      </c>
      <c r="AB30" s="45">
        <v>19.2</v>
      </c>
      <c r="AC30" s="45">
        <v>19.2</v>
      </c>
      <c r="AD30" s="45">
        <v>19.2</v>
      </c>
      <c r="AE30" s="45">
        <v>19.2</v>
      </c>
      <c r="AF30" s="45">
        <v>19.2</v>
      </c>
      <c r="AG30" s="49">
        <v>22.1</v>
      </c>
      <c r="AH30" s="47">
        <f t="shared" si="2"/>
        <v>19.2</v>
      </c>
      <c r="AI30" s="48">
        <f t="shared" si="3"/>
        <v>19.2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15.5</v>
      </c>
      <c r="C31" s="45">
        <v>15.5</v>
      </c>
      <c r="D31" s="45">
        <v>15.5</v>
      </c>
      <c r="E31" s="45">
        <v>15.5</v>
      </c>
      <c r="F31" s="45">
        <v>15.5</v>
      </c>
      <c r="G31" s="45">
        <v>15.5</v>
      </c>
      <c r="H31" s="45">
        <v>15.5</v>
      </c>
      <c r="I31" s="45">
        <v>15.5</v>
      </c>
      <c r="J31" s="45">
        <v>15.5</v>
      </c>
      <c r="K31" s="45">
        <v>15.5</v>
      </c>
      <c r="L31" s="45">
        <v>15.5</v>
      </c>
      <c r="M31" s="45">
        <v>15.5</v>
      </c>
      <c r="N31" s="45">
        <v>15.5</v>
      </c>
      <c r="O31" s="45">
        <v>15.5</v>
      </c>
      <c r="P31" s="45">
        <v>15.5</v>
      </c>
      <c r="Q31" s="45">
        <v>15.5</v>
      </c>
      <c r="R31" s="45">
        <v>15.5</v>
      </c>
      <c r="S31" s="45">
        <v>15.5</v>
      </c>
      <c r="T31" s="45">
        <v>15.5</v>
      </c>
      <c r="U31" s="45">
        <v>15.5</v>
      </c>
      <c r="V31" s="45">
        <v>15.5</v>
      </c>
      <c r="W31" s="45">
        <v>15.5</v>
      </c>
      <c r="X31" s="45">
        <v>15.5</v>
      </c>
      <c r="Y31" s="45">
        <v>15.5</v>
      </c>
      <c r="Z31" s="45">
        <v>15.5</v>
      </c>
      <c r="AA31" s="45">
        <v>15.5</v>
      </c>
      <c r="AB31" s="45">
        <v>15.5</v>
      </c>
      <c r="AC31" s="45">
        <v>15.5</v>
      </c>
      <c r="AD31" s="45">
        <v>15.5</v>
      </c>
      <c r="AE31" s="45">
        <v>15.5</v>
      </c>
      <c r="AF31" s="45">
        <v>15.5</v>
      </c>
      <c r="AG31" s="49">
        <v>22</v>
      </c>
      <c r="AH31" s="47">
        <f t="shared" si="2"/>
        <v>15.5</v>
      </c>
      <c r="AI31" s="48">
        <f t="shared" si="3"/>
        <v>15.5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17.399999999999999</v>
      </c>
      <c r="C32" s="45">
        <v>17.399999999999999</v>
      </c>
      <c r="D32" s="45">
        <v>17.399999999999999</v>
      </c>
      <c r="E32" s="45">
        <v>17.399999999999999</v>
      </c>
      <c r="F32" s="45">
        <v>17.399999999999999</v>
      </c>
      <c r="G32" s="45">
        <v>17.399999999999999</v>
      </c>
      <c r="H32" s="45">
        <v>17.399999999999999</v>
      </c>
      <c r="I32" s="45">
        <v>17.399999999999999</v>
      </c>
      <c r="J32" s="45">
        <v>17.399999999999999</v>
      </c>
      <c r="K32" s="45">
        <v>17.399999999999999</v>
      </c>
      <c r="L32" s="45">
        <v>17.399999999999999</v>
      </c>
      <c r="M32" s="45">
        <v>14</v>
      </c>
      <c r="N32" s="45">
        <v>14</v>
      </c>
      <c r="O32" s="45">
        <v>13.8</v>
      </c>
      <c r="P32" s="45">
        <v>13.8</v>
      </c>
      <c r="Q32" s="45">
        <v>13.8</v>
      </c>
      <c r="R32" s="45">
        <v>13.8</v>
      </c>
      <c r="S32" s="45">
        <v>13.8</v>
      </c>
      <c r="T32" s="45">
        <v>13.8</v>
      </c>
      <c r="U32" s="45">
        <v>13.8</v>
      </c>
      <c r="V32" s="45">
        <v>13.8</v>
      </c>
      <c r="W32" s="45">
        <v>13.8</v>
      </c>
      <c r="X32" s="45">
        <v>13.8</v>
      </c>
      <c r="Y32" s="45">
        <v>13.8</v>
      </c>
      <c r="Z32" s="45">
        <v>13.8</v>
      </c>
      <c r="AA32" s="45">
        <v>13.8</v>
      </c>
      <c r="AB32" s="45">
        <v>13.8</v>
      </c>
      <c r="AC32" s="45">
        <v>13.8</v>
      </c>
      <c r="AD32" s="45">
        <v>13.8</v>
      </c>
      <c r="AE32" s="45">
        <v>13.8</v>
      </c>
      <c r="AF32" s="45">
        <v>13.8</v>
      </c>
      <c r="AG32" s="49">
        <v>22</v>
      </c>
      <c r="AH32" s="47">
        <f t="shared" si="2"/>
        <v>17.399999999999999</v>
      </c>
      <c r="AI32" s="48">
        <f t="shared" si="3"/>
        <v>13.8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10</v>
      </c>
      <c r="N33" s="45">
        <v>10</v>
      </c>
      <c r="O33" s="45">
        <v>10</v>
      </c>
      <c r="P33" s="45">
        <v>10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49">
        <v>20</v>
      </c>
      <c r="AH33" s="47">
        <f t="shared" si="2"/>
        <v>10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10</v>
      </c>
      <c r="C34" s="45">
        <v>10</v>
      </c>
      <c r="D34" s="45">
        <v>10</v>
      </c>
      <c r="E34" s="45">
        <v>10</v>
      </c>
      <c r="F34" s="45">
        <v>10</v>
      </c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10</v>
      </c>
      <c r="R34" s="45">
        <v>10</v>
      </c>
      <c r="S34" s="45">
        <v>10</v>
      </c>
      <c r="T34" s="45">
        <v>10</v>
      </c>
      <c r="U34" s="45">
        <v>10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49">
        <v>18</v>
      </c>
      <c r="AH34" s="47">
        <f t="shared" si="2"/>
        <v>10</v>
      </c>
      <c r="AI34" s="48">
        <f t="shared" si="3"/>
        <v>10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9">
        <v>14.9</v>
      </c>
      <c r="AH35" s="47">
        <f t="shared" si="2"/>
        <v>0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3.8</v>
      </c>
      <c r="C36" s="45">
        <v>3.8</v>
      </c>
      <c r="D36" s="45">
        <v>3.8</v>
      </c>
      <c r="E36" s="45">
        <v>3.8</v>
      </c>
      <c r="F36" s="45">
        <v>3.8</v>
      </c>
      <c r="G36" s="45">
        <v>3.8</v>
      </c>
      <c r="H36" s="45">
        <v>3.8</v>
      </c>
      <c r="I36" s="45">
        <v>3.8</v>
      </c>
      <c r="J36" s="45">
        <v>3.8</v>
      </c>
      <c r="K36" s="45">
        <v>3.8</v>
      </c>
      <c r="L36" s="45">
        <v>3.8</v>
      </c>
      <c r="M36" s="45">
        <v>3.8</v>
      </c>
      <c r="N36" s="45">
        <v>3.8</v>
      </c>
      <c r="O36" s="45">
        <v>3.8</v>
      </c>
      <c r="P36" s="45">
        <v>3.8</v>
      </c>
      <c r="Q36" s="45">
        <v>3.8</v>
      </c>
      <c r="R36" s="45">
        <v>3.8</v>
      </c>
      <c r="S36" s="45">
        <v>3.8</v>
      </c>
      <c r="T36" s="45">
        <v>3.8</v>
      </c>
      <c r="U36" s="45">
        <v>3.8</v>
      </c>
      <c r="V36" s="45">
        <v>3.8</v>
      </c>
      <c r="W36" s="45">
        <v>3.8</v>
      </c>
      <c r="X36" s="45">
        <v>3.8</v>
      </c>
      <c r="Y36" s="45">
        <v>3.8</v>
      </c>
      <c r="Z36" s="45">
        <v>3.8</v>
      </c>
      <c r="AA36" s="45">
        <v>3.8</v>
      </c>
      <c r="AB36" s="45">
        <v>3.8</v>
      </c>
      <c r="AC36" s="45">
        <v>3.8</v>
      </c>
      <c r="AD36" s="45">
        <v>3.8</v>
      </c>
      <c r="AE36" s="45">
        <v>3.8</v>
      </c>
      <c r="AF36" s="45">
        <v>3.8</v>
      </c>
      <c r="AG36" s="49">
        <v>14.9</v>
      </c>
      <c r="AH36" s="47">
        <f t="shared" si="2"/>
        <v>3.8</v>
      </c>
      <c r="AI36" s="48">
        <f t="shared" si="3"/>
        <v>3.8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49">
        <v>13.6</v>
      </c>
      <c r="AH37" s="47">
        <f t="shared" si="2"/>
        <v>4</v>
      </c>
      <c r="AI37" s="48">
        <f t="shared" si="3"/>
        <v>4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9</v>
      </c>
      <c r="C39" s="45">
        <v>9</v>
      </c>
      <c r="D39" s="45">
        <v>9</v>
      </c>
      <c r="E39" s="45">
        <v>9</v>
      </c>
      <c r="F39" s="45">
        <v>9</v>
      </c>
      <c r="G39" s="45">
        <v>9</v>
      </c>
      <c r="H39" s="45">
        <v>9</v>
      </c>
      <c r="I39" s="45">
        <v>9</v>
      </c>
      <c r="J39" s="45">
        <v>9</v>
      </c>
      <c r="K39" s="45">
        <v>9</v>
      </c>
      <c r="L39" s="45">
        <v>9</v>
      </c>
      <c r="M39" s="45">
        <v>9</v>
      </c>
      <c r="N39" s="45">
        <v>9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49">
        <v>12</v>
      </c>
      <c r="AH39" s="47">
        <f t="shared" si="2"/>
        <v>9</v>
      </c>
      <c r="AI39" s="48">
        <f t="shared" si="3"/>
        <v>7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2.5</v>
      </c>
      <c r="C40" s="45">
        <v>2.5</v>
      </c>
      <c r="D40" s="45">
        <v>2.5</v>
      </c>
      <c r="E40" s="45">
        <v>2.5</v>
      </c>
      <c r="F40" s="45">
        <v>2.5</v>
      </c>
      <c r="G40" s="45">
        <v>2.5</v>
      </c>
      <c r="H40" s="45">
        <v>2.5</v>
      </c>
      <c r="I40" s="45">
        <v>2.5</v>
      </c>
      <c r="J40" s="45">
        <v>2.5</v>
      </c>
      <c r="K40" s="45">
        <v>2.5</v>
      </c>
      <c r="L40" s="45">
        <v>2.5</v>
      </c>
      <c r="M40" s="45">
        <v>2.5</v>
      </c>
      <c r="N40" s="45">
        <v>2.5</v>
      </c>
      <c r="O40" s="45">
        <v>2.5</v>
      </c>
      <c r="P40" s="45">
        <v>2.5</v>
      </c>
      <c r="Q40" s="45">
        <v>2.5</v>
      </c>
      <c r="R40" s="45">
        <v>2.5</v>
      </c>
      <c r="S40" s="45">
        <v>2.5</v>
      </c>
      <c r="T40" s="45">
        <v>2.5</v>
      </c>
      <c r="U40" s="45">
        <v>2.5</v>
      </c>
      <c r="V40" s="45">
        <v>2.5</v>
      </c>
      <c r="W40" s="45">
        <v>2.5</v>
      </c>
      <c r="X40" s="45">
        <v>2.5</v>
      </c>
      <c r="Y40" s="45">
        <v>2.5</v>
      </c>
      <c r="Z40" s="45">
        <v>2.5</v>
      </c>
      <c r="AA40" s="45">
        <v>2.5</v>
      </c>
      <c r="AB40" s="45">
        <v>2.5</v>
      </c>
      <c r="AC40" s="45">
        <v>2.5</v>
      </c>
      <c r="AD40" s="45">
        <v>2.5</v>
      </c>
      <c r="AE40" s="45">
        <v>2.5</v>
      </c>
      <c r="AF40" s="45">
        <v>2.5</v>
      </c>
      <c r="AG40" s="49">
        <v>12</v>
      </c>
      <c r="AH40" s="47">
        <f t="shared" si="2"/>
        <v>2.5</v>
      </c>
      <c r="AI40" s="48">
        <f t="shared" si="3"/>
        <v>2.5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49">
        <v>12</v>
      </c>
      <c r="AH41" s="47">
        <f t="shared" si="2"/>
        <v>8</v>
      </c>
      <c r="AI41" s="48">
        <f t="shared" si="3"/>
        <v>8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9.6</v>
      </c>
      <c r="C45" s="45">
        <v>9.6</v>
      </c>
      <c r="D45" s="45">
        <v>9.6</v>
      </c>
      <c r="E45" s="45">
        <v>9.6</v>
      </c>
      <c r="F45" s="45">
        <v>9.6</v>
      </c>
      <c r="G45" s="45">
        <v>9.6</v>
      </c>
      <c r="H45" s="45">
        <v>9.6</v>
      </c>
      <c r="I45" s="45">
        <v>9.6</v>
      </c>
      <c r="J45" s="45">
        <v>9.6</v>
      </c>
      <c r="K45" s="45">
        <v>9.6</v>
      </c>
      <c r="L45" s="45">
        <v>9.6</v>
      </c>
      <c r="M45" s="45">
        <v>9.6</v>
      </c>
      <c r="N45" s="45">
        <v>9.6</v>
      </c>
      <c r="O45" s="45">
        <v>9.6</v>
      </c>
      <c r="P45" s="45">
        <v>9.6</v>
      </c>
      <c r="Q45" s="45">
        <v>9.6</v>
      </c>
      <c r="R45" s="45">
        <v>9.6</v>
      </c>
      <c r="S45" s="45">
        <v>9.6</v>
      </c>
      <c r="T45" s="45">
        <v>9.6</v>
      </c>
      <c r="U45" s="45">
        <v>9.6</v>
      </c>
      <c r="V45" s="45">
        <v>9.6</v>
      </c>
      <c r="W45" s="45">
        <v>9.6</v>
      </c>
      <c r="X45" s="45">
        <v>9.6</v>
      </c>
      <c r="Y45" s="45">
        <v>9.6</v>
      </c>
      <c r="Z45" s="45">
        <v>9.6</v>
      </c>
      <c r="AA45" s="45">
        <v>9.6</v>
      </c>
      <c r="AB45" s="45">
        <v>9.6</v>
      </c>
      <c r="AC45" s="45">
        <v>9.6</v>
      </c>
      <c r="AD45" s="45">
        <v>9.6</v>
      </c>
      <c r="AE45" s="45">
        <v>9.6</v>
      </c>
      <c r="AF45" s="45">
        <v>9.6</v>
      </c>
      <c r="AG45" s="54">
        <v>10</v>
      </c>
      <c r="AH45" s="47">
        <f t="shared" si="2"/>
        <v>9.6</v>
      </c>
      <c r="AI45" s="48">
        <f t="shared" si="3"/>
        <v>9.6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2</v>
      </c>
      <c r="M47" s="45">
        <v>6.8</v>
      </c>
      <c r="N47" s="45">
        <v>6.8</v>
      </c>
      <c r="O47" s="45">
        <v>6.8</v>
      </c>
      <c r="P47" s="45">
        <v>6.8</v>
      </c>
      <c r="Q47" s="45">
        <v>6.8</v>
      </c>
      <c r="R47" s="45">
        <v>6.8</v>
      </c>
      <c r="S47" s="45">
        <v>6.8</v>
      </c>
      <c r="T47" s="45">
        <v>6.8</v>
      </c>
      <c r="U47" s="45">
        <v>6.8</v>
      </c>
      <c r="V47" s="45">
        <v>6.8</v>
      </c>
      <c r="W47" s="45">
        <v>2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6.8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45">
        <v>250</v>
      </c>
      <c r="C48" s="45">
        <v>250</v>
      </c>
      <c r="D48" s="45">
        <v>250</v>
      </c>
      <c r="E48" s="45">
        <v>250</v>
      </c>
      <c r="F48" s="45">
        <v>250</v>
      </c>
      <c r="G48" s="45">
        <v>250</v>
      </c>
      <c r="H48" s="45">
        <v>250</v>
      </c>
      <c r="I48" s="45">
        <v>250</v>
      </c>
      <c r="J48" s="45">
        <v>250</v>
      </c>
      <c r="K48" s="45">
        <v>250</v>
      </c>
      <c r="L48" s="45">
        <v>250</v>
      </c>
      <c r="M48" s="45">
        <v>250</v>
      </c>
      <c r="N48" s="45">
        <v>250</v>
      </c>
      <c r="O48" s="45">
        <v>250</v>
      </c>
      <c r="P48" s="45">
        <v>250</v>
      </c>
      <c r="Q48" s="45">
        <v>250</v>
      </c>
      <c r="R48" s="45">
        <v>250</v>
      </c>
      <c r="S48" s="45">
        <v>250</v>
      </c>
      <c r="T48" s="45">
        <v>250</v>
      </c>
      <c r="U48" s="45">
        <v>250</v>
      </c>
      <c r="V48" s="45">
        <v>250</v>
      </c>
      <c r="W48" s="45">
        <v>250</v>
      </c>
      <c r="X48" s="45">
        <v>250</v>
      </c>
      <c r="Y48" s="45">
        <v>250</v>
      </c>
      <c r="Z48" s="45">
        <v>250</v>
      </c>
      <c r="AA48" s="45">
        <v>250</v>
      </c>
      <c r="AB48" s="45">
        <v>250</v>
      </c>
      <c r="AC48" s="45">
        <v>250</v>
      </c>
      <c r="AD48" s="45">
        <v>250</v>
      </c>
      <c r="AE48" s="45">
        <v>250</v>
      </c>
      <c r="AF48" s="45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45">
        <v>85</v>
      </c>
      <c r="C49" s="45">
        <v>85</v>
      </c>
      <c r="D49" s="45">
        <v>85</v>
      </c>
      <c r="E49" s="45">
        <v>85</v>
      </c>
      <c r="F49" s="45">
        <v>85</v>
      </c>
      <c r="G49" s="45">
        <v>75</v>
      </c>
      <c r="H49" s="50">
        <v>75</v>
      </c>
      <c r="I49" s="50">
        <v>75</v>
      </c>
      <c r="J49" s="50">
        <v>75</v>
      </c>
      <c r="K49" s="50">
        <v>75</v>
      </c>
      <c r="L49" s="50">
        <v>75</v>
      </c>
      <c r="M49" s="50">
        <v>70</v>
      </c>
      <c r="N49" s="50">
        <v>70</v>
      </c>
      <c r="O49" s="50">
        <v>70</v>
      </c>
      <c r="P49" s="50">
        <v>70</v>
      </c>
      <c r="Q49" s="50">
        <v>70</v>
      </c>
      <c r="R49" s="50">
        <v>70</v>
      </c>
      <c r="S49" s="50">
        <v>70</v>
      </c>
      <c r="T49" s="50">
        <v>70</v>
      </c>
      <c r="U49" s="50">
        <v>70</v>
      </c>
      <c r="V49" s="50">
        <v>70</v>
      </c>
      <c r="W49" s="50">
        <v>70</v>
      </c>
      <c r="X49" s="50">
        <v>70</v>
      </c>
      <c r="Y49" s="50">
        <v>70</v>
      </c>
      <c r="Z49" s="50">
        <v>70</v>
      </c>
      <c r="AA49" s="45">
        <v>70</v>
      </c>
      <c r="AB49" s="45">
        <v>70</v>
      </c>
      <c r="AC49" s="45">
        <v>70</v>
      </c>
      <c r="AD49" s="45">
        <v>70</v>
      </c>
      <c r="AE49" s="45">
        <v>70</v>
      </c>
      <c r="AF49" s="45">
        <v>70</v>
      </c>
      <c r="AG49" s="54">
        <v>240</v>
      </c>
      <c r="AH49" s="47">
        <f t="shared" si="2"/>
        <v>85</v>
      </c>
      <c r="AI49" s="48">
        <f t="shared" si="3"/>
        <v>70</v>
      </c>
      <c r="AK49" s="74"/>
    </row>
    <row r="50" spans="1:41" ht="15.75" thickBot="1" x14ac:dyDescent="0.3">
      <c r="A50" s="58" t="s">
        <v>66</v>
      </c>
      <c r="B50" s="59">
        <f t="shared" ref="B50" si="4">SUM(B11:B48)</f>
        <v>841.19999999999993</v>
      </c>
      <c r="C50" s="59">
        <f t="shared" ref="C50:AF50" si="5">SUM(C11:C48)</f>
        <v>841.19999999999993</v>
      </c>
      <c r="D50" s="59">
        <f t="shared" si="5"/>
        <v>841.19999999999993</v>
      </c>
      <c r="E50" s="59">
        <f t="shared" si="5"/>
        <v>761.8</v>
      </c>
      <c r="F50" s="59">
        <f t="shared" si="5"/>
        <v>839.89999999999986</v>
      </c>
      <c r="G50" s="59">
        <f t="shared" si="5"/>
        <v>839.69999999999993</v>
      </c>
      <c r="H50" s="59">
        <f t="shared" si="5"/>
        <v>839.69999999999993</v>
      </c>
      <c r="I50" s="59">
        <f t="shared" si="5"/>
        <v>839.69999999999993</v>
      </c>
      <c r="J50" s="59">
        <f t="shared" si="5"/>
        <v>839.69999999999993</v>
      </c>
      <c r="K50" s="59">
        <f t="shared" si="5"/>
        <v>839.69999999999993</v>
      </c>
      <c r="L50" s="59">
        <f t="shared" si="5"/>
        <v>851.69999999999993</v>
      </c>
      <c r="M50" s="59">
        <f t="shared" si="5"/>
        <v>877.89999999999986</v>
      </c>
      <c r="N50" s="59">
        <f t="shared" si="5"/>
        <v>869.59999999999991</v>
      </c>
      <c r="O50" s="59">
        <f t="shared" si="5"/>
        <v>824.69999999999993</v>
      </c>
      <c r="P50" s="59">
        <f t="shared" si="5"/>
        <v>841.49999999999989</v>
      </c>
      <c r="Q50" s="59">
        <f t="shared" si="5"/>
        <v>836.49999999999989</v>
      </c>
      <c r="R50" s="59">
        <f t="shared" si="5"/>
        <v>836.49999999999989</v>
      </c>
      <c r="S50" s="59">
        <f t="shared" si="5"/>
        <v>836.49999999999989</v>
      </c>
      <c r="T50" s="59">
        <f t="shared" si="5"/>
        <v>872.49999999999989</v>
      </c>
      <c r="U50" s="59">
        <f t="shared" si="5"/>
        <v>872.49999999999989</v>
      </c>
      <c r="V50" s="59">
        <f t="shared" si="5"/>
        <v>872.49999999999989</v>
      </c>
      <c r="W50" s="59">
        <f t="shared" si="5"/>
        <v>867.69999999999993</v>
      </c>
      <c r="X50" s="59">
        <f t="shared" si="5"/>
        <v>865.69999999999993</v>
      </c>
      <c r="Y50" s="59">
        <f t="shared" si="5"/>
        <v>865.69999999999993</v>
      </c>
      <c r="Z50" s="59">
        <f t="shared" si="5"/>
        <v>880.99999999999989</v>
      </c>
      <c r="AA50" s="59">
        <f t="shared" ref="AA50" si="6">SUM(AA11:AA48)</f>
        <v>876.8</v>
      </c>
      <c r="AB50" s="59">
        <f t="shared" si="5"/>
        <v>885.1</v>
      </c>
      <c r="AC50" s="59">
        <f t="shared" si="5"/>
        <v>885.1</v>
      </c>
      <c r="AD50" s="59">
        <f t="shared" si="5"/>
        <v>885.1</v>
      </c>
      <c r="AE50" s="59">
        <f t="shared" si="5"/>
        <v>885.1</v>
      </c>
      <c r="AF50" s="59">
        <f t="shared" si="5"/>
        <v>885.1</v>
      </c>
      <c r="AG50" s="60">
        <f>SUM(AG13:AG48)</f>
        <v>922.14</v>
      </c>
      <c r="AH50" s="47">
        <f t="shared" si="2"/>
        <v>885.1</v>
      </c>
      <c r="AI50" s="48">
        <f t="shared" si="3"/>
        <v>761.8</v>
      </c>
      <c r="AK50" s="74"/>
    </row>
    <row r="51" spans="1:41" x14ac:dyDescent="0.25">
      <c r="A51" s="61" t="s">
        <v>67</v>
      </c>
      <c r="B51" s="45">
        <v>456</v>
      </c>
      <c r="C51" s="45">
        <v>415</v>
      </c>
      <c r="D51" s="45">
        <v>425</v>
      </c>
      <c r="E51" s="45">
        <v>456</v>
      </c>
      <c r="F51" s="45">
        <v>435</v>
      </c>
      <c r="G51" s="45">
        <v>350</v>
      </c>
      <c r="H51" s="45">
        <v>320</v>
      </c>
      <c r="I51" s="45">
        <v>340</v>
      </c>
      <c r="J51" s="45">
        <v>360</v>
      </c>
      <c r="K51" s="45">
        <v>360</v>
      </c>
      <c r="L51" s="45">
        <v>380</v>
      </c>
      <c r="M51" s="45">
        <v>380</v>
      </c>
      <c r="N51" s="62">
        <v>340</v>
      </c>
      <c r="O51" s="62">
        <v>340</v>
      </c>
      <c r="P51" s="62">
        <v>450</v>
      </c>
      <c r="Q51" s="62">
        <v>450</v>
      </c>
      <c r="R51" s="62">
        <v>350</v>
      </c>
      <c r="S51" s="62">
        <v>305</v>
      </c>
      <c r="T51" s="62">
        <v>330</v>
      </c>
      <c r="U51" s="45">
        <v>340</v>
      </c>
      <c r="V51" s="45">
        <v>360</v>
      </c>
      <c r="W51" s="45">
        <v>320</v>
      </c>
      <c r="X51" s="45">
        <v>326</v>
      </c>
      <c r="Y51" s="45">
        <v>320</v>
      </c>
      <c r="Z51" s="45">
        <v>320</v>
      </c>
      <c r="AA51" s="45">
        <v>330</v>
      </c>
      <c r="AB51" s="45">
        <v>380</v>
      </c>
      <c r="AC51" s="45">
        <v>380</v>
      </c>
      <c r="AD51" s="45">
        <v>380</v>
      </c>
      <c r="AE51" s="45">
        <v>395</v>
      </c>
      <c r="AF51" s="45">
        <v>395</v>
      </c>
      <c r="AG51" s="51">
        <v>456</v>
      </c>
      <c r="AH51" s="47">
        <f t="shared" si="2"/>
        <v>456</v>
      </c>
      <c r="AI51" s="48">
        <f t="shared" si="3"/>
        <v>305</v>
      </c>
      <c r="AK51" s="74"/>
    </row>
    <row r="52" spans="1:41" x14ac:dyDescent="0.25">
      <c r="A52" s="63" t="s">
        <v>68</v>
      </c>
      <c r="B52" s="64">
        <v>52</v>
      </c>
      <c r="C52" s="64">
        <v>52</v>
      </c>
      <c r="D52" s="64">
        <v>52</v>
      </c>
      <c r="E52" s="64">
        <v>52</v>
      </c>
      <c r="F52" s="64">
        <v>52</v>
      </c>
      <c r="G52" s="64">
        <v>52</v>
      </c>
      <c r="H52" s="64">
        <v>52</v>
      </c>
      <c r="I52" s="64">
        <v>52</v>
      </c>
      <c r="J52" s="64">
        <v>52</v>
      </c>
      <c r="K52" s="64">
        <v>52</v>
      </c>
      <c r="L52" s="64">
        <v>52</v>
      </c>
      <c r="M52" s="64">
        <v>52</v>
      </c>
      <c r="N52" s="64">
        <v>52</v>
      </c>
      <c r="O52" s="64">
        <v>52</v>
      </c>
      <c r="P52" s="64">
        <v>52</v>
      </c>
      <c r="Q52" s="64">
        <v>52</v>
      </c>
      <c r="R52" s="64">
        <v>52</v>
      </c>
      <c r="S52" s="64">
        <v>52</v>
      </c>
      <c r="T52" s="64">
        <v>52</v>
      </c>
      <c r="U52" s="64">
        <v>52</v>
      </c>
      <c r="V52" s="64">
        <v>52</v>
      </c>
      <c r="W52" s="64">
        <v>52</v>
      </c>
      <c r="X52" s="64">
        <v>52</v>
      </c>
      <c r="Y52" s="64">
        <v>52</v>
      </c>
      <c r="Z52" s="64">
        <v>52</v>
      </c>
      <c r="AA52" s="45">
        <v>52</v>
      </c>
      <c r="AB52" s="64">
        <v>52</v>
      </c>
      <c r="AC52" s="64">
        <v>52</v>
      </c>
      <c r="AD52" s="64">
        <v>52</v>
      </c>
      <c r="AE52" s="64">
        <v>52</v>
      </c>
      <c r="AF52" s="64">
        <v>52</v>
      </c>
      <c r="AG52" s="54">
        <v>60</v>
      </c>
      <c r="AH52" s="47">
        <f t="shared" si="2"/>
        <v>52</v>
      </c>
      <c r="AI52" s="48">
        <f t="shared" si="3"/>
        <v>52</v>
      </c>
      <c r="AK52" s="74"/>
    </row>
    <row r="53" spans="1:41" ht="15.75" thickBot="1" x14ac:dyDescent="0.3">
      <c r="A53" s="65" t="s">
        <v>69</v>
      </c>
      <c r="B53" s="66">
        <v>22</v>
      </c>
      <c r="C53" s="66">
        <v>22</v>
      </c>
      <c r="D53" s="66">
        <v>22</v>
      </c>
      <c r="E53" s="66">
        <v>22</v>
      </c>
      <c r="F53" s="66">
        <v>22</v>
      </c>
      <c r="G53" s="66">
        <v>22</v>
      </c>
      <c r="H53" s="66">
        <v>22</v>
      </c>
      <c r="I53" s="66">
        <v>22</v>
      </c>
      <c r="J53" s="66">
        <v>22</v>
      </c>
      <c r="K53" s="66">
        <v>22</v>
      </c>
      <c r="L53" s="66">
        <v>22</v>
      </c>
      <c r="M53" s="66">
        <v>22</v>
      </c>
      <c r="N53" s="66">
        <v>22</v>
      </c>
      <c r="O53" s="66">
        <v>22</v>
      </c>
      <c r="P53" s="66">
        <v>22</v>
      </c>
      <c r="Q53" s="66">
        <v>22</v>
      </c>
      <c r="R53" s="66">
        <v>22</v>
      </c>
      <c r="S53" s="66">
        <v>22</v>
      </c>
      <c r="T53" s="66">
        <v>22</v>
      </c>
      <c r="U53" s="66">
        <v>22</v>
      </c>
      <c r="V53" s="66">
        <v>22</v>
      </c>
      <c r="W53" s="66">
        <v>22</v>
      </c>
      <c r="X53" s="66">
        <v>22</v>
      </c>
      <c r="Y53" s="66">
        <v>22</v>
      </c>
      <c r="Z53" s="66">
        <v>22</v>
      </c>
      <c r="AA53" s="45">
        <v>22</v>
      </c>
      <c r="AB53" s="66">
        <v>22</v>
      </c>
      <c r="AC53" s="66">
        <v>22</v>
      </c>
      <c r="AD53" s="66">
        <v>22</v>
      </c>
      <c r="AE53" s="66">
        <v>22</v>
      </c>
      <c r="AF53" s="66">
        <v>22</v>
      </c>
      <c r="AG53" s="67">
        <v>22.1</v>
      </c>
      <c r="AH53" s="47">
        <f t="shared" si="2"/>
        <v>22</v>
      </c>
      <c r="AI53" s="48">
        <f t="shared" si="3"/>
        <v>22</v>
      </c>
      <c r="AK53" s="74"/>
    </row>
    <row r="54" spans="1:41" ht="15.75" thickBot="1" x14ac:dyDescent="0.3">
      <c r="A54" s="68" t="s">
        <v>70</v>
      </c>
      <c r="B54" s="59">
        <f t="shared" ref="B54" si="7">SUM(B51:B53)</f>
        <v>530</v>
      </c>
      <c r="C54" s="59">
        <f t="shared" ref="C54:AG54" si="8">SUM(C51:C53)</f>
        <v>489</v>
      </c>
      <c r="D54" s="59">
        <f t="shared" si="8"/>
        <v>499</v>
      </c>
      <c r="E54" s="59">
        <f t="shared" si="8"/>
        <v>530</v>
      </c>
      <c r="F54" s="59">
        <f t="shared" si="8"/>
        <v>509</v>
      </c>
      <c r="G54" s="59">
        <f t="shared" si="8"/>
        <v>424</v>
      </c>
      <c r="H54" s="59">
        <f t="shared" si="8"/>
        <v>394</v>
      </c>
      <c r="I54" s="59">
        <f t="shared" si="8"/>
        <v>414</v>
      </c>
      <c r="J54" s="59">
        <f t="shared" si="8"/>
        <v>434</v>
      </c>
      <c r="K54" s="59">
        <f t="shared" si="8"/>
        <v>434</v>
      </c>
      <c r="L54" s="59">
        <f t="shared" si="8"/>
        <v>454</v>
      </c>
      <c r="M54" s="59">
        <f t="shared" si="8"/>
        <v>454</v>
      </c>
      <c r="N54" s="59">
        <f t="shared" si="8"/>
        <v>414</v>
      </c>
      <c r="O54" s="59">
        <f t="shared" si="8"/>
        <v>414</v>
      </c>
      <c r="P54" s="59">
        <f t="shared" si="8"/>
        <v>524</v>
      </c>
      <c r="Q54" s="59">
        <f t="shared" si="8"/>
        <v>524</v>
      </c>
      <c r="R54" s="59">
        <f t="shared" si="8"/>
        <v>424</v>
      </c>
      <c r="S54" s="59">
        <f t="shared" si="8"/>
        <v>379</v>
      </c>
      <c r="T54" s="59">
        <f t="shared" si="8"/>
        <v>404</v>
      </c>
      <c r="U54" s="59">
        <f t="shared" si="8"/>
        <v>414</v>
      </c>
      <c r="V54" s="59">
        <f t="shared" si="8"/>
        <v>434</v>
      </c>
      <c r="W54" s="59">
        <f t="shared" si="8"/>
        <v>394</v>
      </c>
      <c r="X54" s="59">
        <f>SUM(X51:X53)</f>
        <v>400</v>
      </c>
      <c r="Y54" s="59">
        <f>SUM(Y51:Y53)</f>
        <v>394</v>
      </c>
      <c r="Z54" s="59">
        <f>SUM(Z51:Z53)</f>
        <v>394</v>
      </c>
      <c r="AA54" s="59">
        <f t="shared" ref="AA54" si="9">SUM(AA51:AA53)</f>
        <v>404</v>
      </c>
      <c r="AB54" s="59">
        <f t="shared" si="8"/>
        <v>454</v>
      </c>
      <c r="AC54" s="59">
        <f t="shared" si="8"/>
        <v>454</v>
      </c>
      <c r="AD54" s="59">
        <f t="shared" si="8"/>
        <v>454</v>
      </c>
      <c r="AE54" s="59">
        <f t="shared" si="8"/>
        <v>469</v>
      </c>
      <c r="AF54" s="59">
        <f t="shared" si="8"/>
        <v>469</v>
      </c>
      <c r="AG54" s="60">
        <f t="shared" si="8"/>
        <v>538.1</v>
      </c>
      <c r="AH54" s="47">
        <f t="shared" si="2"/>
        <v>530</v>
      </c>
      <c r="AI54" s="48">
        <f t="shared" si="3"/>
        <v>379</v>
      </c>
      <c r="AK54" s="74"/>
    </row>
    <row r="55" spans="1:41" x14ac:dyDescent="0.25">
      <c r="A55" s="44" t="s">
        <v>71</v>
      </c>
      <c r="B55" s="45">
        <v>144</v>
      </c>
      <c r="C55" s="45">
        <v>144</v>
      </c>
      <c r="D55" s="45">
        <v>144</v>
      </c>
      <c r="E55" s="45">
        <v>144</v>
      </c>
      <c r="F55" s="45">
        <v>144</v>
      </c>
      <c r="G55" s="45">
        <v>141</v>
      </c>
      <c r="H55" s="45">
        <v>142.80000000000001</v>
      </c>
      <c r="I55" s="45">
        <v>142.80000000000001</v>
      </c>
      <c r="J55" s="45">
        <v>142.80000000000001</v>
      </c>
      <c r="K55" s="45">
        <v>142.80000000000001</v>
      </c>
      <c r="L55" s="45">
        <v>142.80000000000001</v>
      </c>
      <c r="M55" s="45">
        <v>142.80000000000001</v>
      </c>
      <c r="N55" s="45">
        <v>142.80000000000001</v>
      </c>
      <c r="O55" s="45">
        <v>142.80000000000001</v>
      </c>
      <c r="P55" s="45">
        <v>146</v>
      </c>
      <c r="Q55" s="45">
        <v>146</v>
      </c>
      <c r="R55" s="45">
        <v>121.7</v>
      </c>
      <c r="S55" s="45">
        <v>141.9</v>
      </c>
      <c r="T55" s="45">
        <v>130</v>
      </c>
      <c r="U55" s="45">
        <v>131.5</v>
      </c>
      <c r="V55" s="45">
        <v>130.9</v>
      </c>
      <c r="W55" s="45">
        <v>136.6</v>
      </c>
      <c r="X55" s="45">
        <v>129</v>
      </c>
      <c r="Y55" s="45">
        <v>132</v>
      </c>
      <c r="Z55" s="45">
        <v>134.19999999999999</v>
      </c>
      <c r="AA55" s="45">
        <v>132</v>
      </c>
      <c r="AB55" s="45">
        <v>145</v>
      </c>
      <c r="AC55" s="45">
        <v>145</v>
      </c>
      <c r="AD55" s="45">
        <v>145</v>
      </c>
      <c r="AE55" s="45">
        <v>145</v>
      </c>
      <c r="AF55" s="45">
        <v>144</v>
      </c>
      <c r="AG55" s="51">
        <v>144</v>
      </c>
      <c r="AH55" s="47">
        <f t="shared" si="2"/>
        <v>146</v>
      </c>
      <c r="AI55" s="48">
        <f t="shared" si="3"/>
        <v>121.7</v>
      </c>
      <c r="AK55" s="74"/>
    </row>
    <row r="56" spans="1:41" x14ac:dyDescent="0.25">
      <c r="A56" s="53" t="s">
        <v>72</v>
      </c>
      <c r="B56" s="45">
        <v>71</v>
      </c>
      <c r="C56" s="45">
        <v>71</v>
      </c>
      <c r="D56" s="45">
        <v>60</v>
      </c>
      <c r="E56" s="45">
        <v>70</v>
      </c>
      <c r="F56" s="45">
        <v>70</v>
      </c>
      <c r="G56" s="64">
        <v>60</v>
      </c>
      <c r="H56" s="64">
        <v>67.5</v>
      </c>
      <c r="I56" s="64">
        <v>70.400000000000006</v>
      </c>
      <c r="J56" s="64">
        <v>70.400000000000006</v>
      </c>
      <c r="K56" s="64">
        <v>70.400000000000006</v>
      </c>
      <c r="L56" s="64">
        <v>70.400000000000006</v>
      </c>
      <c r="M56" s="64">
        <v>70.400000000000006</v>
      </c>
      <c r="N56" s="64">
        <v>70.400000000000006</v>
      </c>
      <c r="O56" s="64">
        <v>70.400000000000006</v>
      </c>
      <c r="P56" s="64">
        <v>72.900000000000006</v>
      </c>
      <c r="Q56" s="64">
        <v>72.900000000000006</v>
      </c>
      <c r="R56" s="64">
        <v>60</v>
      </c>
      <c r="S56" s="64">
        <v>72</v>
      </c>
      <c r="T56" s="64">
        <v>72</v>
      </c>
      <c r="U56" s="45">
        <v>51.5</v>
      </c>
      <c r="V56" s="45">
        <v>61.5</v>
      </c>
      <c r="W56" s="45">
        <v>70</v>
      </c>
      <c r="X56" s="45">
        <v>52.1</v>
      </c>
      <c r="Y56" s="45">
        <v>52</v>
      </c>
      <c r="Z56" s="45">
        <v>70.5</v>
      </c>
      <c r="AA56" s="45">
        <v>70</v>
      </c>
      <c r="AB56" s="45">
        <v>70</v>
      </c>
      <c r="AC56" s="45">
        <v>70</v>
      </c>
      <c r="AD56" s="45">
        <v>70</v>
      </c>
      <c r="AE56" s="45">
        <v>70</v>
      </c>
      <c r="AF56" s="45">
        <v>60</v>
      </c>
      <c r="AG56" s="54">
        <v>70</v>
      </c>
      <c r="AH56" s="47">
        <f t="shared" si="2"/>
        <v>72.900000000000006</v>
      </c>
      <c r="AI56" s="48">
        <f t="shared" si="3"/>
        <v>51.5</v>
      </c>
      <c r="AK56" s="74"/>
    </row>
    <row r="57" spans="1:41" x14ac:dyDescent="0.25">
      <c r="A57" s="53" t="s">
        <v>73</v>
      </c>
      <c r="B57" s="45">
        <v>67.7</v>
      </c>
      <c r="C57" s="45">
        <v>67.7</v>
      </c>
      <c r="D57" s="45">
        <v>67.7</v>
      </c>
      <c r="E57" s="45">
        <v>69</v>
      </c>
      <c r="F57" s="45">
        <v>69</v>
      </c>
      <c r="G57" s="64">
        <v>60</v>
      </c>
      <c r="H57" s="64">
        <v>69.7</v>
      </c>
      <c r="I57" s="64">
        <v>69.599999999999994</v>
      </c>
      <c r="J57" s="64">
        <v>69.599999999999994</v>
      </c>
      <c r="K57" s="64">
        <v>69.599999999999994</v>
      </c>
      <c r="L57" s="64">
        <v>69.599999999999994</v>
      </c>
      <c r="M57" s="64">
        <v>69.599999999999994</v>
      </c>
      <c r="N57" s="64">
        <v>69.599999999999994</v>
      </c>
      <c r="O57" s="64">
        <v>69.599999999999994</v>
      </c>
      <c r="P57" s="64">
        <v>69.599999999999994</v>
      </c>
      <c r="Q57" s="64">
        <v>69.599999999999994</v>
      </c>
      <c r="R57" s="64">
        <v>60.1</v>
      </c>
      <c r="S57" s="64">
        <v>68</v>
      </c>
      <c r="T57" s="64">
        <v>68</v>
      </c>
      <c r="U57" s="45">
        <v>60.8</v>
      </c>
      <c r="V57" s="45">
        <v>68</v>
      </c>
      <c r="W57" s="45">
        <v>68</v>
      </c>
      <c r="X57" s="45">
        <v>61.3</v>
      </c>
      <c r="Y57" s="45">
        <v>52.5</v>
      </c>
      <c r="Z57" s="45">
        <v>69</v>
      </c>
      <c r="AA57" s="45">
        <v>69</v>
      </c>
      <c r="AB57" s="45">
        <v>69.900000000000006</v>
      </c>
      <c r="AC57" s="45">
        <v>69.900000000000006</v>
      </c>
      <c r="AD57" s="45">
        <v>69.900000000000006</v>
      </c>
      <c r="AE57" s="45">
        <v>69.900000000000006</v>
      </c>
      <c r="AF57" s="45">
        <v>62</v>
      </c>
      <c r="AG57" s="54">
        <v>69</v>
      </c>
      <c r="AH57" s="47">
        <f t="shared" si="2"/>
        <v>69.900000000000006</v>
      </c>
      <c r="AI57" s="48">
        <f t="shared" si="3"/>
        <v>52.5</v>
      </c>
      <c r="AK57" s="74"/>
    </row>
    <row r="58" spans="1:41" x14ac:dyDescent="0.25">
      <c r="A58" s="53" t="s">
        <v>74</v>
      </c>
      <c r="B58" s="45">
        <v>60</v>
      </c>
      <c r="C58" s="45">
        <v>60</v>
      </c>
      <c r="D58" s="45">
        <v>60</v>
      </c>
      <c r="E58" s="45">
        <v>60</v>
      </c>
      <c r="F58" s="45">
        <v>60</v>
      </c>
      <c r="G58" s="45">
        <v>60</v>
      </c>
      <c r="H58" s="56">
        <v>61.4</v>
      </c>
      <c r="I58" s="56">
        <v>62</v>
      </c>
      <c r="J58" s="56">
        <v>62</v>
      </c>
      <c r="K58" s="56">
        <v>62</v>
      </c>
      <c r="L58" s="56">
        <v>62</v>
      </c>
      <c r="M58" s="56">
        <v>62</v>
      </c>
      <c r="N58" s="56">
        <v>62</v>
      </c>
      <c r="O58" s="56">
        <v>62</v>
      </c>
      <c r="P58" s="56">
        <v>62</v>
      </c>
      <c r="Q58" s="56">
        <v>62</v>
      </c>
      <c r="R58" s="56">
        <v>62</v>
      </c>
      <c r="S58" s="56">
        <v>62</v>
      </c>
      <c r="T58" s="56">
        <v>62</v>
      </c>
      <c r="U58" s="45">
        <v>61.5</v>
      </c>
      <c r="V58" s="45">
        <v>61.5</v>
      </c>
      <c r="W58" s="45">
        <v>61.5</v>
      </c>
      <c r="X58" s="45">
        <v>61.4</v>
      </c>
      <c r="Y58" s="45">
        <v>61.4</v>
      </c>
      <c r="Z58" s="45">
        <v>61.4</v>
      </c>
      <c r="AA58" s="45">
        <v>61.4</v>
      </c>
      <c r="AB58" s="45">
        <v>61.4</v>
      </c>
      <c r="AC58" s="45">
        <v>61.4</v>
      </c>
      <c r="AD58" s="45">
        <v>61.4</v>
      </c>
      <c r="AE58" s="45">
        <v>61.4</v>
      </c>
      <c r="AF58" s="45">
        <v>61.4</v>
      </c>
      <c r="AG58" s="54">
        <v>60</v>
      </c>
      <c r="AH58" s="47">
        <f t="shared" si="2"/>
        <v>62</v>
      </c>
      <c r="AI58" s="48">
        <f t="shared" si="3"/>
        <v>60</v>
      </c>
      <c r="AK58" s="74"/>
    </row>
    <row r="59" spans="1:41" x14ac:dyDescent="0.25">
      <c r="A59" s="53" t="s">
        <v>75</v>
      </c>
      <c r="B59" s="50">
        <v>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6">
        <v>0</v>
      </c>
      <c r="J59" s="56">
        <v>0</v>
      </c>
      <c r="K59" s="56">
        <v>0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56">
        <v>0</v>
      </c>
      <c r="T59" s="56">
        <v>0</v>
      </c>
      <c r="U59" s="56">
        <v>0</v>
      </c>
      <c r="V59" s="56">
        <v>0</v>
      </c>
      <c r="W59" s="56">
        <v>30</v>
      </c>
      <c r="X59" s="45">
        <v>22</v>
      </c>
      <c r="Y59" s="45">
        <v>22</v>
      </c>
      <c r="Z59" s="45">
        <v>22</v>
      </c>
      <c r="AA59" s="45">
        <v>23</v>
      </c>
      <c r="AB59" s="45">
        <v>23</v>
      </c>
      <c r="AC59" s="45">
        <v>23</v>
      </c>
      <c r="AD59" s="45">
        <v>23</v>
      </c>
      <c r="AE59" s="45">
        <v>23</v>
      </c>
      <c r="AF59" s="45">
        <v>23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50">
        <v>0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64">
        <v>2</v>
      </c>
      <c r="J60" s="64">
        <v>3</v>
      </c>
      <c r="K60" s="64">
        <v>3.7</v>
      </c>
      <c r="L60" s="64">
        <v>3.7</v>
      </c>
      <c r="M60" s="64">
        <v>5</v>
      </c>
      <c r="N60" s="64">
        <v>8</v>
      </c>
      <c r="O60" s="64">
        <v>15.1</v>
      </c>
      <c r="P60" s="64">
        <v>16.8</v>
      </c>
      <c r="Q60" s="64">
        <v>16.399999999999999</v>
      </c>
      <c r="R60" s="64">
        <v>16.100000000000001</v>
      </c>
      <c r="S60" s="64">
        <v>16.100000000000001</v>
      </c>
      <c r="T60" s="64">
        <v>16.100000000000001</v>
      </c>
      <c r="U60" s="64">
        <v>16.100000000000001</v>
      </c>
      <c r="V60" s="64">
        <v>16.100000000000001</v>
      </c>
      <c r="W60" s="64">
        <v>16.100000000000001</v>
      </c>
      <c r="X60" s="64">
        <v>16.100000000000001</v>
      </c>
      <c r="Y60" s="64">
        <v>0</v>
      </c>
      <c r="Z60" s="64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16.8</v>
      </c>
      <c r="AI60" s="48">
        <f t="shared" si="3"/>
        <v>0</v>
      </c>
      <c r="AK60" s="74"/>
    </row>
    <row r="61" spans="1:41" x14ac:dyDescent="0.25">
      <c r="A61" s="53" t="s">
        <v>77</v>
      </c>
      <c r="B61" s="50">
        <v>18</v>
      </c>
      <c r="C61" s="50">
        <v>18</v>
      </c>
      <c r="D61" s="50">
        <v>18</v>
      </c>
      <c r="E61" s="50">
        <v>18</v>
      </c>
      <c r="F61" s="50">
        <v>18</v>
      </c>
      <c r="G61" s="50">
        <v>18</v>
      </c>
      <c r="H61" s="50">
        <v>18</v>
      </c>
      <c r="I61" s="64">
        <v>18</v>
      </c>
      <c r="J61" s="64">
        <v>18</v>
      </c>
      <c r="K61" s="64">
        <v>18</v>
      </c>
      <c r="L61" s="64">
        <v>18</v>
      </c>
      <c r="M61" s="64">
        <v>18</v>
      </c>
      <c r="N61" s="64">
        <v>18</v>
      </c>
      <c r="O61" s="64">
        <v>18</v>
      </c>
      <c r="P61" s="64">
        <v>18</v>
      </c>
      <c r="Q61" s="64">
        <v>18</v>
      </c>
      <c r="R61" s="64">
        <v>18</v>
      </c>
      <c r="S61" s="64">
        <v>18</v>
      </c>
      <c r="T61" s="64">
        <v>18</v>
      </c>
      <c r="U61" s="64">
        <v>18</v>
      </c>
      <c r="V61" s="64">
        <v>18</v>
      </c>
      <c r="W61" s="64">
        <v>18</v>
      </c>
      <c r="X61" s="64">
        <v>18</v>
      </c>
      <c r="Y61" s="64">
        <v>18</v>
      </c>
      <c r="Z61" s="64">
        <v>18</v>
      </c>
      <c r="AA61" s="45">
        <v>18</v>
      </c>
      <c r="AB61" s="45">
        <v>18</v>
      </c>
      <c r="AC61" s="45">
        <v>18</v>
      </c>
      <c r="AD61" s="45">
        <v>18</v>
      </c>
      <c r="AE61" s="45">
        <v>18</v>
      </c>
      <c r="AF61" s="45">
        <v>18</v>
      </c>
      <c r="AG61" s="54">
        <v>24</v>
      </c>
      <c r="AH61" s="47">
        <f t="shared" si="2"/>
        <v>18</v>
      </c>
      <c r="AI61" s="48">
        <f t="shared" si="3"/>
        <v>18</v>
      </c>
      <c r="AK61" s="74"/>
    </row>
    <row r="62" spans="1:41" x14ac:dyDescent="0.25">
      <c r="A62" s="53" t="s">
        <v>78</v>
      </c>
      <c r="B62" s="50">
        <v>1.4</v>
      </c>
      <c r="C62" s="50">
        <v>1.4</v>
      </c>
      <c r="D62" s="50">
        <v>1.4</v>
      </c>
      <c r="E62" s="50">
        <v>1.4</v>
      </c>
      <c r="F62" s="50">
        <v>1.4</v>
      </c>
      <c r="G62" s="50">
        <v>1.4</v>
      </c>
      <c r="H62" s="50">
        <v>1.4</v>
      </c>
      <c r="I62" s="64">
        <v>2.4</v>
      </c>
      <c r="J62" s="64">
        <v>2.4</v>
      </c>
      <c r="K62" s="64">
        <v>2.4</v>
      </c>
      <c r="L62" s="64">
        <v>2.4</v>
      </c>
      <c r="M62" s="64">
        <v>2.4</v>
      </c>
      <c r="N62" s="64">
        <v>2.4</v>
      </c>
      <c r="O62" s="64">
        <v>2.4</v>
      </c>
      <c r="P62" s="64">
        <v>2.4</v>
      </c>
      <c r="Q62" s="64">
        <v>2.4</v>
      </c>
      <c r="R62" s="64">
        <v>2.4</v>
      </c>
      <c r="S62" s="64">
        <v>2.4</v>
      </c>
      <c r="T62" s="64">
        <v>2.4</v>
      </c>
      <c r="U62" s="64">
        <v>2.4</v>
      </c>
      <c r="V62" s="64">
        <v>2.4</v>
      </c>
      <c r="W62" s="64">
        <v>2.4</v>
      </c>
      <c r="X62" s="64">
        <v>2.4</v>
      </c>
      <c r="Y62" s="64">
        <v>2.4</v>
      </c>
      <c r="Z62" s="64">
        <v>2.4</v>
      </c>
      <c r="AA62" s="45">
        <v>2.4</v>
      </c>
      <c r="AB62" s="45">
        <v>2.4</v>
      </c>
      <c r="AC62" s="45">
        <v>2.4</v>
      </c>
      <c r="AD62" s="45">
        <v>2.4</v>
      </c>
      <c r="AE62" s="45">
        <v>2.4</v>
      </c>
      <c r="AF62" s="45">
        <v>2.4</v>
      </c>
      <c r="AG62" s="54">
        <v>15</v>
      </c>
      <c r="AH62" s="47">
        <f t="shared" si="2"/>
        <v>2.4</v>
      </c>
      <c r="AI62" s="48">
        <f t="shared" si="3"/>
        <v>1.4</v>
      </c>
      <c r="AK62" s="74"/>
      <c r="AL62" s="69"/>
      <c r="AO62" s="69"/>
    </row>
    <row r="63" spans="1:41" s="69" customFormat="1" x14ac:dyDescent="0.25">
      <c r="A63" s="53" t="s">
        <v>79</v>
      </c>
      <c r="B63" s="50">
        <v>12.4</v>
      </c>
      <c r="C63" s="50">
        <v>12.4</v>
      </c>
      <c r="D63" s="50">
        <v>12.4</v>
      </c>
      <c r="E63" s="50">
        <v>12.4</v>
      </c>
      <c r="F63" s="50">
        <v>12.4</v>
      </c>
      <c r="G63" s="50">
        <v>11.8</v>
      </c>
      <c r="H63" s="50">
        <v>11.8</v>
      </c>
      <c r="I63" s="50">
        <v>11.8</v>
      </c>
      <c r="J63" s="50">
        <v>11.8</v>
      </c>
      <c r="K63" s="50">
        <v>11.8</v>
      </c>
      <c r="L63" s="50">
        <v>11.8</v>
      </c>
      <c r="M63" s="50">
        <v>11.8</v>
      </c>
      <c r="N63" s="50">
        <v>11.8</v>
      </c>
      <c r="O63" s="50">
        <v>11.8</v>
      </c>
      <c r="P63" s="50">
        <v>11.8</v>
      </c>
      <c r="Q63" s="50">
        <v>11.8</v>
      </c>
      <c r="R63" s="50">
        <v>11.8</v>
      </c>
      <c r="S63" s="50">
        <v>11.8</v>
      </c>
      <c r="T63" s="50">
        <v>11.8</v>
      </c>
      <c r="U63" s="50">
        <v>11.8</v>
      </c>
      <c r="V63" s="50">
        <v>11.8</v>
      </c>
      <c r="W63" s="50">
        <v>11.8</v>
      </c>
      <c r="X63" s="50">
        <v>11.8</v>
      </c>
      <c r="Y63" s="50">
        <v>11.8</v>
      </c>
      <c r="Z63" s="50">
        <v>11.8</v>
      </c>
      <c r="AA63" s="45">
        <v>11.8</v>
      </c>
      <c r="AB63" s="45">
        <v>11.8</v>
      </c>
      <c r="AC63" s="45">
        <v>11.8</v>
      </c>
      <c r="AD63" s="45">
        <v>11.8</v>
      </c>
      <c r="AE63" s="45">
        <v>11.8</v>
      </c>
      <c r="AF63" s="45">
        <v>11.8</v>
      </c>
      <c r="AG63" s="54">
        <v>14.1</v>
      </c>
      <c r="AH63" s="47">
        <f t="shared" si="2"/>
        <v>12.4</v>
      </c>
      <c r="AI63" s="48">
        <f t="shared" si="3"/>
        <v>11.8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50">
        <v>7.2</v>
      </c>
      <c r="C64" s="50">
        <v>7.2</v>
      </c>
      <c r="D64" s="50">
        <v>7.2</v>
      </c>
      <c r="E64" s="50">
        <v>7.2</v>
      </c>
      <c r="F64" s="50">
        <v>7.2</v>
      </c>
      <c r="G64" s="50">
        <v>7.2</v>
      </c>
      <c r="H64" s="50">
        <v>7.2</v>
      </c>
      <c r="I64" s="50">
        <v>7.2</v>
      </c>
      <c r="J64" s="50">
        <v>7.2</v>
      </c>
      <c r="K64" s="50">
        <v>7.2</v>
      </c>
      <c r="L64" s="50">
        <v>7.2</v>
      </c>
      <c r="M64" s="50">
        <v>14</v>
      </c>
      <c r="N64" s="50">
        <v>14.1</v>
      </c>
      <c r="O64" s="50">
        <v>14.3</v>
      </c>
      <c r="P64" s="50">
        <v>14.3</v>
      </c>
      <c r="Q64" s="50">
        <v>14.3</v>
      </c>
      <c r="R64" s="50">
        <v>14.3</v>
      </c>
      <c r="S64" s="50">
        <v>14.3</v>
      </c>
      <c r="T64" s="50">
        <v>14.3</v>
      </c>
      <c r="U64" s="50">
        <v>14.3</v>
      </c>
      <c r="V64" s="50">
        <v>14.3</v>
      </c>
      <c r="W64" s="50">
        <v>14.3</v>
      </c>
      <c r="X64" s="50">
        <v>14.3</v>
      </c>
      <c r="Y64" s="50">
        <v>14.3</v>
      </c>
      <c r="Z64" s="50">
        <v>14.3</v>
      </c>
      <c r="AA64" s="45">
        <v>14.3</v>
      </c>
      <c r="AB64" s="45">
        <v>14.3</v>
      </c>
      <c r="AC64" s="45">
        <v>14.3</v>
      </c>
      <c r="AD64" s="45">
        <v>14.3</v>
      </c>
      <c r="AE64" s="45">
        <v>14.3</v>
      </c>
      <c r="AF64" s="45">
        <v>14.3</v>
      </c>
      <c r="AG64" s="54">
        <v>14</v>
      </c>
      <c r="AH64" s="47">
        <f t="shared" si="2"/>
        <v>14.3</v>
      </c>
      <c r="AI64" s="48">
        <f t="shared" si="3"/>
        <v>7.2</v>
      </c>
      <c r="AK64" s="74"/>
    </row>
    <row r="65" spans="1:40" x14ac:dyDescent="0.25">
      <c r="A65" s="53" t="s">
        <v>81</v>
      </c>
      <c r="B65" s="50">
        <v>7.5</v>
      </c>
      <c r="C65" s="50">
        <v>7.5</v>
      </c>
      <c r="D65" s="50">
        <v>7.5</v>
      </c>
      <c r="E65" s="50">
        <v>7.5</v>
      </c>
      <c r="F65" s="50">
        <v>7.5</v>
      </c>
      <c r="G65" s="50">
        <v>7.5</v>
      </c>
      <c r="H65" s="50">
        <v>7.5</v>
      </c>
      <c r="I65" s="50">
        <v>7.5</v>
      </c>
      <c r="J65" s="50">
        <v>7.5</v>
      </c>
      <c r="K65" s="50">
        <v>7.5</v>
      </c>
      <c r="L65" s="50">
        <v>7.5</v>
      </c>
      <c r="M65" s="50">
        <v>7.5</v>
      </c>
      <c r="N65" s="50">
        <v>7.5</v>
      </c>
      <c r="O65" s="50">
        <v>7.5</v>
      </c>
      <c r="P65" s="50">
        <v>7.5</v>
      </c>
      <c r="Q65" s="50">
        <v>7.5</v>
      </c>
      <c r="R65" s="50">
        <v>7.5</v>
      </c>
      <c r="S65" s="50">
        <v>7.5</v>
      </c>
      <c r="T65" s="50">
        <v>7.5</v>
      </c>
      <c r="U65" s="50">
        <v>7.5</v>
      </c>
      <c r="V65" s="50">
        <v>7.5</v>
      </c>
      <c r="W65" s="50">
        <v>7.5</v>
      </c>
      <c r="X65" s="50">
        <v>7.5</v>
      </c>
      <c r="Y65" s="50">
        <v>7.5</v>
      </c>
      <c r="Z65" s="50">
        <v>7.5</v>
      </c>
      <c r="AA65" s="45">
        <v>7.5</v>
      </c>
      <c r="AB65" s="45">
        <v>7.5</v>
      </c>
      <c r="AC65" s="45">
        <v>7.5</v>
      </c>
      <c r="AD65" s="45">
        <v>7.5</v>
      </c>
      <c r="AE65" s="45">
        <v>7.5</v>
      </c>
      <c r="AF65" s="45">
        <v>7.5</v>
      </c>
      <c r="AG65" s="54">
        <v>10.050000000000001</v>
      </c>
      <c r="AH65" s="47">
        <f t="shared" si="2"/>
        <v>7.5</v>
      </c>
      <c r="AI65" s="48">
        <f t="shared" si="3"/>
        <v>7.5</v>
      </c>
      <c r="AK65" s="74"/>
    </row>
    <row r="66" spans="1:40" x14ac:dyDescent="0.25">
      <c r="A66" s="53" t="s">
        <v>82</v>
      </c>
      <c r="B66" s="50">
        <v>2.2000000000000002</v>
      </c>
      <c r="C66" s="50">
        <v>2.2000000000000002</v>
      </c>
      <c r="D66" s="50">
        <v>2.2000000000000002</v>
      </c>
      <c r="E66" s="50">
        <v>2.2000000000000002</v>
      </c>
      <c r="F66" s="50">
        <v>2.2000000000000002</v>
      </c>
      <c r="G66" s="50">
        <v>2.2000000000000002</v>
      </c>
      <c r="H66" s="50">
        <v>2.2000000000000002</v>
      </c>
      <c r="I66" s="50">
        <v>2.2000000000000002</v>
      </c>
      <c r="J66" s="50">
        <v>2.2000000000000002</v>
      </c>
      <c r="K66" s="50">
        <v>2.2000000000000002</v>
      </c>
      <c r="L66" s="50">
        <v>2.2000000000000002</v>
      </c>
      <c r="M66" s="50">
        <v>2.2000000000000002</v>
      </c>
      <c r="N66" s="50">
        <v>2.2000000000000002</v>
      </c>
      <c r="O66" s="50">
        <v>2.2000000000000002</v>
      </c>
      <c r="P66" s="50">
        <v>2.2000000000000002</v>
      </c>
      <c r="Q66" s="50">
        <v>2.2000000000000002</v>
      </c>
      <c r="R66" s="50">
        <v>2.2000000000000002</v>
      </c>
      <c r="S66" s="50">
        <v>2.2000000000000002</v>
      </c>
      <c r="T66" s="50">
        <v>2.2000000000000002</v>
      </c>
      <c r="U66" s="50">
        <v>2.2000000000000002</v>
      </c>
      <c r="V66" s="50">
        <v>2.2000000000000002</v>
      </c>
      <c r="W66" s="50">
        <v>2.2000000000000002</v>
      </c>
      <c r="X66" s="50">
        <v>2.2000000000000002</v>
      </c>
      <c r="Y66" s="50">
        <v>2.2000000000000002</v>
      </c>
      <c r="Z66" s="50">
        <v>2.2000000000000002</v>
      </c>
      <c r="AA66" s="45">
        <v>2.2000000000000002</v>
      </c>
      <c r="AB66" s="45">
        <v>2.2000000000000002</v>
      </c>
      <c r="AC66" s="45">
        <v>2.2000000000000002</v>
      </c>
      <c r="AD66" s="45">
        <v>2.2000000000000002</v>
      </c>
      <c r="AE66" s="45">
        <v>2.2000000000000002</v>
      </c>
      <c r="AF66" s="45">
        <v>2.2000000000000002</v>
      </c>
      <c r="AG66" s="54">
        <v>6.2</v>
      </c>
      <c r="AH66" s="47">
        <f t="shared" si="2"/>
        <v>2.2000000000000002</v>
      </c>
      <c r="AI66" s="48">
        <f t="shared" si="3"/>
        <v>2.2000000000000002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45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" si="10">SUM(B55:B67)</f>
        <v>394.93999999999994</v>
      </c>
      <c r="C68" s="59">
        <f t="shared" ref="C68:AG68" si="11">SUM(C55:C67)</f>
        <v>394.93999999999994</v>
      </c>
      <c r="D68" s="59">
        <f t="shared" si="11"/>
        <v>383.93999999999994</v>
      </c>
      <c r="E68" s="59">
        <f t="shared" si="11"/>
        <v>395.23999999999995</v>
      </c>
      <c r="F68" s="59">
        <f t="shared" si="11"/>
        <v>395.23999999999995</v>
      </c>
      <c r="G68" s="59">
        <f t="shared" si="11"/>
        <v>372.64</v>
      </c>
      <c r="H68" s="59">
        <f t="shared" si="11"/>
        <v>393.03999999999996</v>
      </c>
      <c r="I68" s="59">
        <f t="shared" si="11"/>
        <v>399.44</v>
      </c>
      <c r="J68" s="59">
        <f t="shared" si="11"/>
        <v>400.44</v>
      </c>
      <c r="K68" s="59">
        <f t="shared" si="11"/>
        <v>401.14</v>
      </c>
      <c r="L68" s="59">
        <f t="shared" si="11"/>
        <v>401.14</v>
      </c>
      <c r="M68" s="59">
        <f t="shared" si="11"/>
        <v>409.24</v>
      </c>
      <c r="N68" s="59">
        <f t="shared" si="11"/>
        <v>412.34000000000003</v>
      </c>
      <c r="O68" s="59">
        <f t="shared" si="11"/>
        <v>419.64000000000004</v>
      </c>
      <c r="P68" s="59">
        <f t="shared" si="11"/>
        <v>427.04</v>
      </c>
      <c r="Q68" s="59">
        <f t="shared" si="11"/>
        <v>426.64</v>
      </c>
      <c r="R68" s="59">
        <f t="shared" si="11"/>
        <v>379.64</v>
      </c>
      <c r="S68" s="59">
        <f t="shared" si="11"/>
        <v>419.74</v>
      </c>
      <c r="T68" s="59">
        <f t="shared" si="11"/>
        <v>407.84000000000003</v>
      </c>
      <c r="U68" s="59">
        <f t="shared" si="11"/>
        <v>381.14000000000004</v>
      </c>
      <c r="V68" s="59">
        <f t="shared" si="11"/>
        <v>397.74</v>
      </c>
      <c r="W68" s="59">
        <f t="shared" si="11"/>
        <v>441.94000000000005</v>
      </c>
      <c r="X68" s="59">
        <f t="shared" si="11"/>
        <v>401.64</v>
      </c>
      <c r="Y68" s="59">
        <f t="shared" si="11"/>
        <v>379.64</v>
      </c>
      <c r="Z68" s="59">
        <f t="shared" si="11"/>
        <v>416.84</v>
      </c>
      <c r="AA68" s="59">
        <f t="shared" ref="AA68" si="12">SUM(AA55:AA67)</f>
        <v>415.14</v>
      </c>
      <c r="AB68" s="59">
        <f t="shared" si="11"/>
        <v>429.03999999999996</v>
      </c>
      <c r="AC68" s="59">
        <f t="shared" si="11"/>
        <v>429.03999999999996</v>
      </c>
      <c r="AD68" s="59">
        <f t="shared" si="11"/>
        <v>429.03999999999996</v>
      </c>
      <c r="AE68" s="59">
        <f t="shared" si="11"/>
        <v>429.03999999999996</v>
      </c>
      <c r="AF68" s="59">
        <f t="shared" si="11"/>
        <v>410.14</v>
      </c>
      <c r="AG68" s="60">
        <f t="shared" si="11"/>
        <v>489.91</v>
      </c>
      <c r="AH68" s="47">
        <f t="shared" si="2"/>
        <v>441.94000000000005</v>
      </c>
      <c r="AI68" s="48">
        <f t="shared" si="3"/>
        <v>372.64</v>
      </c>
      <c r="AK68" s="74"/>
    </row>
    <row r="69" spans="1:40" x14ac:dyDescent="0.25">
      <c r="A69" s="44" t="s">
        <v>85</v>
      </c>
      <c r="B69" s="45">
        <v>14.1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10.9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40</v>
      </c>
      <c r="Z69" s="45">
        <v>50</v>
      </c>
      <c r="AA69" s="45">
        <v>60</v>
      </c>
      <c r="AB69" s="45">
        <v>59.8</v>
      </c>
      <c r="AC69" s="45">
        <v>60</v>
      </c>
      <c r="AD69" s="45">
        <v>60</v>
      </c>
      <c r="AE69" s="45">
        <v>60</v>
      </c>
      <c r="AF69" s="45">
        <v>40</v>
      </c>
      <c r="AG69" s="51">
        <v>60</v>
      </c>
      <c r="AH69" s="47">
        <f t="shared" si="2"/>
        <v>60</v>
      </c>
      <c r="AI69" s="48">
        <f t="shared" si="3"/>
        <v>0</v>
      </c>
      <c r="AK69" s="74"/>
    </row>
    <row r="70" spans="1:40" x14ac:dyDescent="0.25">
      <c r="A70" s="53" t="s">
        <v>86</v>
      </c>
      <c r="B70" s="64">
        <v>4.4000000000000004</v>
      </c>
      <c r="C70" s="45">
        <v>0</v>
      </c>
      <c r="D70" s="45">
        <v>0</v>
      </c>
      <c r="E70" s="45">
        <v>0</v>
      </c>
      <c r="F70" s="45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3.7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22</v>
      </c>
      <c r="Z70" s="64">
        <v>23.6</v>
      </c>
      <c r="AA70" s="45">
        <v>28</v>
      </c>
      <c r="AB70" s="64">
        <v>30.4</v>
      </c>
      <c r="AC70" s="64">
        <v>30.1</v>
      </c>
      <c r="AD70" s="64">
        <v>30.1</v>
      </c>
      <c r="AE70" s="64">
        <v>30.1</v>
      </c>
      <c r="AF70" s="64">
        <v>22</v>
      </c>
      <c r="AG70" s="54">
        <v>32</v>
      </c>
      <c r="AH70" s="47">
        <f t="shared" si="2"/>
        <v>30.4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66">
        <v>1.6</v>
      </c>
      <c r="C71" s="45">
        <v>0</v>
      </c>
      <c r="D71" s="45">
        <v>0</v>
      </c>
      <c r="E71" s="45">
        <v>0</v>
      </c>
      <c r="F71" s="45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1.4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8</v>
      </c>
      <c r="Z71" s="66">
        <v>8.6</v>
      </c>
      <c r="AA71" s="45">
        <v>10</v>
      </c>
      <c r="AB71" s="66">
        <v>11.1</v>
      </c>
      <c r="AC71" s="66">
        <v>11</v>
      </c>
      <c r="AD71" s="66">
        <v>11</v>
      </c>
      <c r="AE71" s="66">
        <v>11</v>
      </c>
      <c r="AF71" s="66">
        <v>5</v>
      </c>
      <c r="AG71" s="67">
        <v>14</v>
      </c>
      <c r="AH71" s="47">
        <f t="shared" si="2"/>
        <v>11.1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 t="shared" ref="B72" si="13">B69+B70+B71</f>
        <v>20.100000000000001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F72" si="14">M69+M70+M71</f>
        <v>0</v>
      </c>
      <c r="N72" s="59">
        <f t="shared" si="14"/>
        <v>0</v>
      </c>
      <c r="O72" s="59">
        <f t="shared" si="14"/>
        <v>16</v>
      </c>
      <c r="P72" s="59">
        <f t="shared" si="14"/>
        <v>0</v>
      </c>
      <c r="Q72" s="59">
        <f t="shared" si="14"/>
        <v>0</v>
      </c>
      <c r="R72" s="59">
        <f t="shared" si="14"/>
        <v>0</v>
      </c>
      <c r="S72" s="59">
        <v>0</v>
      </c>
      <c r="T72" s="59">
        <f t="shared" si="14"/>
        <v>0</v>
      </c>
      <c r="U72" s="59">
        <f t="shared" si="14"/>
        <v>0</v>
      </c>
      <c r="V72" s="59">
        <f t="shared" si="14"/>
        <v>0</v>
      </c>
      <c r="W72" s="59">
        <v>0</v>
      </c>
      <c r="X72" s="59">
        <f t="shared" si="14"/>
        <v>0</v>
      </c>
      <c r="Y72" s="59">
        <f t="shared" si="14"/>
        <v>70</v>
      </c>
      <c r="Z72" s="59">
        <f t="shared" ref="Z72" si="15">Z69+Z70+Z71</f>
        <v>82.199999999999989</v>
      </c>
      <c r="AA72" s="64">
        <f t="shared" ref="AA72" si="16">SUM(AA69:AA71)</f>
        <v>98</v>
      </c>
      <c r="AB72" s="59">
        <f t="shared" si="14"/>
        <v>101.29999999999998</v>
      </c>
      <c r="AC72" s="59">
        <f t="shared" si="14"/>
        <v>101.1</v>
      </c>
      <c r="AD72" s="59">
        <f t="shared" si="14"/>
        <v>101.1</v>
      </c>
      <c r="AE72" s="59">
        <f t="shared" si="14"/>
        <v>101.1</v>
      </c>
      <c r="AF72" s="59">
        <f t="shared" si="14"/>
        <v>67</v>
      </c>
      <c r="AG72" s="60">
        <f>SUM(AG69:AG71)</f>
        <v>106</v>
      </c>
      <c r="AH72" s="47">
        <f t="shared" si="2"/>
        <v>101.29999999999998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63.8</v>
      </c>
      <c r="C73" s="45">
        <v>59.3</v>
      </c>
      <c r="D73" s="45">
        <v>58.9</v>
      </c>
      <c r="E73" s="45">
        <v>57.5</v>
      </c>
      <c r="F73" s="45">
        <v>57.1</v>
      </c>
      <c r="G73" s="45">
        <v>72</v>
      </c>
      <c r="H73" s="45">
        <v>72</v>
      </c>
      <c r="I73" s="45">
        <v>69</v>
      </c>
      <c r="J73" s="45">
        <v>69</v>
      </c>
      <c r="K73" s="45">
        <v>69</v>
      </c>
      <c r="L73" s="45">
        <v>69</v>
      </c>
      <c r="M73" s="45">
        <v>65.3</v>
      </c>
      <c r="N73" s="45">
        <v>68.2</v>
      </c>
      <c r="O73" s="45">
        <v>69.400000000000006</v>
      </c>
      <c r="P73" s="45">
        <v>70</v>
      </c>
      <c r="Q73" s="45">
        <v>66.099999999999994</v>
      </c>
      <c r="R73" s="45">
        <v>71.8</v>
      </c>
      <c r="S73" s="45">
        <v>63.1</v>
      </c>
      <c r="T73" s="45">
        <v>63.1</v>
      </c>
      <c r="U73" s="45">
        <v>34.700000000000003</v>
      </c>
      <c r="V73" s="45">
        <v>34</v>
      </c>
      <c r="W73" s="45">
        <v>43.8</v>
      </c>
      <c r="X73" s="45">
        <v>40.700000000000003</v>
      </c>
      <c r="Y73" s="45">
        <v>46.7</v>
      </c>
      <c r="Z73" s="45">
        <v>48.6</v>
      </c>
      <c r="AA73" s="45">
        <v>48</v>
      </c>
      <c r="AB73" s="45">
        <v>66.400000000000006</v>
      </c>
      <c r="AC73" s="45">
        <v>66.400000000000006</v>
      </c>
      <c r="AD73" s="45">
        <v>54.2</v>
      </c>
      <c r="AE73" s="45">
        <v>56</v>
      </c>
      <c r="AF73" s="45">
        <v>46</v>
      </c>
      <c r="AG73" s="51"/>
      <c r="AH73" s="47">
        <f t="shared" si="2"/>
        <v>72</v>
      </c>
      <c r="AI73" s="48">
        <f t="shared" si="3"/>
        <v>34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45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-309</v>
      </c>
      <c r="C75" s="64">
        <v>-225</v>
      </c>
      <c r="D75" s="64">
        <v>-225</v>
      </c>
      <c r="E75" s="64">
        <v>-203</v>
      </c>
      <c r="F75" s="64">
        <v>-264</v>
      </c>
      <c r="G75" s="64">
        <v>-254</v>
      </c>
      <c r="H75" s="64">
        <v>-255</v>
      </c>
      <c r="I75" s="64">
        <v>-258</v>
      </c>
      <c r="J75" s="64">
        <v>-252</v>
      </c>
      <c r="K75" s="64">
        <v>-255</v>
      </c>
      <c r="L75" s="64">
        <v>-255</v>
      </c>
      <c r="M75" s="64">
        <v>-255.9</v>
      </c>
      <c r="N75" s="64">
        <v>-202.1</v>
      </c>
      <c r="O75" s="64">
        <v>-205</v>
      </c>
      <c r="P75" s="64">
        <v>-255</v>
      </c>
      <c r="Q75" s="64">
        <v>-245</v>
      </c>
      <c r="R75" s="64">
        <v>-158</v>
      </c>
      <c r="S75" s="64">
        <v>-67</v>
      </c>
      <c r="T75" s="64">
        <v>-67</v>
      </c>
      <c r="U75" s="64">
        <v>-165</v>
      </c>
      <c r="V75" s="64">
        <v>-180.6</v>
      </c>
      <c r="W75" s="64">
        <v>-222</v>
      </c>
      <c r="X75" s="64">
        <v>-235</v>
      </c>
      <c r="Y75" s="64">
        <v>-248</v>
      </c>
      <c r="Z75" s="64">
        <v>-180</v>
      </c>
      <c r="AA75" s="45">
        <v>-150</v>
      </c>
      <c r="AB75" s="64">
        <v>-181.7</v>
      </c>
      <c r="AC75" s="64">
        <v>-181.7</v>
      </c>
      <c r="AD75" s="64">
        <v>-235</v>
      </c>
      <c r="AE75" s="64">
        <v>-213</v>
      </c>
      <c r="AF75" s="64">
        <v>-173</v>
      </c>
      <c r="AG75" s="75"/>
      <c r="AH75" s="47">
        <f t="shared" si="2"/>
        <v>-67</v>
      </c>
      <c r="AI75" s="48">
        <f t="shared" si="3"/>
        <v>-309</v>
      </c>
      <c r="AK75" s="74"/>
    </row>
    <row r="76" spans="1:40" x14ac:dyDescent="0.25">
      <c r="A76" s="53" t="s">
        <v>92</v>
      </c>
      <c r="B76" s="76">
        <v>45.8</v>
      </c>
      <c r="C76" s="76">
        <v>33.299999999999997</v>
      </c>
      <c r="D76" s="76">
        <v>33.299999999999997</v>
      </c>
      <c r="E76" s="76">
        <v>33.299999999999997</v>
      </c>
      <c r="F76" s="76">
        <v>33.299999999999997</v>
      </c>
      <c r="G76" s="76">
        <v>32.5</v>
      </c>
      <c r="H76" s="76">
        <v>32.200000000000003</v>
      </c>
      <c r="I76" s="76">
        <v>32.5</v>
      </c>
      <c r="J76" s="76">
        <v>32.5</v>
      </c>
      <c r="K76" s="76">
        <v>32.5</v>
      </c>
      <c r="L76" s="76">
        <v>32.5</v>
      </c>
      <c r="M76" s="76">
        <v>31.6</v>
      </c>
      <c r="N76" s="76">
        <v>42.6</v>
      </c>
      <c r="O76" s="76">
        <v>43.4</v>
      </c>
      <c r="P76" s="76">
        <v>45.2</v>
      </c>
      <c r="Q76" s="76">
        <v>45</v>
      </c>
      <c r="R76" s="76">
        <v>45</v>
      </c>
      <c r="S76" s="76">
        <v>10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45">
        <v>10</v>
      </c>
      <c r="AB76" s="76">
        <v>10</v>
      </c>
      <c r="AC76" s="76">
        <v>10</v>
      </c>
      <c r="AD76" s="64">
        <v>10</v>
      </c>
      <c r="AE76" s="64">
        <v>10</v>
      </c>
      <c r="AF76" s="64">
        <v>10</v>
      </c>
      <c r="AG76" s="75"/>
      <c r="AH76" s="47">
        <f t="shared" si="2"/>
        <v>45.8</v>
      </c>
      <c r="AI76" s="48">
        <f t="shared" si="3"/>
        <v>10</v>
      </c>
      <c r="AK76" s="74"/>
    </row>
    <row r="77" spans="1:40" x14ac:dyDescent="0.25">
      <c r="A77" s="53" t="s">
        <v>93</v>
      </c>
      <c r="B77" s="45">
        <v>29.5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17">MAX(B77:AF77)</f>
        <v>29.5</v>
      </c>
      <c r="AI77" s="48">
        <f t="shared" ref="AI77:AI120" si="18">MIN(B77:AF77)</f>
        <v>0</v>
      </c>
      <c r="AK77" s="74"/>
    </row>
    <row r="78" spans="1:40" x14ac:dyDescent="0.25">
      <c r="A78" s="53" t="s">
        <v>94</v>
      </c>
      <c r="B78" s="77">
        <v>5</v>
      </c>
      <c r="C78" s="77">
        <v>5</v>
      </c>
      <c r="D78" s="77">
        <v>5</v>
      </c>
      <c r="E78" s="77">
        <v>5</v>
      </c>
      <c r="F78" s="77">
        <v>5</v>
      </c>
      <c r="G78" s="77">
        <v>5</v>
      </c>
      <c r="H78" s="77">
        <v>5</v>
      </c>
      <c r="I78" s="77">
        <v>5</v>
      </c>
      <c r="J78" s="77">
        <v>5</v>
      </c>
      <c r="K78" s="77">
        <v>5</v>
      </c>
      <c r="L78" s="77">
        <v>5</v>
      </c>
      <c r="M78" s="77">
        <v>5</v>
      </c>
      <c r="N78" s="77">
        <v>5</v>
      </c>
      <c r="O78" s="77">
        <v>5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45">
        <v>0</v>
      </c>
      <c r="AB78" s="45">
        <v>0</v>
      </c>
      <c r="AC78" s="45">
        <v>0</v>
      </c>
      <c r="AD78" s="77">
        <v>0</v>
      </c>
      <c r="AE78" s="77">
        <v>0</v>
      </c>
      <c r="AF78" s="77">
        <v>0</v>
      </c>
      <c r="AG78" s="75"/>
      <c r="AH78" s="47">
        <f t="shared" si="17"/>
        <v>5</v>
      </c>
      <c r="AI78" s="48">
        <f t="shared" si="18"/>
        <v>0</v>
      </c>
      <c r="AK78" s="74"/>
    </row>
    <row r="79" spans="1:40" ht="15.75" thickBot="1" x14ac:dyDescent="0.3">
      <c r="A79" s="53" t="s">
        <v>95</v>
      </c>
      <c r="B79" s="50">
        <v>0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45">
        <v>0</v>
      </c>
      <c r="AB79" s="45">
        <v>0</v>
      </c>
      <c r="AC79" s="45">
        <v>0</v>
      </c>
      <c r="AD79" s="77">
        <v>0</v>
      </c>
      <c r="AE79" s="77">
        <v>0</v>
      </c>
      <c r="AF79" s="77">
        <v>0</v>
      </c>
      <c r="AG79" s="75"/>
      <c r="AH79" s="47">
        <f t="shared" si="17"/>
        <v>0</v>
      </c>
      <c r="AI79" s="48">
        <f t="shared" si="18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50">
        <v>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45">
        <v>0</v>
      </c>
      <c r="AB80" s="45">
        <v>0</v>
      </c>
      <c r="AC80" s="45">
        <v>0</v>
      </c>
      <c r="AD80" s="77">
        <v>0</v>
      </c>
      <c r="AE80" s="77">
        <v>0</v>
      </c>
      <c r="AF80" s="77">
        <v>0</v>
      </c>
      <c r="AG80" s="75"/>
      <c r="AH80" s="47">
        <f t="shared" si="17"/>
        <v>0</v>
      </c>
      <c r="AI80" s="48">
        <f t="shared" si="18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50">
        <v>0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45">
        <v>0</v>
      </c>
      <c r="AB81" s="45">
        <v>0</v>
      </c>
      <c r="AC81" s="45">
        <v>0</v>
      </c>
      <c r="AD81" s="77">
        <v>0</v>
      </c>
      <c r="AE81" s="77">
        <v>0</v>
      </c>
      <c r="AF81" s="77">
        <v>0</v>
      </c>
      <c r="AG81" s="75"/>
      <c r="AH81" s="47">
        <f t="shared" si="17"/>
        <v>0</v>
      </c>
      <c r="AI81" s="48">
        <f t="shared" si="18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50">
        <v>0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50">
        <v>0</v>
      </c>
      <c r="P82" s="50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45">
        <v>0</v>
      </c>
      <c r="AB82" s="45">
        <v>0</v>
      </c>
      <c r="AC82" s="45">
        <v>0</v>
      </c>
      <c r="AD82" s="77">
        <v>0</v>
      </c>
      <c r="AE82" s="77">
        <v>0</v>
      </c>
      <c r="AF82" s="77">
        <v>0</v>
      </c>
      <c r="AG82" s="85"/>
      <c r="AH82" s="47">
        <f t="shared" si="17"/>
        <v>0</v>
      </c>
      <c r="AI82" s="48">
        <f t="shared" si="18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50">
        <v>0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45">
        <v>0</v>
      </c>
      <c r="AB83" s="45">
        <v>0</v>
      </c>
      <c r="AC83" s="45">
        <v>0</v>
      </c>
      <c r="AD83" s="77">
        <v>0</v>
      </c>
      <c r="AE83" s="77">
        <v>0</v>
      </c>
      <c r="AF83" s="77">
        <v>0</v>
      </c>
      <c r="AG83" s="85"/>
      <c r="AH83" s="47">
        <f t="shared" si="17"/>
        <v>0</v>
      </c>
      <c r="AI83" s="48">
        <f t="shared" si="18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" si="19">SUMIF(B73:B83,"&gt;0")</f>
        <v>144.1</v>
      </c>
      <c r="C84" s="59">
        <f t="shared" ref="C84:AF84" si="20">SUMIF(C73:C83,"&gt;0")</f>
        <v>97.6</v>
      </c>
      <c r="D84" s="59">
        <f t="shared" si="20"/>
        <v>97.199999999999989</v>
      </c>
      <c r="E84" s="59">
        <f t="shared" si="20"/>
        <v>95.8</v>
      </c>
      <c r="F84" s="59">
        <f t="shared" si="20"/>
        <v>95.4</v>
      </c>
      <c r="G84" s="59">
        <f t="shared" si="20"/>
        <v>109.5</v>
      </c>
      <c r="H84" s="59">
        <f t="shared" si="20"/>
        <v>109.2</v>
      </c>
      <c r="I84" s="59">
        <f t="shared" si="20"/>
        <v>106.5</v>
      </c>
      <c r="J84" s="59">
        <f t="shared" si="20"/>
        <v>106.5</v>
      </c>
      <c r="K84" s="59">
        <f t="shared" si="20"/>
        <v>106.5</v>
      </c>
      <c r="L84" s="59">
        <f t="shared" si="20"/>
        <v>106.5</v>
      </c>
      <c r="M84" s="59">
        <f t="shared" si="20"/>
        <v>101.9</v>
      </c>
      <c r="N84" s="59">
        <f t="shared" si="20"/>
        <v>115.80000000000001</v>
      </c>
      <c r="O84" s="59">
        <f t="shared" si="20"/>
        <v>117.80000000000001</v>
      </c>
      <c r="P84" s="59">
        <f t="shared" si="20"/>
        <v>115.2</v>
      </c>
      <c r="Q84" s="59">
        <f t="shared" si="20"/>
        <v>111.1</v>
      </c>
      <c r="R84" s="59">
        <f t="shared" si="20"/>
        <v>116.8</v>
      </c>
      <c r="S84" s="59">
        <f t="shared" si="20"/>
        <v>73.099999999999994</v>
      </c>
      <c r="T84" s="59">
        <f t="shared" si="20"/>
        <v>73.099999999999994</v>
      </c>
      <c r="U84" s="59">
        <f t="shared" si="20"/>
        <v>44.7</v>
      </c>
      <c r="V84" s="59">
        <f t="shared" si="20"/>
        <v>44</v>
      </c>
      <c r="W84" s="59">
        <f t="shared" si="20"/>
        <v>53.8</v>
      </c>
      <c r="X84" s="59">
        <f t="shared" si="20"/>
        <v>50.7</v>
      </c>
      <c r="Y84" s="59">
        <f t="shared" si="20"/>
        <v>56.7</v>
      </c>
      <c r="Z84" s="59">
        <f t="shared" si="20"/>
        <v>58.6</v>
      </c>
      <c r="AA84" s="45">
        <f t="shared" si="20"/>
        <v>58</v>
      </c>
      <c r="AB84" s="59">
        <f t="shared" si="20"/>
        <v>76.400000000000006</v>
      </c>
      <c r="AC84" s="59">
        <f t="shared" si="20"/>
        <v>76.400000000000006</v>
      </c>
      <c r="AD84" s="59">
        <f t="shared" si="20"/>
        <v>64.2</v>
      </c>
      <c r="AE84" s="59">
        <f t="shared" si="20"/>
        <v>66</v>
      </c>
      <c r="AF84" s="59">
        <f t="shared" si="20"/>
        <v>56</v>
      </c>
      <c r="AG84" s="88">
        <f>SUM(AG73:AG83)</f>
        <v>0</v>
      </c>
      <c r="AH84" s="47">
        <f t="shared" si="17"/>
        <v>144.1</v>
      </c>
      <c r="AI84" s="48">
        <f t="shared" si="18"/>
        <v>44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45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7"/>
        <v>0</v>
      </c>
      <c r="AI85" s="48">
        <f t="shared" si="18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45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7"/>
        <v>0</v>
      </c>
      <c r="AI86" s="48">
        <f t="shared" si="18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45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7"/>
        <v>0</v>
      </c>
      <c r="AI87" s="48">
        <f t="shared" si="18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45">
        <f t="shared" ref="AA88" si="21">SUM(AA85:AA87)</f>
        <v>0</v>
      </c>
      <c r="AB88" s="59"/>
      <c r="AC88" s="59"/>
      <c r="AD88" s="59"/>
      <c r="AE88" s="59"/>
      <c r="AF88" s="59"/>
      <c r="AG88" s="88">
        <f>SUM(AG85:AG87)</f>
        <v>55.4</v>
      </c>
      <c r="AH88" s="47">
        <f t="shared" si="17"/>
        <v>0</v>
      </c>
      <c r="AI88" s="48">
        <f t="shared" si="18"/>
        <v>0</v>
      </c>
    </row>
    <row r="89" spans="1:40" ht="15.75" thickBot="1" x14ac:dyDescent="0.3">
      <c r="A89" s="73" t="s">
        <v>108</v>
      </c>
      <c r="B89" s="95">
        <f t="shared" ref="B89" si="22">B50+B54+B72+B68+B84+B88</f>
        <v>1930.3399999999997</v>
      </c>
      <c r="C89" s="95">
        <f t="shared" ref="C89:AG89" si="23">C50+C54+C72+C68+C84+C88</f>
        <v>1822.7399999999998</v>
      </c>
      <c r="D89" s="95">
        <f t="shared" si="23"/>
        <v>1821.34</v>
      </c>
      <c r="E89" s="95">
        <f t="shared" si="23"/>
        <v>1782.84</v>
      </c>
      <c r="F89" s="95">
        <f t="shared" si="23"/>
        <v>1839.54</v>
      </c>
      <c r="G89" s="95">
        <f t="shared" si="23"/>
        <v>1745.8399999999997</v>
      </c>
      <c r="H89" s="95">
        <f t="shared" si="23"/>
        <v>1735.9399999999998</v>
      </c>
      <c r="I89" s="95">
        <f t="shared" si="23"/>
        <v>1759.6399999999999</v>
      </c>
      <c r="J89" s="95">
        <f t="shared" si="23"/>
        <v>1780.6399999999999</v>
      </c>
      <c r="K89" s="95">
        <f t="shared" si="23"/>
        <v>1781.3399999999997</v>
      </c>
      <c r="L89" s="95">
        <f t="shared" si="23"/>
        <v>1813.3399999999997</v>
      </c>
      <c r="M89" s="95">
        <f t="shared" si="23"/>
        <v>1843.04</v>
      </c>
      <c r="N89" s="95">
        <f t="shared" si="23"/>
        <v>1811.74</v>
      </c>
      <c r="O89" s="95">
        <f t="shared" si="23"/>
        <v>1792.1399999999999</v>
      </c>
      <c r="P89" s="95">
        <f t="shared" si="23"/>
        <v>1907.74</v>
      </c>
      <c r="Q89" s="95">
        <f t="shared" si="23"/>
        <v>1898.2399999999998</v>
      </c>
      <c r="R89" s="95">
        <f t="shared" si="23"/>
        <v>1756.9399999999998</v>
      </c>
      <c r="S89" s="95">
        <f t="shared" si="23"/>
        <v>1708.34</v>
      </c>
      <c r="T89" s="95">
        <f t="shared" si="23"/>
        <v>1757.44</v>
      </c>
      <c r="U89" s="95">
        <f t="shared" si="23"/>
        <v>1712.3400000000001</v>
      </c>
      <c r="V89" s="95">
        <f t="shared" si="23"/>
        <v>1748.24</v>
      </c>
      <c r="W89" s="95">
        <f t="shared" si="23"/>
        <v>1757.4399999999998</v>
      </c>
      <c r="X89" s="95">
        <f t="shared" si="23"/>
        <v>1718.0399999999997</v>
      </c>
      <c r="Y89" s="95">
        <f t="shared" si="23"/>
        <v>1766.0399999999997</v>
      </c>
      <c r="Z89" s="95">
        <f t="shared" si="23"/>
        <v>1832.6399999999999</v>
      </c>
      <c r="AA89" s="45">
        <f>SUM(AA50,AA54,AA68,AA72,AA84,AA88)</f>
        <v>1851.94</v>
      </c>
      <c r="AB89" s="95">
        <f t="shared" si="23"/>
        <v>1945.84</v>
      </c>
      <c r="AC89" s="95">
        <f t="shared" si="23"/>
        <v>1945.6399999999999</v>
      </c>
      <c r="AD89" s="95">
        <f t="shared" si="23"/>
        <v>1933.4399999999998</v>
      </c>
      <c r="AE89" s="95">
        <f t="shared" si="23"/>
        <v>1950.2399999999998</v>
      </c>
      <c r="AF89" s="95">
        <f t="shared" si="23"/>
        <v>1887.2399999999998</v>
      </c>
      <c r="AG89" s="60">
        <f t="shared" si="23"/>
        <v>2111.5500000000002</v>
      </c>
      <c r="AH89" s="47">
        <f t="shared" si="17"/>
        <v>1950.2399999999998</v>
      </c>
      <c r="AI89" s="48">
        <f t="shared" si="18"/>
        <v>1708.34</v>
      </c>
    </row>
    <row r="90" spans="1:40" ht="15.75" thickBot="1" x14ac:dyDescent="0.3">
      <c r="A90" s="96" t="s">
        <v>109</v>
      </c>
      <c r="B90" s="97">
        <v>90</v>
      </c>
      <c r="C90" s="97">
        <v>90</v>
      </c>
      <c r="D90" s="97">
        <v>90</v>
      </c>
      <c r="E90" s="97">
        <v>90</v>
      </c>
      <c r="F90" s="97">
        <v>90</v>
      </c>
      <c r="G90" s="97">
        <v>90</v>
      </c>
      <c r="H90" s="97">
        <v>120</v>
      </c>
      <c r="I90" s="97">
        <v>120</v>
      </c>
      <c r="J90" s="97"/>
      <c r="K90" s="97"/>
      <c r="L90" s="97"/>
      <c r="M90" s="97">
        <v>100</v>
      </c>
      <c r="N90" s="97">
        <v>100</v>
      </c>
      <c r="O90" s="97">
        <v>100</v>
      </c>
      <c r="P90" s="97">
        <v>100</v>
      </c>
      <c r="Q90" s="97">
        <v>100</v>
      </c>
      <c r="R90" s="97">
        <v>150</v>
      </c>
      <c r="S90" s="97">
        <v>75</v>
      </c>
      <c r="T90" s="97">
        <v>75</v>
      </c>
      <c r="U90" s="97">
        <v>75</v>
      </c>
      <c r="V90" s="97">
        <v>75</v>
      </c>
      <c r="W90" s="97">
        <v>75</v>
      </c>
      <c r="X90" s="97">
        <v>100</v>
      </c>
      <c r="Y90" s="97">
        <v>150</v>
      </c>
      <c r="Z90" s="97">
        <v>150</v>
      </c>
      <c r="AA90" s="97">
        <v>150</v>
      </c>
      <c r="AB90" s="97">
        <v>150</v>
      </c>
      <c r="AC90" s="97">
        <v>150</v>
      </c>
      <c r="AD90" s="97">
        <v>150</v>
      </c>
      <c r="AE90" s="97">
        <v>150</v>
      </c>
      <c r="AF90" s="97"/>
      <c r="AG90" s="88"/>
      <c r="AH90" s="47">
        <f t="shared" si="17"/>
        <v>150</v>
      </c>
      <c r="AI90" s="48">
        <f t="shared" si="18"/>
        <v>75</v>
      </c>
    </row>
    <row r="91" spans="1:40" ht="15.75" thickBot="1" x14ac:dyDescent="0.3">
      <c r="A91" s="73" t="s">
        <v>110</v>
      </c>
      <c r="B91" s="95">
        <f t="shared" ref="B91" si="24">B89+B90</f>
        <v>2020.3399999999997</v>
      </c>
      <c r="C91" s="95">
        <f t="shared" ref="C91:AF91" si="25">C89+C90</f>
        <v>1912.7399999999998</v>
      </c>
      <c r="D91" s="95">
        <f t="shared" si="25"/>
        <v>1911.34</v>
      </c>
      <c r="E91" s="95">
        <f t="shared" si="25"/>
        <v>1872.84</v>
      </c>
      <c r="F91" s="95">
        <f t="shared" si="25"/>
        <v>1929.54</v>
      </c>
      <c r="G91" s="95">
        <f t="shared" si="25"/>
        <v>1835.8399999999997</v>
      </c>
      <c r="H91" s="95">
        <f t="shared" si="25"/>
        <v>1855.9399999999998</v>
      </c>
      <c r="I91" s="95">
        <f t="shared" si="25"/>
        <v>1879.6399999999999</v>
      </c>
      <c r="J91" s="95">
        <f t="shared" si="25"/>
        <v>1780.6399999999999</v>
      </c>
      <c r="K91" s="95">
        <f t="shared" si="25"/>
        <v>1781.3399999999997</v>
      </c>
      <c r="L91" s="95">
        <f t="shared" si="25"/>
        <v>1813.3399999999997</v>
      </c>
      <c r="M91" s="95">
        <f t="shared" si="25"/>
        <v>1943.04</v>
      </c>
      <c r="N91" s="95">
        <f t="shared" si="25"/>
        <v>1911.74</v>
      </c>
      <c r="O91" s="95">
        <f t="shared" si="25"/>
        <v>1892.1399999999999</v>
      </c>
      <c r="P91" s="95">
        <f t="shared" si="25"/>
        <v>2007.74</v>
      </c>
      <c r="Q91" s="95">
        <f t="shared" si="25"/>
        <v>1998.2399999999998</v>
      </c>
      <c r="R91" s="95">
        <f t="shared" si="25"/>
        <v>1906.9399999999998</v>
      </c>
      <c r="S91" s="95">
        <f t="shared" si="25"/>
        <v>1783.34</v>
      </c>
      <c r="T91" s="95">
        <f t="shared" si="25"/>
        <v>1832.44</v>
      </c>
      <c r="U91" s="95">
        <f t="shared" si="25"/>
        <v>1787.3400000000001</v>
      </c>
      <c r="V91" s="95">
        <f t="shared" si="25"/>
        <v>1823.24</v>
      </c>
      <c r="W91" s="95">
        <f t="shared" si="25"/>
        <v>1832.4399999999998</v>
      </c>
      <c r="X91" s="95">
        <f t="shared" si="25"/>
        <v>1818.0399999999997</v>
      </c>
      <c r="Y91" s="95">
        <f t="shared" si="25"/>
        <v>1916.0399999999997</v>
      </c>
      <c r="Z91" s="95">
        <f t="shared" si="25"/>
        <v>1982.6399999999999</v>
      </c>
      <c r="AA91" s="97">
        <f t="shared" ref="AA91" si="26">SUM(AA89+AA90)</f>
        <v>2001.94</v>
      </c>
      <c r="AB91" s="95">
        <f t="shared" si="25"/>
        <v>2095.84</v>
      </c>
      <c r="AC91" s="95">
        <f t="shared" si="25"/>
        <v>2095.64</v>
      </c>
      <c r="AD91" s="95">
        <f t="shared" si="25"/>
        <v>2083.4399999999996</v>
      </c>
      <c r="AE91" s="95">
        <f t="shared" si="25"/>
        <v>2100.2399999999998</v>
      </c>
      <c r="AF91" s="95">
        <f t="shared" si="25"/>
        <v>1887.2399999999998</v>
      </c>
      <c r="AG91" s="88">
        <f>AG88+AG84+AG72+AG68+AG50+AG90</f>
        <v>1573.45</v>
      </c>
      <c r="AH91" s="47">
        <f t="shared" si="17"/>
        <v>2100.2399999999998</v>
      </c>
      <c r="AI91" s="48">
        <f t="shared" si="18"/>
        <v>1780.6399999999999</v>
      </c>
    </row>
    <row r="92" spans="1:40" ht="15.75" thickBot="1" x14ac:dyDescent="0.3">
      <c r="A92" s="73" t="s">
        <v>111</v>
      </c>
      <c r="B92" s="95">
        <f t="shared" ref="B92" si="27">B91-B99</f>
        <v>2020.3399999999997</v>
      </c>
      <c r="C92" s="95">
        <f t="shared" ref="C92:AF92" si="28">C91-C99</f>
        <v>1912.7399999999998</v>
      </c>
      <c r="D92" s="95">
        <f t="shared" si="28"/>
        <v>1911.34</v>
      </c>
      <c r="E92" s="95">
        <f t="shared" si="28"/>
        <v>1872.84</v>
      </c>
      <c r="F92" s="95">
        <f t="shared" si="28"/>
        <v>1929.54</v>
      </c>
      <c r="G92" s="95">
        <f t="shared" si="28"/>
        <v>1835.8399999999997</v>
      </c>
      <c r="H92" s="95">
        <f t="shared" si="28"/>
        <v>1855.9399999999998</v>
      </c>
      <c r="I92" s="95">
        <f t="shared" si="28"/>
        <v>1879.6399999999999</v>
      </c>
      <c r="J92" s="95">
        <f t="shared" si="28"/>
        <v>1780.6399999999999</v>
      </c>
      <c r="K92" s="95">
        <f t="shared" si="28"/>
        <v>1781.3399999999997</v>
      </c>
      <c r="L92" s="95">
        <f t="shared" si="28"/>
        <v>1813.3399999999997</v>
      </c>
      <c r="M92" s="95">
        <f t="shared" si="28"/>
        <v>1943.04</v>
      </c>
      <c r="N92" s="95">
        <f t="shared" si="28"/>
        <v>1911.74</v>
      </c>
      <c r="O92" s="95">
        <f t="shared" si="28"/>
        <v>1892.1399999999999</v>
      </c>
      <c r="P92" s="95">
        <f t="shared" si="28"/>
        <v>2007.74</v>
      </c>
      <c r="Q92" s="95">
        <f t="shared" si="28"/>
        <v>1998.2399999999998</v>
      </c>
      <c r="R92" s="95">
        <f t="shared" si="28"/>
        <v>1906.9399999999998</v>
      </c>
      <c r="S92" s="95">
        <f t="shared" si="28"/>
        <v>1783.34</v>
      </c>
      <c r="T92" s="95">
        <f t="shared" si="28"/>
        <v>1832.44</v>
      </c>
      <c r="U92" s="95">
        <f t="shared" si="28"/>
        <v>1787.3400000000001</v>
      </c>
      <c r="V92" s="95">
        <f t="shared" si="28"/>
        <v>1823.24</v>
      </c>
      <c r="W92" s="95">
        <f t="shared" si="28"/>
        <v>1832.4399999999998</v>
      </c>
      <c r="X92" s="95">
        <f t="shared" si="28"/>
        <v>1818.0399999999997</v>
      </c>
      <c r="Y92" s="95">
        <f t="shared" si="28"/>
        <v>1916.0399999999997</v>
      </c>
      <c r="Z92" s="95">
        <f t="shared" si="28"/>
        <v>1982.6399999999999</v>
      </c>
      <c r="AA92" s="97">
        <f t="shared" si="28"/>
        <v>2001.94</v>
      </c>
      <c r="AB92" s="95">
        <f t="shared" si="28"/>
        <v>2095.84</v>
      </c>
      <c r="AC92" s="95">
        <f t="shared" si="28"/>
        <v>2095.64</v>
      </c>
      <c r="AD92" s="95">
        <f t="shared" si="28"/>
        <v>2083.4399999999996</v>
      </c>
      <c r="AE92" s="95">
        <f t="shared" si="28"/>
        <v>2100.2399999999998</v>
      </c>
      <c r="AF92" s="95">
        <f t="shared" si="28"/>
        <v>1887.2399999999998</v>
      </c>
      <c r="AG92" s="88"/>
      <c r="AH92" s="47">
        <f t="shared" si="17"/>
        <v>2100.2399999999998</v>
      </c>
      <c r="AI92" s="48">
        <f t="shared" si="18"/>
        <v>1780.6399999999999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45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7"/>
        <v>0</v>
      </c>
      <c r="AI93" s="48">
        <f t="shared" si="18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45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7"/>
        <v>0</v>
      </c>
      <c r="AI94" s="48">
        <f t="shared" si="18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45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7"/>
        <v>0</v>
      </c>
      <c r="AI95" s="48">
        <f t="shared" si="18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45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7"/>
        <v>0</v>
      </c>
      <c r="AI96" s="48">
        <f t="shared" si="18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45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7"/>
        <v>0</v>
      </c>
      <c r="AI97" s="48">
        <f t="shared" si="18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45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7"/>
        <v>0</v>
      </c>
      <c r="AI98" s="48">
        <f t="shared" si="18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45">
        <f t="shared" ref="AA99" si="29">SUM(AA93:AA98)</f>
        <v>0</v>
      </c>
      <c r="AB99" s="59"/>
      <c r="AC99" s="59"/>
      <c r="AD99" s="59"/>
      <c r="AE99" s="59"/>
      <c r="AF99" s="59"/>
      <c r="AG99" s="88"/>
      <c r="AH99" s="47">
        <f t="shared" si="17"/>
        <v>0</v>
      </c>
      <c r="AI99" s="48">
        <f t="shared" si="18"/>
        <v>0</v>
      </c>
      <c r="AK99" s="74"/>
    </row>
    <row r="100" spans="1:37" ht="15.75" thickBot="1" x14ac:dyDescent="0.3">
      <c r="A100" s="73" t="s">
        <v>116</v>
      </c>
      <c r="B100" s="59">
        <f t="shared" ref="B100" si="30">B84-B99</f>
        <v>144.1</v>
      </c>
      <c r="C100" s="59">
        <f t="shared" ref="C100:AF100" si="31">C84-C99</f>
        <v>97.6</v>
      </c>
      <c r="D100" s="59">
        <f t="shared" si="31"/>
        <v>97.199999999999989</v>
      </c>
      <c r="E100" s="59">
        <f t="shared" si="31"/>
        <v>95.8</v>
      </c>
      <c r="F100" s="59">
        <f t="shared" si="31"/>
        <v>95.4</v>
      </c>
      <c r="G100" s="59">
        <f t="shared" si="31"/>
        <v>109.5</v>
      </c>
      <c r="H100" s="59">
        <f t="shared" si="31"/>
        <v>109.2</v>
      </c>
      <c r="I100" s="59">
        <f t="shared" si="31"/>
        <v>106.5</v>
      </c>
      <c r="J100" s="59">
        <f t="shared" si="31"/>
        <v>106.5</v>
      </c>
      <c r="K100" s="59">
        <f t="shared" si="31"/>
        <v>106.5</v>
      </c>
      <c r="L100" s="59">
        <f t="shared" si="31"/>
        <v>106.5</v>
      </c>
      <c r="M100" s="59">
        <f t="shared" si="31"/>
        <v>101.9</v>
      </c>
      <c r="N100" s="59">
        <f t="shared" si="31"/>
        <v>115.80000000000001</v>
      </c>
      <c r="O100" s="59">
        <f t="shared" si="31"/>
        <v>117.80000000000001</v>
      </c>
      <c r="P100" s="59">
        <f t="shared" si="31"/>
        <v>115.2</v>
      </c>
      <c r="Q100" s="59">
        <f t="shared" si="31"/>
        <v>111.1</v>
      </c>
      <c r="R100" s="59">
        <f t="shared" si="31"/>
        <v>116.8</v>
      </c>
      <c r="S100" s="59">
        <f t="shared" si="31"/>
        <v>73.099999999999994</v>
      </c>
      <c r="T100" s="59">
        <f t="shared" si="31"/>
        <v>73.099999999999994</v>
      </c>
      <c r="U100" s="59">
        <f t="shared" si="31"/>
        <v>44.7</v>
      </c>
      <c r="V100" s="59">
        <f t="shared" si="31"/>
        <v>44</v>
      </c>
      <c r="W100" s="59">
        <f t="shared" si="31"/>
        <v>53.8</v>
      </c>
      <c r="X100" s="59">
        <f t="shared" si="31"/>
        <v>50.7</v>
      </c>
      <c r="Y100" s="59">
        <f t="shared" si="31"/>
        <v>56.7</v>
      </c>
      <c r="Z100" s="59">
        <f t="shared" si="31"/>
        <v>58.6</v>
      </c>
      <c r="AA100" s="59">
        <f t="shared" si="31"/>
        <v>58</v>
      </c>
      <c r="AB100" s="59">
        <f t="shared" si="31"/>
        <v>76.400000000000006</v>
      </c>
      <c r="AC100" s="59">
        <f t="shared" si="31"/>
        <v>76.400000000000006</v>
      </c>
      <c r="AD100" s="59">
        <f t="shared" si="31"/>
        <v>64.2</v>
      </c>
      <c r="AE100" s="59">
        <f t="shared" si="31"/>
        <v>66</v>
      </c>
      <c r="AF100" s="59">
        <f t="shared" si="31"/>
        <v>56</v>
      </c>
      <c r="AG100" s="88"/>
      <c r="AH100" s="47">
        <f t="shared" si="17"/>
        <v>144.1</v>
      </c>
      <c r="AI100" s="48">
        <f t="shared" si="18"/>
        <v>44</v>
      </c>
    </row>
    <row r="101" spans="1:37" ht="15.75" thickBot="1" x14ac:dyDescent="0.3">
      <c r="A101" s="100" t="s">
        <v>117</v>
      </c>
      <c r="B101" s="101">
        <v>50.015999999999998</v>
      </c>
      <c r="C101" s="101">
        <v>50.000999999999998</v>
      </c>
      <c r="D101" s="101">
        <v>50.009</v>
      </c>
      <c r="E101" s="101">
        <v>50.064</v>
      </c>
      <c r="F101" s="101">
        <v>50.098999999999997</v>
      </c>
      <c r="G101" s="101">
        <v>49.96</v>
      </c>
      <c r="H101" s="101">
        <v>49.937440000000002</v>
      </c>
      <c r="I101" s="101">
        <v>49.984999999999999</v>
      </c>
      <c r="J101" s="101">
        <v>49.96</v>
      </c>
      <c r="K101" s="101">
        <v>49.97</v>
      </c>
      <c r="L101" s="101">
        <v>49.97</v>
      </c>
      <c r="M101" s="101">
        <v>49.978999999999999</v>
      </c>
      <c r="N101" s="101">
        <v>50.027000000000001</v>
      </c>
      <c r="O101" s="101">
        <v>50.06</v>
      </c>
      <c r="P101" s="101">
        <v>49.859000000000002</v>
      </c>
      <c r="Q101" s="101">
        <v>50.036999999999999</v>
      </c>
      <c r="R101" s="101">
        <v>50.052999999999997</v>
      </c>
      <c r="S101" s="101">
        <v>49.89</v>
      </c>
      <c r="T101" s="101">
        <v>49.93</v>
      </c>
      <c r="U101" s="101">
        <v>50.01</v>
      </c>
      <c r="V101" s="101">
        <v>50.1</v>
      </c>
      <c r="W101" s="101">
        <v>50.14</v>
      </c>
      <c r="X101" s="101">
        <v>50.02</v>
      </c>
      <c r="Y101" s="101">
        <v>50.05</v>
      </c>
      <c r="Z101" s="101">
        <v>49.99</v>
      </c>
      <c r="AA101" s="59">
        <v>50.1</v>
      </c>
      <c r="AB101" s="101">
        <v>50.121000000000002</v>
      </c>
      <c r="AC101" s="101">
        <v>50.121000000000002</v>
      </c>
      <c r="AD101" s="101">
        <v>50.045999999999999</v>
      </c>
      <c r="AE101" s="101">
        <v>49.957000000000001</v>
      </c>
      <c r="AF101" s="101">
        <v>49.957000000000001</v>
      </c>
      <c r="AG101" s="102"/>
      <c r="AH101" s="47">
        <f t="shared" si="17"/>
        <v>50.14</v>
      </c>
      <c r="AI101" s="48">
        <f t="shared" si="18"/>
        <v>49.859000000000002</v>
      </c>
    </row>
    <row r="102" spans="1:37" ht="15.75" thickBot="1" x14ac:dyDescent="0.3">
      <c r="A102" s="103" t="s">
        <v>118</v>
      </c>
      <c r="B102" s="64">
        <v>122.9</v>
      </c>
      <c r="C102" s="64">
        <v>121.7</v>
      </c>
      <c r="D102" s="64">
        <v>121.7</v>
      </c>
      <c r="E102" s="64">
        <v>121.2</v>
      </c>
      <c r="F102" s="64">
        <v>122.4</v>
      </c>
      <c r="G102" s="64">
        <v>122.6</v>
      </c>
      <c r="H102" s="64">
        <v>124</v>
      </c>
      <c r="I102" s="64">
        <v>124</v>
      </c>
      <c r="J102" s="64">
        <v>123.6</v>
      </c>
      <c r="K102" s="64">
        <v>122.7</v>
      </c>
      <c r="L102" s="64">
        <v>122.7</v>
      </c>
      <c r="M102" s="64">
        <v>121.9</v>
      </c>
      <c r="N102" s="64">
        <v>120.9</v>
      </c>
      <c r="O102" s="64">
        <v>124.7</v>
      </c>
      <c r="P102" s="64">
        <v>123.6</v>
      </c>
      <c r="Q102" s="64">
        <v>122.4</v>
      </c>
      <c r="R102" s="64">
        <v>122.5</v>
      </c>
      <c r="S102" s="64">
        <v>122.1</v>
      </c>
      <c r="T102" s="64">
        <v>122.1</v>
      </c>
      <c r="U102" s="64">
        <v>123.5</v>
      </c>
      <c r="V102" s="64">
        <v>123.5</v>
      </c>
      <c r="W102" s="64">
        <v>123.3</v>
      </c>
      <c r="X102" s="64">
        <v>125.6</v>
      </c>
      <c r="Y102" s="64">
        <v>126.6</v>
      </c>
      <c r="Z102" s="64">
        <v>126.4</v>
      </c>
      <c r="AA102" s="59">
        <v>126.3</v>
      </c>
      <c r="AB102" s="64">
        <v>126.3</v>
      </c>
      <c r="AC102" s="64">
        <v>126.3</v>
      </c>
      <c r="AD102" s="64">
        <v>126.1</v>
      </c>
      <c r="AE102" s="64">
        <v>125.4</v>
      </c>
      <c r="AF102" s="64">
        <v>125.4</v>
      </c>
      <c r="AG102" s="104"/>
      <c r="AH102" s="47">
        <f t="shared" si="17"/>
        <v>126.6</v>
      </c>
      <c r="AI102" s="48">
        <f t="shared" si="18"/>
        <v>120.9</v>
      </c>
    </row>
    <row r="103" spans="1:37" ht="15.75" thickBot="1" x14ac:dyDescent="0.3">
      <c r="A103" s="103" t="s">
        <v>119</v>
      </c>
      <c r="B103" s="64">
        <v>128.30000000000001</v>
      </c>
      <c r="C103" s="64">
        <v>128.30000000000001</v>
      </c>
      <c r="D103" s="64">
        <v>128.30000000000001</v>
      </c>
      <c r="E103" s="64">
        <v>128.30000000000001</v>
      </c>
      <c r="F103" s="64">
        <v>127.8</v>
      </c>
      <c r="G103" s="64">
        <v>127</v>
      </c>
      <c r="H103" s="64">
        <v>128</v>
      </c>
      <c r="I103" s="64">
        <v>128</v>
      </c>
      <c r="J103" s="64">
        <v>127.5</v>
      </c>
      <c r="K103" s="64">
        <v>126.8</v>
      </c>
      <c r="L103" s="64">
        <v>126.8</v>
      </c>
      <c r="M103" s="64">
        <v>125.5</v>
      </c>
      <c r="N103" s="64">
        <v>125.3</v>
      </c>
      <c r="O103" s="64">
        <v>128</v>
      </c>
      <c r="P103" s="64">
        <v>127.2</v>
      </c>
      <c r="Q103" s="64">
        <v>126.8</v>
      </c>
      <c r="R103" s="64">
        <v>127</v>
      </c>
      <c r="S103" s="64">
        <v>126.6</v>
      </c>
      <c r="T103" s="64">
        <v>126.6</v>
      </c>
      <c r="U103" s="64">
        <v>127.9</v>
      </c>
      <c r="V103" s="64">
        <v>127.2</v>
      </c>
      <c r="W103" s="64">
        <v>123.3</v>
      </c>
      <c r="X103" s="64">
        <v>129</v>
      </c>
      <c r="Y103" s="64">
        <v>129.80000000000001</v>
      </c>
      <c r="Z103" s="64">
        <v>128.9</v>
      </c>
      <c r="AA103" s="59">
        <v>128.9</v>
      </c>
      <c r="AB103" s="64">
        <v>129.5</v>
      </c>
      <c r="AC103" s="64">
        <v>129.5</v>
      </c>
      <c r="AD103" s="64">
        <v>129.19999999999999</v>
      </c>
      <c r="AE103" s="64">
        <v>129.9</v>
      </c>
      <c r="AF103" s="64">
        <v>129.9</v>
      </c>
      <c r="AG103" s="104"/>
      <c r="AH103" s="47">
        <f t="shared" si="17"/>
        <v>129.9</v>
      </c>
      <c r="AI103" s="48">
        <f t="shared" si="18"/>
        <v>123.3</v>
      </c>
    </row>
    <row r="104" spans="1:37" ht="15.75" thickBot="1" x14ac:dyDescent="0.3">
      <c r="A104" s="103" t="s">
        <v>120</v>
      </c>
      <c r="B104" s="64">
        <v>126.2</v>
      </c>
      <c r="C104" s="64">
        <v>126.2</v>
      </c>
      <c r="D104" s="64">
        <v>126.2</v>
      </c>
      <c r="E104" s="64">
        <v>126.2</v>
      </c>
      <c r="F104" s="64">
        <v>128.69999999999999</v>
      </c>
      <c r="G104" s="64">
        <v>129</v>
      </c>
      <c r="H104" s="64">
        <v>131</v>
      </c>
      <c r="I104" s="64">
        <v>131</v>
      </c>
      <c r="J104" s="64">
        <v>130.19999999999999</v>
      </c>
      <c r="K104" s="64">
        <v>127</v>
      </c>
      <c r="L104" s="64">
        <v>127</v>
      </c>
      <c r="M104" s="64">
        <v>127.8</v>
      </c>
      <c r="N104" s="64">
        <v>127.1</v>
      </c>
      <c r="O104" s="64">
        <v>126.7</v>
      </c>
      <c r="P104" s="64">
        <v>126.7</v>
      </c>
      <c r="Q104" s="64">
        <v>128.9</v>
      </c>
      <c r="R104" s="64">
        <v>129.1</v>
      </c>
      <c r="S104" s="64">
        <v>128.9</v>
      </c>
      <c r="T104" s="64">
        <v>128.9</v>
      </c>
      <c r="U104" s="64">
        <v>128.69999999999999</v>
      </c>
      <c r="V104" s="64">
        <v>126.8</v>
      </c>
      <c r="W104" s="64">
        <v>127</v>
      </c>
      <c r="X104" s="64">
        <v>129.5</v>
      </c>
      <c r="Y104" s="64">
        <v>130.4</v>
      </c>
      <c r="Z104" s="64">
        <v>128.30000000000001</v>
      </c>
      <c r="AA104" s="59">
        <v>127.8</v>
      </c>
      <c r="AB104" s="64">
        <v>131.19999999999999</v>
      </c>
      <c r="AC104" s="64">
        <v>131.19999999999999</v>
      </c>
      <c r="AD104" s="64">
        <v>129.9</v>
      </c>
      <c r="AE104" s="64">
        <v>129.9</v>
      </c>
      <c r="AF104" s="64">
        <v>129.9</v>
      </c>
      <c r="AG104" s="104"/>
      <c r="AH104" s="47">
        <f t="shared" si="17"/>
        <v>131.19999999999999</v>
      </c>
      <c r="AI104" s="48">
        <f t="shared" si="18"/>
        <v>126.2</v>
      </c>
    </row>
    <row r="105" spans="1:37" ht="15.75" thickBot="1" x14ac:dyDescent="0.3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59"/>
      <c r="AB105" s="64"/>
      <c r="AC105" s="64"/>
      <c r="AD105" s="64"/>
      <c r="AE105" s="64"/>
      <c r="AF105" s="64"/>
      <c r="AG105" s="104"/>
      <c r="AH105" s="47">
        <f t="shared" si="17"/>
        <v>0</v>
      </c>
      <c r="AI105" s="48">
        <f t="shared" si="18"/>
        <v>0</v>
      </c>
    </row>
    <row r="106" spans="1:37" ht="15.75" thickBot="1" x14ac:dyDescent="0.3">
      <c r="A106" s="105" t="s">
        <v>122</v>
      </c>
      <c r="B106" s="106">
        <v>135.1</v>
      </c>
      <c r="C106" s="106">
        <v>135.1</v>
      </c>
      <c r="D106" s="106">
        <v>135.1</v>
      </c>
      <c r="E106" s="106">
        <v>135.1</v>
      </c>
      <c r="F106" s="106">
        <v>130</v>
      </c>
      <c r="G106" s="106">
        <v>126</v>
      </c>
      <c r="H106" s="106">
        <v>129</v>
      </c>
      <c r="I106" s="106">
        <v>129</v>
      </c>
      <c r="J106" s="106">
        <v>130.9</v>
      </c>
      <c r="K106" s="106">
        <v>131.4</v>
      </c>
      <c r="L106" s="106">
        <v>131.4</v>
      </c>
      <c r="M106" s="106">
        <v>132.19999999999999</v>
      </c>
      <c r="N106" s="106">
        <v>133.1</v>
      </c>
      <c r="O106" s="106">
        <v>133.1</v>
      </c>
      <c r="P106" s="106">
        <v>132.9</v>
      </c>
      <c r="Q106" s="106">
        <v>127.6</v>
      </c>
      <c r="R106" s="106">
        <v>130</v>
      </c>
      <c r="S106" s="106">
        <v>131.69999999999999</v>
      </c>
      <c r="T106" s="106">
        <v>131.69999999999999</v>
      </c>
      <c r="U106" s="106">
        <v>131.19999999999999</v>
      </c>
      <c r="V106" s="106">
        <v>130.69999999999999</v>
      </c>
      <c r="W106" s="106">
        <v>128</v>
      </c>
      <c r="X106" s="106">
        <v>131.19999999999999</v>
      </c>
      <c r="Y106" s="106">
        <v>130</v>
      </c>
      <c r="Z106" s="106">
        <v>130.9</v>
      </c>
      <c r="AA106" s="59">
        <v>132</v>
      </c>
      <c r="AB106" s="106">
        <v>135.19999999999999</v>
      </c>
      <c r="AC106" s="106">
        <v>135.19999999999999</v>
      </c>
      <c r="AD106" s="106">
        <v>129.30000000000001</v>
      </c>
      <c r="AE106" s="106">
        <v>134.80000000000001</v>
      </c>
      <c r="AF106" s="106">
        <v>134.80000000000001</v>
      </c>
      <c r="AG106" s="107"/>
      <c r="AH106" s="47">
        <f t="shared" si="17"/>
        <v>135.19999999999999</v>
      </c>
      <c r="AI106" s="48">
        <f t="shared" si="18"/>
        <v>126</v>
      </c>
    </row>
    <row r="107" spans="1:37" ht="15.75" thickBot="1" x14ac:dyDescent="0.3">
      <c r="A107" s="103" t="s">
        <v>123</v>
      </c>
      <c r="B107" s="64">
        <v>129.69999999999999</v>
      </c>
      <c r="C107" s="64">
        <v>129.69999999999999</v>
      </c>
      <c r="D107" s="64">
        <v>129.69999999999999</v>
      </c>
      <c r="E107" s="64">
        <v>129.69999999999999</v>
      </c>
      <c r="F107" s="64">
        <v>128.19999999999999</v>
      </c>
      <c r="G107" s="64">
        <v>120</v>
      </c>
      <c r="H107" s="64">
        <v>126</v>
      </c>
      <c r="I107" s="64">
        <v>126</v>
      </c>
      <c r="J107" s="64">
        <v>126.4</v>
      </c>
      <c r="K107" s="64">
        <v>127.9</v>
      </c>
      <c r="L107" s="64">
        <v>127.9</v>
      </c>
      <c r="M107" s="64">
        <v>132.6</v>
      </c>
      <c r="N107" s="64">
        <v>132.69999999999999</v>
      </c>
      <c r="O107" s="64">
        <v>135.5</v>
      </c>
      <c r="P107" s="64">
        <v>130.69999999999999</v>
      </c>
      <c r="Q107" s="64">
        <v>122.9</v>
      </c>
      <c r="R107" s="64">
        <v>125.5</v>
      </c>
      <c r="S107" s="64">
        <v>126.9</v>
      </c>
      <c r="T107" s="64">
        <v>126.9</v>
      </c>
      <c r="U107" s="64">
        <v>126.9</v>
      </c>
      <c r="V107" s="64">
        <v>132.6</v>
      </c>
      <c r="W107" s="64">
        <v>126.7</v>
      </c>
      <c r="X107" s="64">
        <v>126.3</v>
      </c>
      <c r="Y107" s="64">
        <v>126.2</v>
      </c>
      <c r="Z107" s="64">
        <v>130.30000000000001</v>
      </c>
      <c r="AA107" s="59">
        <v>126.2</v>
      </c>
      <c r="AB107" s="64">
        <v>126</v>
      </c>
      <c r="AC107" s="64">
        <v>126</v>
      </c>
      <c r="AD107" s="64">
        <v>126.1</v>
      </c>
      <c r="AE107" s="64">
        <v>133</v>
      </c>
      <c r="AF107" s="64">
        <v>133</v>
      </c>
      <c r="AG107" s="104"/>
      <c r="AH107" s="47">
        <f t="shared" si="17"/>
        <v>135.5</v>
      </c>
      <c r="AI107" s="48">
        <f t="shared" si="18"/>
        <v>120</v>
      </c>
    </row>
    <row r="108" spans="1:37" ht="15.75" thickBot="1" x14ac:dyDescent="0.3">
      <c r="A108" s="103" t="s">
        <v>124</v>
      </c>
      <c r="B108" s="92">
        <v>64.2</v>
      </c>
      <c r="C108" s="92">
        <v>64.2</v>
      </c>
      <c r="D108" s="92">
        <v>64.2</v>
      </c>
      <c r="E108" s="92">
        <v>64.2</v>
      </c>
      <c r="F108" s="92">
        <v>63.9</v>
      </c>
      <c r="G108" s="92">
        <v>63.8</v>
      </c>
      <c r="H108" s="92">
        <v>64.400000000000006</v>
      </c>
      <c r="I108" s="92">
        <v>64.400000000000006</v>
      </c>
      <c r="J108" s="92">
        <v>64</v>
      </c>
      <c r="K108" s="92">
        <v>63.1</v>
      </c>
      <c r="L108" s="92">
        <v>63.1</v>
      </c>
      <c r="M108" s="92">
        <v>62.4</v>
      </c>
      <c r="N108" s="92">
        <v>62.7</v>
      </c>
      <c r="O108" s="92">
        <v>64.099999999999994</v>
      </c>
      <c r="P108" s="92">
        <v>63.4</v>
      </c>
      <c r="Q108" s="92">
        <v>63.4</v>
      </c>
      <c r="R108" s="92">
        <v>63.2</v>
      </c>
      <c r="S108" s="92">
        <v>63.3</v>
      </c>
      <c r="T108" s="92">
        <v>63.3</v>
      </c>
      <c r="U108" s="92">
        <v>63.3</v>
      </c>
      <c r="V108" s="92">
        <v>63.5</v>
      </c>
      <c r="W108" s="92">
        <v>64</v>
      </c>
      <c r="X108" s="92">
        <v>64.599999999999994</v>
      </c>
      <c r="Y108" s="92">
        <v>65</v>
      </c>
      <c r="Z108" s="92">
        <v>64.400000000000006</v>
      </c>
      <c r="AA108" s="59">
        <v>64.3</v>
      </c>
      <c r="AB108" s="92">
        <v>64.599999999999994</v>
      </c>
      <c r="AC108" s="92">
        <v>64.599999999999994</v>
      </c>
      <c r="AD108" s="92">
        <v>64.599999999999994</v>
      </c>
      <c r="AE108" s="92">
        <v>65</v>
      </c>
      <c r="AF108" s="92">
        <v>65</v>
      </c>
      <c r="AG108" s="108"/>
      <c r="AH108" s="47">
        <f t="shared" si="17"/>
        <v>65</v>
      </c>
      <c r="AI108" s="48">
        <f t="shared" si="18"/>
        <v>62.4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179" t="str">
        <f>IF(AA92=MAX($B$93:$F$93),"PN","")</f>
        <v/>
      </c>
      <c r="AB109" s="92"/>
      <c r="AC109" s="92"/>
      <c r="AD109" s="92"/>
      <c r="AE109" s="92"/>
      <c r="AF109" s="92"/>
      <c r="AG109" s="108"/>
      <c r="AH109" s="47">
        <f t="shared" si="17"/>
        <v>0</v>
      </c>
      <c r="AI109" s="48">
        <f t="shared" si="18"/>
        <v>0</v>
      </c>
    </row>
    <row r="110" spans="1:37" ht="16.5" thickBot="1" x14ac:dyDescent="0.3">
      <c r="A110" s="110" t="s">
        <v>126</v>
      </c>
      <c r="B110" s="111">
        <f t="shared" ref="B110" si="32">SUM(B20,B26,B29:B30,B58,B60:B61,B63,B65,B111:B115,B138,B144,B150,B159,B161,B173,B180,B183:B184,B191,B193,B195,B199:B201,B203:B205,B210,B216:B217,B219:B221,B229,B234)</f>
        <v>99.3</v>
      </c>
      <c r="C110" s="111">
        <f t="shared" ref="C110:O110" si="33">SUM(C20,C26,C29:C30,C58,C60:C61,C63,C65,C111:C115,C138,C144,C150,C159,C161,C173,C180,C183:C184,C191,C193,C195,C199:C201,C203:C205,C210,C216:C217,C219:C221,C229,C234)</f>
        <v>73.839999999999975</v>
      </c>
      <c r="D110" s="111">
        <f t="shared" si="33"/>
        <v>73.839999999999975</v>
      </c>
      <c r="E110" s="111">
        <f t="shared" si="33"/>
        <v>100.04000000000002</v>
      </c>
      <c r="F110" s="111">
        <f t="shared" si="33"/>
        <v>86.739999999999981</v>
      </c>
      <c r="G110" s="111">
        <f t="shared" si="33"/>
        <v>106.74000000000001</v>
      </c>
      <c r="H110" s="111">
        <f t="shared" si="33"/>
        <v>110.64000000000004</v>
      </c>
      <c r="I110" s="111">
        <f t="shared" si="33"/>
        <v>128.23999999999998</v>
      </c>
      <c r="J110" s="111">
        <f t="shared" si="33"/>
        <v>144.94</v>
      </c>
      <c r="K110" s="111">
        <f t="shared" si="33"/>
        <v>167.04</v>
      </c>
      <c r="L110" s="111">
        <f t="shared" si="33"/>
        <v>177.04</v>
      </c>
      <c r="M110" s="111">
        <f t="shared" si="33"/>
        <v>212.93999999999997</v>
      </c>
      <c r="N110" s="111">
        <f t="shared" si="33"/>
        <v>222.04</v>
      </c>
      <c r="O110" s="111">
        <f t="shared" si="33"/>
        <v>208.34</v>
      </c>
      <c r="P110" s="111">
        <v>42</v>
      </c>
      <c r="Q110" s="111">
        <f t="shared" ref="Q110:AF110" si="34">SUM(Q20,Q26,Q29:Q30,Q58,Q60:Q61,Q63,Q65,Q111:Q115,Q138,Q144,Q150,Q159,Q161,Q173,Q180,Q183:Q184,Q191,Q193,Q195,Q199:Q201,Q203:Q205,Q210,Q216:Q217,Q219:Q221,Q229,Q234)</f>
        <v>185.1</v>
      </c>
      <c r="R110" s="111">
        <f t="shared" si="34"/>
        <v>173.99999999999997</v>
      </c>
      <c r="S110" s="111">
        <f t="shared" si="34"/>
        <v>195.89999999999998</v>
      </c>
      <c r="T110" s="111">
        <f t="shared" si="34"/>
        <v>191.8</v>
      </c>
      <c r="U110" s="111">
        <f t="shared" si="34"/>
        <v>194.89999999999998</v>
      </c>
      <c r="V110" s="111">
        <f t="shared" si="34"/>
        <v>206.1</v>
      </c>
      <c r="W110" s="111">
        <f t="shared" si="34"/>
        <v>199.9</v>
      </c>
      <c r="X110" s="111">
        <f t="shared" si="34"/>
        <v>200.5</v>
      </c>
      <c r="Y110" s="111">
        <f t="shared" si="34"/>
        <v>195.90000000000006</v>
      </c>
      <c r="Z110" s="111">
        <f t="shared" si="34"/>
        <v>234.30000000000004</v>
      </c>
      <c r="AA110" s="176">
        <f t="shared" ref="AA110" si="35">SUM(AA155,AA111:AA115,AA14,AA23,AA29,AA37,AA40,AA58,AA60:AA61,AA63,AA65)</f>
        <v>252.60000000000002</v>
      </c>
      <c r="AB110" s="111">
        <f t="shared" si="34"/>
        <v>231.60000000000002</v>
      </c>
      <c r="AC110" s="111">
        <f t="shared" si="34"/>
        <v>231.60000000000002</v>
      </c>
      <c r="AD110" s="111"/>
      <c r="AE110" s="111">
        <f t="shared" si="34"/>
        <v>199.4</v>
      </c>
      <c r="AF110" s="111">
        <f t="shared" si="34"/>
        <v>194.1</v>
      </c>
      <c r="AG110" s="112"/>
      <c r="AH110" s="47">
        <f t="shared" si="17"/>
        <v>252.60000000000002</v>
      </c>
      <c r="AI110" s="48">
        <f t="shared" si="18"/>
        <v>42</v>
      </c>
    </row>
    <row r="111" spans="1:37" x14ac:dyDescent="0.25">
      <c r="A111" s="100" t="s">
        <v>127</v>
      </c>
      <c r="B111" s="113">
        <v>25.5</v>
      </c>
      <c r="C111" s="113">
        <v>29.6</v>
      </c>
      <c r="D111" s="113">
        <v>29.6</v>
      </c>
      <c r="E111" s="113">
        <v>33.1</v>
      </c>
      <c r="F111" s="113">
        <v>24.4</v>
      </c>
      <c r="G111" s="113">
        <v>32.200000000000003</v>
      </c>
      <c r="H111" s="113">
        <v>30.8</v>
      </c>
      <c r="I111" s="113">
        <v>42.6</v>
      </c>
      <c r="J111" s="113">
        <v>43.1</v>
      </c>
      <c r="K111" s="113">
        <v>43.3</v>
      </c>
      <c r="L111" s="113">
        <v>43.3</v>
      </c>
      <c r="M111" s="113">
        <v>63.7</v>
      </c>
      <c r="N111" s="113">
        <v>66.400000000000006</v>
      </c>
      <c r="O111" s="113">
        <v>36.1</v>
      </c>
      <c r="P111" s="113">
        <v>29.4</v>
      </c>
      <c r="Q111" s="113">
        <v>23.6</v>
      </c>
      <c r="R111" s="113">
        <v>27.3</v>
      </c>
      <c r="S111" s="113">
        <v>29.1</v>
      </c>
      <c r="T111" s="113">
        <v>31.5</v>
      </c>
      <c r="U111" s="113">
        <v>42.8</v>
      </c>
      <c r="V111" s="113">
        <v>56.5</v>
      </c>
      <c r="W111" s="113">
        <v>61.2</v>
      </c>
      <c r="X111" s="113">
        <v>51.1</v>
      </c>
      <c r="Y111" s="113">
        <v>44.4</v>
      </c>
      <c r="Z111" s="113">
        <v>54.7</v>
      </c>
      <c r="AA111" s="113">
        <v>43.7</v>
      </c>
      <c r="AB111" s="113">
        <v>44.8</v>
      </c>
      <c r="AC111" s="113">
        <v>44.8</v>
      </c>
      <c r="AD111" s="113">
        <v>37.1</v>
      </c>
      <c r="AE111" s="113">
        <v>22.1</v>
      </c>
      <c r="AF111" s="113">
        <v>35</v>
      </c>
      <c r="AG111" s="114">
        <v>75</v>
      </c>
      <c r="AH111" s="47">
        <f t="shared" si="17"/>
        <v>66.400000000000006</v>
      </c>
      <c r="AI111" s="48">
        <f t="shared" si="18"/>
        <v>22.1</v>
      </c>
    </row>
    <row r="112" spans="1:37" x14ac:dyDescent="0.25">
      <c r="A112" s="103" t="s">
        <v>128</v>
      </c>
      <c r="B112" s="115">
        <v>49.4</v>
      </c>
      <c r="C112" s="115">
        <v>54.2</v>
      </c>
      <c r="D112" s="115">
        <v>54.2</v>
      </c>
      <c r="E112" s="115">
        <v>53.6</v>
      </c>
      <c r="F112" s="115">
        <v>47.7</v>
      </c>
      <c r="G112" s="115">
        <v>55.6</v>
      </c>
      <c r="H112" s="115">
        <v>56</v>
      </c>
      <c r="I112" s="115">
        <v>67.400000000000006</v>
      </c>
      <c r="J112" s="115">
        <v>65.2</v>
      </c>
      <c r="K112" s="115">
        <v>63.7</v>
      </c>
      <c r="L112" s="115">
        <v>63.7</v>
      </c>
      <c r="M112" s="115">
        <v>95.5</v>
      </c>
      <c r="N112" s="115">
        <v>99.6</v>
      </c>
      <c r="O112" s="115">
        <v>54.3</v>
      </c>
      <c r="P112" s="115">
        <v>46.7</v>
      </c>
      <c r="Q112" s="115">
        <v>42.8</v>
      </c>
      <c r="R112" s="115">
        <v>47.8</v>
      </c>
      <c r="S112" s="115">
        <v>47.7</v>
      </c>
      <c r="T112" s="115">
        <v>56.9</v>
      </c>
      <c r="U112" s="115">
        <v>71</v>
      </c>
      <c r="V112" s="115">
        <v>90.1</v>
      </c>
      <c r="W112" s="115">
        <v>93.3</v>
      </c>
      <c r="X112" s="115">
        <v>76.099999999999994</v>
      </c>
      <c r="Y112" s="115">
        <v>68.400000000000006</v>
      </c>
      <c r="Z112" s="115">
        <v>81.5</v>
      </c>
      <c r="AA112" s="177">
        <v>64</v>
      </c>
      <c r="AB112" s="115">
        <v>64.400000000000006</v>
      </c>
      <c r="AC112" s="115">
        <v>64.400000000000006</v>
      </c>
      <c r="AD112" s="115">
        <v>63.8</v>
      </c>
      <c r="AE112" s="115">
        <v>41.2</v>
      </c>
      <c r="AF112" s="115">
        <v>50</v>
      </c>
      <c r="AG112" s="114">
        <v>240</v>
      </c>
      <c r="AH112" s="47">
        <f t="shared" si="17"/>
        <v>99.6</v>
      </c>
      <c r="AI112" s="48">
        <f t="shared" si="18"/>
        <v>41.2</v>
      </c>
    </row>
    <row r="113" spans="1:37" x14ac:dyDescent="0.25">
      <c r="A113" s="103" t="s">
        <v>129</v>
      </c>
      <c r="B113" s="115">
        <v>-160</v>
      </c>
      <c r="C113" s="115">
        <v>-180</v>
      </c>
      <c r="D113" s="115">
        <v>-180</v>
      </c>
      <c r="E113" s="115">
        <v>-162</v>
      </c>
      <c r="F113" s="115">
        <v>-160</v>
      </c>
      <c r="G113" s="115">
        <v>-157</v>
      </c>
      <c r="H113" s="115">
        <v>-155</v>
      </c>
      <c r="I113" s="115">
        <v>-167</v>
      </c>
      <c r="J113" s="115">
        <v>-155</v>
      </c>
      <c r="K113" s="115">
        <v>-134</v>
      </c>
      <c r="L113" s="115">
        <v>-134</v>
      </c>
      <c r="M113" s="115">
        <v>-145</v>
      </c>
      <c r="N113" s="115">
        <v>-146</v>
      </c>
      <c r="O113" s="115">
        <v>-101.5</v>
      </c>
      <c r="P113" s="115">
        <v>-98</v>
      </c>
      <c r="Q113" s="115">
        <v>-92</v>
      </c>
      <c r="R113" s="115">
        <v>-109</v>
      </c>
      <c r="S113" s="115">
        <f>-42-46</f>
        <v>-88</v>
      </c>
      <c r="T113" s="115">
        <f>-50.1-53.6</f>
        <v>-103.7</v>
      </c>
      <c r="U113" s="115">
        <f>-66.9-66.8</f>
        <v>-133.69999999999999</v>
      </c>
      <c r="V113" s="115">
        <f>-74.2-76.8</f>
        <v>-151</v>
      </c>
      <c r="W113" s="115">
        <f>-95.2-91.7</f>
        <v>-186.9</v>
      </c>
      <c r="X113" s="115">
        <f>-86.2-77.8</f>
        <v>-164</v>
      </c>
      <c r="Y113" s="115">
        <f>-77.8-63.9</f>
        <v>-141.69999999999999</v>
      </c>
      <c r="Z113" s="115">
        <f>-77-54.2</f>
        <v>-131.19999999999999</v>
      </c>
      <c r="AA113" s="115">
        <f>-60.8-32.1</f>
        <v>-92.9</v>
      </c>
      <c r="AB113" s="115">
        <v>-111.2</v>
      </c>
      <c r="AC113" s="115">
        <v>-111.2</v>
      </c>
      <c r="AD113" s="115">
        <v>-136</v>
      </c>
      <c r="AE113" s="115">
        <v>-93</v>
      </c>
      <c r="AF113" s="115">
        <v>-120</v>
      </c>
      <c r="AG113" s="114">
        <v>240</v>
      </c>
      <c r="AH113" s="47">
        <f t="shared" si="17"/>
        <v>-88</v>
      </c>
      <c r="AI113" s="48">
        <f t="shared" si="18"/>
        <v>-186.9</v>
      </c>
    </row>
    <row r="114" spans="1:37" x14ac:dyDescent="0.25">
      <c r="A114" s="103" t="s">
        <v>130</v>
      </c>
      <c r="B114" s="115">
        <v>-5.4</v>
      </c>
      <c r="C114" s="115">
        <v>-20.5</v>
      </c>
      <c r="D114" s="115">
        <v>-20.5</v>
      </c>
      <c r="E114" s="115">
        <v>-17.600000000000001</v>
      </c>
      <c r="F114" s="115">
        <v>-18.399999999999999</v>
      </c>
      <c r="G114" s="115">
        <v>-15.9</v>
      </c>
      <c r="H114" s="115">
        <v>-14</v>
      </c>
      <c r="I114" s="115">
        <v>-13.2</v>
      </c>
      <c r="J114" s="115">
        <v>-7.3</v>
      </c>
      <c r="K114" s="115">
        <v>-5.2</v>
      </c>
      <c r="L114" s="115">
        <v>-5.2</v>
      </c>
      <c r="M114" s="115">
        <v>-6.8</v>
      </c>
      <c r="N114" s="115">
        <v>-4.9000000000000004</v>
      </c>
      <c r="O114" s="115">
        <v>6</v>
      </c>
      <c r="P114" s="115">
        <v>-3.1</v>
      </c>
      <c r="Q114" s="115">
        <v>-3.8</v>
      </c>
      <c r="R114" s="115">
        <v>-6.3</v>
      </c>
      <c r="S114" s="115">
        <v>-2.2000000000000002</v>
      </c>
      <c r="T114" s="115">
        <v>-2.2000000000000002</v>
      </c>
      <c r="U114" s="115">
        <v>-0.9</v>
      </c>
      <c r="V114" s="115">
        <v>-4.9000000000000004</v>
      </c>
      <c r="W114" s="115">
        <v>17</v>
      </c>
      <c r="X114" s="115">
        <v>22</v>
      </c>
      <c r="Y114" s="115">
        <v>25</v>
      </c>
      <c r="Z114" s="115">
        <v>34.9</v>
      </c>
      <c r="AA114" s="115">
        <v>34.9</v>
      </c>
      <c r="AB114" s="115">
        <v>41.7</v>
      </c>
      <c r="AC114" s="115">
        <v>41.7</v>
      </c>
      <c r="AD114" s="115">
        <v>39</v>
      </c>
      <c r="AE114" s="115">
        <v>34.799999999999997</v>
      </c>
      <c r="AF114" s="115">
        <v>34.799999999999997</v>
      </c>
      <c r="AG114" s="114">
        <v>60</v>
      </c>
      <c r="AH114" s="47">
        <f t="shared" si="17"/>
        <v>41.7</v>
      </c>
      <c r="AI114" s="48">
        <f t="shared" si="18"/>
        <v>-20.5</v>
      </c>
    </row>
    <row r="115" spans="1:37" x14ac:dyDescent="0.25">
      <c r="A115" s="116" t="s">
        <v>131</v>
      </c>
      <c r="B115" s="117">
        <v>18.2</v>
      </c>
      <c r="C115" s="117">
        <v>18</v>
      </c>
      <c r="D115" s="117">
        <v>18</v>
      </c>
      <c r="E115" s="117">
        <v>17.899999999999999</v>
      </c>
      <c r="F115" s="117">
        <v>18</v>
      </c>
      <c r="G115" s="117">
        <v>17.399999999999999</v>
      </c>
      <c r="H115" s="117">
        <v>17</v>
      </c>
      <c r="I115" s="117">
        <v>20</v>
      </c>
      <c r="J115" s="117">
        <v>19.5</v>
      </c>
      <c r="K115" s="117">
        <v>19.100000000000001</v>
      </c>
      <c r="L115" s="117">
        <v>19.100000000000001</v>
      </c>
      <c r="M115" s="117">
        <v>19.100000000000001</v>
      </c>
      <c r="N115" s="117">
        <v>17.5</v>
      </c>
      <c r="O115" s="117">
        <v>16.899999999999999</v>
      </c>
      <c r="P115" s="117">
        <v>17.399999999999999</v>
      </c>
      <c r="Q115" s="117">
        <v>17.600000000000001</v>
      </c>
      <c r="R115" s="117">
        <v>17.600000000000001</v>
      </c>
      <c r="S115" s="117">
        <v>12.7</v>
      </c>
      <c r="T115" s="117">
        <v>12.7</v>
      </c>
      <c r="U115" s="117">
        <v>19.600000000000001</v>
      </c>
      <c r="V115" s="117">
        <v>19.3</v>
      </c>
      <c r="W115" s="117">
        <v>19.2</v>
      </c>
      <c r="X115" s="117">
        <v>19.3</v>
      </c>
      <c r="Y115" s="117">
        <v>19.899999999999999</v>
      </c>
      <c r="Z115" s="117">
        <v>14.5</v>
      </c>
      <c r="AA115" s="115">
        <v>12.5</v>
      </c>
      <c r="AB115" s="117">
        <v>12</v>
      </c>
      <c r="AC115" s="117">
        <v>12</v>
      </c>
      <c r="AD115" s="117">
        <v>13.3</v>
      </c>
      <c r="AE115" s="117">
        <v>14.4</v>
      </c>
      <c r="AF115" s="117">
        <v>14.4</v>
      </c>
      <c r="AG115" s="118">
        <v>120</v>
      </c>
      <c r="AH115" s="47">
        <f t="shared" si="17"/>
        <v>20</v>
      </c>
      <c r="AI115" s="48">
        <f t="shared" si="18"/>
        <v>12</v>
      </c>
    </row>
    <row r="116" spans="1:37" x14ac:dyDescent="0.25">
      <c r="A116" s="116" t="s">
        <v>132</v>
      </c>
      <c r="B116" s="117">
        <v>46.7</v>
      </c>
      <c r="C116" s="117">
        <v>56.7</v>
      </c>
      <c r="D116" s="117">
        <v>56.7</v>
      </c>
      <c r="E116" s="117">
        <v>61.5</v>
      </c>
      <c r="F116" s="117">
        <v>55.2</v>
      </c>
      <c r="G116" s="117">
        <v>45</v>
      </c>
      <c r="H116" s="117">
        <v>45.9</v>
      </c>
      <c r="I116" s="117">
        <v>40.799999999999997</v>
      </c>
      <c r="J116" s="117">
        <v>46.9</v>
      </c>
      <c r="K116" s="117">
        <v>51.9</v>
      </c>
      <c r="L116" s="117">
        <v>51.9</v>
      </c>
      <c r="M116" s="117">
        <v>44.9</v>
      </c>
      <c r="N116" s="117">
        <v>54.9</v>
      </c>
      <c r="O116" s="117">
        <v>53</v>
      </c>
      <c r="P116" s="117">
        <v>59.6</v>
      </c>
      <c r="Q116" s="117">
        <v>80.2</v>
      </c>
      <c r="R116" s="117">
        <v>65.2</v>
      </c>
      <c r="S116" s="117">
        <v>84.7</v>
      </c>
      <c r="T116" s="117">
        <v>84.7</v>
      </c>
      <c r="U116" s="117">
        <v>39.6</v>
      </c>
      <c r="V116" s="117">
        <v>38.700000000000003</v>
      </c>
      <c r="W116" s="117">
        <v>10.4</v>
      </c>
      <c r="X116" s="117">
        <v>13</v>
      </c>
      <c r="Y116" s="117">
        <v>18</v>
      </c>
      <c r="Z116" s="117">
        <v>18</v>
      </c>
      <c r="AA116" s="117">
        <v>60.2</v>
      </c>
      <c r="AB116" s="117">
        <v>49.2</v>
      </c>
      <c r="AC116" s="117">
        <v>49.2</v>
      </c>
      <c r="AD116" s="117">
        <v>34</v>
      </c>
      <c r="AE116" s="117">
        <v>58</v>
      </c>
      <c r="AF116" s="117">
        <v>58</v>
      </c>
      <c r="AG116" s="118"/>
      <c r="AH116" s="47">
        <f t="shared" si="17"/>
        <v>84.7</v>
      </c>
      <c r="AI116" s="48">
        <f t="shared" si="18"/>
        <v>10.4</v>
      </c>
    </row>
    <row r="117" spans="1:37" x14ac:dyDescent="0.25">
      <c r="A117" s="116" t="s">
        <v>133</v>
      </c>
      <c r="B117" s="117"/>
      <c r="C117" s="117">
        <v>27.3</v>
      </c>
      <c r="D117" s="117">
        <v>27.3</v>
      </c>
      <c r="E117" s="117">
        <v>35.5</v>
      </c>
      <c r="F117" s="117">
        <v>43.4</v>
      </c>
      <c r="G117" s="117">
        <v>23.4</v>
      </c>
      <c r="H117" s="117">
        <v>35.5</v>
      </c>
      <c r="I117" s="117">
        <v>24</v>
      </c>
      <c r="J117" s="117">
        <v>23.4</v>
      </c>
      <c r="K117" s="117">
        <v>22.9</v>
      </c>
      <c r="L117" s="117">
        <v>22.9</v>
      </c>
      <c r="M117" s="117">
        <v>8.3000000000000007</v>
      </c>
      <c r="N117" s="117">
        <v>7.4</v>
      </c>
      <c r="O117" s="117">
        <v>11.5</v>
      </c>
      <c r="P117" s="117">
        <v>7.6</v>
      </c>
      <c r="Q117" s="117">
        <v>23.5</v>
      </c>
      <c r="R117" s="117">
        <v>0.8</v>
      </c>
      <c r="S117" s="117">
        <v>19</v>
      </c>
      <c r="T117" s="117">
        <v>19</v>
      </c>
      <c r="U117" s="117">
        <v>15.7</v>
      </c>
      <c r="V117" s="117">
        <v>19</v>
      </c>
      <c r="W117" s="117">
        <v>22.3</v>
      </c>
      <c r="X117" s="117">
        <v>19.5</v>
      </c>
      <c r="Y117" s="117">
        <v>26.2</v>
      </c>
      <c r="Z117" s="117">
        <v>30.7</v>
      </c>
      <c r="AA117" s="117">
        <v>40.5</v>
      </c>
      <c r="AB117" s="117">
        <v>35.1</v>
      </c>
      <c r="AC117" s="117">
        <v>35.1</v>
      </c>
      <c r="AD117" s="117">
        <v>36.5</v>
      </c>
      <c r="AE117" s="117">
        <v>56.5</v>
      </c>
      <c r="AF117" s="117">
        <v>20</v>
      </c>
      <c r="AG117" s="119"/>
      <c r="AH117" s="47">
        <f t="shared" si="17"/>
        <v>56.5</v>
      </c>
      <c r="AI117" s="48">
        <f t="shared" si="18"/>
        <v>0.8</v>
      </c>
    </row>
    <row r="118" spans="1:37" x14ac:dyDescent="0.25">
      <c r="A118" s="120" t="s">
        <v>134</v>
      </c>
      <c r="B118" s="106">
        <v>16</v>
      </c>
      <c r="C118" s="106">
        <v>19.399999999999999</v>
      </c>
      <c r="D118" s="106">
        <v>19.399999999999999</v>
      </c>
      <c r="E118" s="106">
        <v>20.2</v>
      </c>
      <c r="F118" s="106">
        <v>21.5</v>
      </c>
      <c r="G118" s="106">
        <v>26.2</v>
      </c>
      <c r="H118" s="106">
        <v>24</v>
      </c>
      <c r="I118" s="106">
        <v>18.8</v>
      </c>
      <c r="J118" s="106">
        <v>16.5</v>
      </c>
      <c r="K118" s="106">
        <v>11.8</v>
      </c>
      <c r="L118" s="106">
        <v>11.8</v>
      </c>
      <c r="M118" s="106">
        <v>9.3000000000000007</v>
      </c>
      <c r="N118" s="106">
        <v>9.8000000000000007</v>
      </c>
      <c r="O118" s="106">
        <v>7.1</v>
      </c>
      <c r="P118" s="106">
        <v>6.8</v>
      </c>
      <c r="Q118" s="106">
        <v>5.5</v>
      </c>
      <c r="R118" s="106">
        <v>13.9</v>
      </c>
      <c r="S118" s="106">
        <v>10.5</v>
      </c>
      <c r="T118" s="106">
        <v>10.5</v>
      </c>
      <c r="U118" s="106">
        <v>6.5</v>
      </c>
      <c r="V118" s="106">
        <v>6.1</v>
      </c>
      <c r="W118" s="106">
        <v>6.5</v>
      </c>
      <c r="X118" s="106">
        <v>6.4</v>
      </c>
      <c r="Y118" s="106">
        <v>9.6999999999999993</v>
      </c>
      <c r="Z118" s="106">
        <v>2.2999999999999998</v>
      </c>
      <c r="AA118" s="178">
        <v>1.3</v>
      </c>
      <c r="AB118" s="106">
        <v>1.7</v>
      </c>
      <c r="AC118" s="106">
        <v>1.7</v>
      </c>
      <c r="AD118" s="106">
        <v>7.6</v>
      </c>
      <c r="AE118" s="106">
        <v>15.8</v>
      </c>
      <c r="AF118" s="106">
        <v>15.8</v>
      </c>
      <c r="AG118" s="119"/>
      <c r="AH118" s="47">
        <f t="shared" si="17"/>
        <v>26.2</v>
      </c>
      <c r="AI118" s="48">
        <f t="shared" si="18"/>
        <v>1.3</v>
      </c>
    </row>
    <row r="119" spans="1:37" x14ac:dyDescent="0.25">
      <c r="A119" s="121" t="s">
        <v>135</v>
      </c>
      <c r="B119" s="106">
        <v>75.8</v>
      </c>
      <c r="C119" s="106">
        <v>79.7</v>
      </c>
      <c r="D119" s="106">
        <v>79.7</v>
      </c>
      <c r="E119" s="106">
        <v>73.599999999999994</v>
      </c>
      <c r="F119" s="106">
        <v>74.099999999999994</v>
      </c>
      <c r="G119" s="106">
        <v>72.3</v>
      </c>
      <c r="H119" s="106">
        <v>71.400000000000006</v>
      </c>
      <c r="I119" s="106">
        <v>76.8</v>
      </c>
      <c r="J119" s="106">
        <v>77.2</v>
      </c>
      <c r="K119" s="106">
        <v>21.6</v>
      </c>
      <c r="L119" s="106">
        <v>21.6</v>
      </c>
      <c r="M119" s="106">
        <v>22.5</v>
      </c>
      <c r="N119" s="106">
        <v>23.5</v>
      </c>
      <c r="O119" s="106">
        <v>25.6</v>
      </c>
      <c r="P119" s="106">
        <v>22.6</v>
      </c>
      <c r="Q119" s="106">
        <v>23.9</v>
      </c>
      <c r="R119" s="106">
        <v>27.4</v>
      </c>
      <c r="S119" s="106">
        <v>27.7</v>
      </c>
      <c r="T119" s="106">
        <v>27.7</v>
      </c>
      <c r="U119" s="106">
        <v>67.8</v>
      </c>
      <c r="V119" s="106">
        <v>69.3</v>
      </c>
      <c r="W119" s="106">
        <v>91.5</v>
      </c>
      <c r="X119" s="106">
        <v>81.7</v>
      </c>
      <c r="Y119" s="106">
        <v>60.3</v>
      </c>
      <c r="Z119" s="106">
        <v>54.2</v>
      </c>
      <c r="AA119" s="178">
        <v>35</v>
      </c>
      <c r="AB119" s="106">
        <v>47.7</v>
      </c>
      <c r="AC119" s="106">
        <v>47.7</v>
      </c>
      <c r="AD119" s="106">
        <v>61.3</v>
      </c>
      <c r="AE119" s="106">
        <v>67.5</v>
      </c>
      <c r="AF119" s="106">
        <v>67.5</v>
      </c>
      <c r="AG119" s="119"/>
      <c r="AH119" s="47">
        <f t="shared" si="17"/>
        <v>91.5</v>
      </c>
      <c r="AI119" s="48">
        <f t="shared" si="18"/>
        <v>21.6</v>
      </c>
    </row>
    <row r="120" spans="1:37" ht="15.75" thickBot="1" x14ac:dyDescent="0.3">
      <c r="A120" s="120" t="s">
        <v>136</v>
      </c>
      <c r="B120" s="106">
        <v>48.7</v>
      </c>
      <c r="C120" s="106">
        <v>54.9</v>
      </c>
      <c r="D120" s="106">
        <v>54.9</v>
      </c>
      <c r="E120" s="106">
        <v>53.4</v>
      </c>
      <c r="F120" s="106">
        <v>54.3</v>
      </c>
      <c r="G120" s="106">
        <v>40.9</v>
      </c>
      <c r="H120" s="106">
        <v>42</v>
      </c>
      <c r="I120" s="106">
        <v>40.299999999999997</v>
      </c>
      <c r="J120" s="106">
        <v>41.6</v>
      </c>
      <c r="K120" s="106">
        <v>42.7</v>
      </c>
      <c r="L120" s="106">
        <v>42.7</v>
      </c>
      <c r="M120" s="106">
        <v>45.9</v>
      </c>
      <c r="N120" s="106">
        <v>39.799999999999997</v>
      </c>
      <c r="O120" s="106">
        <v>46.6</v>
      </c>
      <c r="P120" s="106">
        <v>57.8</v>
      </c>
      <c r="Q120" s="106">
        <v>61</v>
      </c>
      <c r="R120" s="106">
        <v>49.2</v>
      </c>
      <c r="S120" s="106">
        <v>80.8</v>
      </c>
      <c r="T120" s="106">
        <v>76.900000000000006</v>
      </c>
      <c r="U120" s="106">
        <v>59</v>
      </c>
      <c r="V120" s="106">
        <v>56.9</v>
      </c>
      <c r="W120" s="106">
        <v>54</v>
      </c>
      <c r="X120" s="106">
        <v>46</v>
      </c>
      <c r="Y120" s="106">
        <v>42</v>
      </c>
      <c r="Z120" s="106">
        <v>55.6</v>
      </c>
      <c r="AA120" s="178">
        <v>63.1</v>
      </c>
      <c r="AB120" s="106">
        <v>50.2</v>
      </c>
      <c r="AC120" s="106">
        <v>50.2</v>
      </c>
      <c r="AD120" s="106">
        <v>58.8</v>
      </c>
      <c r="AE120" s="106">
        <v>57.9</v>
      </c>
      <c r="AF120" s="106">
        <v>57.9</v>
      </c>
      <c r="AG120" s="119"/>
      <c r="AH120" s="47">
        <f t="shared" si="17"/>
        <v>80.8</v>
      </c>
      <c r="AI120" s="48">
        <f t="shared" si="18"/>
        <v>39.799999999999997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36">SUM(B122:B226)</f>
        <v>0</v>
      </c>
      <c r="C227" s="137">
        <f t="shared" si="36"/>
        <v>0</v>
      </c>
      <c r="D227" s="137">
        <f t="shared" si="36"/>
        <v>0</v>
      </c>
      <c r="E227" s="137">
        <f t="shared" si="36"/>
        <v>0</v>
      </c>
      <c r="F227" s="137">
        <f t="shared" si="36"/>
        <v>0</v>
      </c>
      <c r="G227" s="137">
        <f t="shared" si="36"/>
        <v>0</v>
      </c>
      <c r="H227" s="137">
        <f t="shared" si="36"/>
        <v>0</v>
      </c>
      <c r="I227" s="137">
        <f t="shared" si="36"/>
        <v>0</v>
      </c>
      <c r="J227" s="137">
        <f t="shared" si="36"/>
        <v>0</v>
      </c>
      <c r="K227" s="137">
        <f t="shared" si="36"/>
        <v>0</v>
      </c>
      <c r="L227" s="137">
        <f t="shared" si="36"/>
        <v>0</v>
      </c>
      <c r="M227" s="137">
        <f t="shared" si="36"/>
        <v>0</v>
      </c>
      <c r="N227" s="137">
        <f t="shared" si="36"/>
        <v>0</v>
      </c>
      <c r="O227" s="137">
        <f t="shared" si="36"/>
        <v>0</v>
      </c>
      <c r="P227" s="137">
        <f t="shared" si="36"/>
        <v>0</v>
      </c>
      <c r="Q227" s="137">
        <f t="shared" si="36"/>
        <v>0</v>
      </c>
      <c r="R227" s="137">
        <f t="shared" si="36"/>
        <v>0</v>
      </c>
      <c r="S227" s="137">
        <f t="shared" si="36"/>
        <v>0</v>
      </c>
      <c r="T227" s="137">
        <f t="shared" si="36"/>
        <v>0</v>
      </c>
      <c r="U227" s="137">
        <f t="shared" si="36"/>
        <v>0</v>
      </c>
      <c r="V227" s="137">
        <f t="shared" si="36"/>
        <v>0</v>
      </c>
      <c r="W227" s="137">
        <f t="shared" si="36"/>
        <v>0</v>
      </c>
      <c r="X227" s="137">
        <f t="shared" si="36"/>
        <v>0</v>
      </c>
      <c r="Y227" s="137">
        <f t="shared" si="36"/>
        <v>0</v>
      </c>
      <c r="Z227" s="137">
        <f t="shared" si="36"/>
        <v>0</v>
      </c>
      <c r="AA227" s="137">
        <f t="shared" si="36"/>
        <v>0</v>
      </c>
      <c r="AB227" s="137">
        <f t="shared" si="36"/>
        <v>0</v>
      </c>
      <c r="AC227" s="137">
        <f t="shared" si="36"/>
        <v>0</v>
      </c>
      <c r="AD227" s="137">
        <f t="shared" si="36"/>
        <v>0</v>
      </c>
      <c r="AE227" s="137">
        <f t="shared" si="36"/>
        <v>0</v>
      </c>
      <c r="AF227" s="138">
        <f t="shared" si="36"/>
        <v>0</v>
      </c>
      <c r="AG227" s="139">
        <f t="shared" si="36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37">AF229</f>
        <v>0</v>
      </c>
      <c r="C229" s="141">
        <v>0.3</v>
      </c>
      <c r="D229" s="141">
        <f t="shared" ref="D229:P234" si="38">C229</f>
        <v>0.3</v>
      </c>
      <c r="E229" s="141">
        <f t="shared" si="38"/>
        <v>0.3</v>
      </c>
      <c r="F229" s="141">
        <f t="shared" si="38"/>
        <v>0.3</v>
      </c>
      <c r="G229" s="141">
        <f t="shared" si="38"/>
        <v>0.3</v>
      </c>
      <c r="H229" s="141">
        <f t="shared" si="38"/>
        <v>0.3</v>
      </c>
      <c r="I229" s="141">
        <f t="shared" si="38"/>
        <v>0.3</v>
      </c>
      <c r="J229" s="141">
        <f t="shared" si="38"/>
        <v>0.3</v>
      </c>
      <c r="K229" s="141">
        <f t="shared" si="38"/>
        <v>0.3</v>
      </c>
      <c r="L229" s="141">
        <f t="shared" si="38"/>
        <v>0.3</v>
      </c>
      <c r="M229" s="141">
        <f t="shared" si="38"/>
        <v>0.3</v>
      </c>
      <c r="N229" s="141">
        <f t="shared" si="38"/>
        <v>0.3</v>
      </c>
      <c r="O229" s="141">
        <f t="shared" si="38"/>
        <v>0.3</v>
      </c>
      <c r="P229" s="141">
        <f t="shared" si="38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37"/>
        <v>0</v>
      </c>
      <c r="C230" s="129">
        <v>0.4</v>
      </c>
      <c r="D230" s="129">
        <f t="shared" si="38"/>
        <v>0.4</v>
      </c>
      <c r="E230" s="129">
        <f t="shared" si="38"/>
        <v>0.4</v>
      </c>
      <c r="F230" s="129">
        <f t="shared" si="38"/>
        <v>0.4</v>
      </c>
      <c r="G230" s="129">
        <f t="shared" si="38"/>
        <v>0.4</v>
      </c>
      <c r="H230" s="129">
        <f t="shared" si="38"/>
        <v>0.4</v>
      </c>
      <c r="I230" s="129">
        <f t="shared" si="38"/>
        <v>0.4</v>
      </c>
      <c r="J230" s="129">
        <f t="shared" si="38"/>
        <v>0.4</v>
      </c>
      <c r="K230" s="129">
        <f t="shared" si="38"/>
        <v>0.4</v>
      </c>
      <c r="L230" s="129">
        <f t="shared" si="38"/>
        <v>0.4</v>
      </c>
      <c r="M230" s="129">
        <f t="shared" si="38"/>
        <v>0.4</v>
      </c>
      <c r="N230" s="129">
        <f t="shared" si="38"/>
        <v>0.4</v>
      </c>
      <c r="O230" s="129">
        <f t="shared" si="38"/>
        <v>0.4</v>
      </c>
      <c r="P230" s="129">
        <f t="shared" si="38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37"/>
        <v>0</v>
      </c>
      <c r="C231" s="129">
        <v>1.5</v>
      </c>
      <c r="D231" s="129">
        <f t="shared" si="38"/>
        <v>1.5</v>
      </c>
      <c r="E231" s="129">
        <f t="shared" si="38"/>
        <v>1.5</v>
      </c>
      <c r="F231" s="129">
        <f t="shared" si="38"/>
        <v>1.5</v>
      </c>
      <c r="G231" s="129">
        <f t="shared" si="38"/>
        <v>1.5</v>
      </c>
      <c r="H231" s="129">
        <f t="shared" si="38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38"/>
        <v>123.21900000000009</v>
      </c>
      <c r="K231" s="129">
        <f t="shared" ca="1" si="38"/>
        <v>123.21900000000009</v>
      </c>
      <c r="L231" s="129">
        <f t="shared" ca="1" si="38"/>
        <v>123.21900000000009</v>
      </c>
      <c r="M231" s="129">
        <f t="shared" ca="1" si="38"/>
        <v>119.19900000000008</v>
      </c>
      <c r="N231" s="129">
        <f t="shared" ca="1" si="38"/>
        <v>119.19900000000008</v>
      </c>
      <c r="O231" s="129">
        <f t="shared" ca="1" si="38"/>
        <v>119.19900000000008</v>
      </c>
      <c r="P231" s="129">
        <f t="shared" ca="1" si="38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37"/>
        <v>0</v>
      </c>
      <c r="C232" s="129">
        <v>0.3</v>
      </c>
      <c r="D232" s="129">
        <f t="shared" si="38"/>
        <v>0.3</v>
      </c>
      <c r="E232" s="129">
        <f t="shared" si="38"/>
        <v>0.3</v>
      </c>
      <c r="F232" s="129">
        <f t="shared" si="38"/>
        <v>0.3</v>
      </c>
      <c r="G232" s="129">
        <f t="shared" si="38"/>
        <v>0.3</v>
      </c>
      <c r="H232" s="129">
        <f t="shared" si="38"/>
        <v>0.3</v>
      </c>
      <c r="I232" s="129">
        <f t="shared" si="38"/>
        <v>0.3</v>
      </c>
      <c r="J232" s="129">
        <f t="shared" si="38"/>
        <v>0.3</v>
      </c>
      <c r="K232" s="129">
        <f t="shared" si="38"/>
        <v>0.3</v>
      </c>
      <c r="L232" s="129">
        <f t="shared" si="38"/>
        <v>0.3</v>
      </c>
      <c r="M232" s="129">
        <f t="shared" si="38"/>
        <v>0.3</v>
      </c>
      <c r="N232" s="129">
        <f t="shared" si="38"/>
        <v>0.3</v>
      </c>
      <c r="O232" s="129">
        <f t="shared" si="38"/>
        <v>0.3</v>
      </c>
      <c r="P232" s="129">
        <f t="shared" si="38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37"/>
        <v>0</v>
      </c>
      <c r="C233" s="129">
        <v>0.4</v>
      </c>
      <c r="D233" s="129">
        <f t="shared" si="38"/>
        <v>0.4</v>
      </c>
      <c r="E233" s="129">
        <f t="shared" si="38"/>
        <v>0.4</v>
      </c>
      <c r="F233" s="129">
        <f t="shared" si="38"/>
        <v>0.4</v>
      </c>
      <c r="G233" s="129">
        <f t="shared" si="38"/>
        <v>0.4</v>
      </c>
      <c r="H233" s="129">
        <f t="shared" si="38"/>
        <v>0.4</v>
      </c>
      <c r="I233" s="129">
        <f t="shared" si="38"/>
        <v>0.4</v>
      </c>
      <c r="J233" s="129">
        <f t="shared" si="38"/>
        <v>0.4</v>
      </c>
      <c r="K233" s="129">
        <f t="shared" si="38"/>
        <v>0.4</v>
      </c>
      <c r="L233" s="129">
        <f t="shared" si="38"/>
        <v>0.4</v>
      </c>
      <c r="M233" s="129">
        <f t="shared" si="38"/>
        <v>0.4</v>
      </c>
      <c r="N233" s="129">
        <f t="shared" si="38"/>
        <v>0.4</v>
      </c>
      <c r="O233" s="129">
        <f t="shared" si="38"/>
        <v>0.4</v>
      </c>
      <c r="P233" s="129">
        <f t="shared" si="38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37"/>
        <v>0</v>
      </c>
      <c r="C234" s="133">
        <v>0.64</v>
      </c>
      <c r="D234" s="133">
        <f t="shared" si="38"/>
        <v>0.64</v>
      </c>
      <c r="E234" s="133">
        <f t="shared" si="38"/>
        <v>0.64</v>
      </c>
      <c r="F234" s="133">
        <f t="shared" si="38"/>
        <v>0.64</v>
      </c>
      <c r="G234" s="133">
        <f t="shared" si="38"/>
        <v>0.64</v>
      </c>
      <c r="H234" s="133">
        <f t="shared" si="38"/>
        <v>0.64</v>
      </c>
      <c r="I234" s="133">
        <f t="shared" si="38"/>
        <v>0.64</v>
      </c>
      <c r="J234" s="133">
        <f t="shared" si="38"/>
        <v>0.64</v>
      </c>
      <c r="K234" s="133">
        <f t="shared" si="38"/>
        <v>0.64</v>
      </c>
      <c r="L234" s="133">
        <f t="shared" si="38"/>
        <v>0.64</v>
      </c>
      <c r="M234" s="133">
        <f t="shared" si="38"/>
        <v>0.64</v>
      </c>
      <c r="N234" s="133">
        <f t="shared" si="38"/>
        <v>0.64</v>
      </c>
      <c r="O234" s="133">
        <f t="shared" si="38"/>
        <v>0.64</v>
      </c>
      <c r="P234" s="133">
        <f t="shared" si="38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39">SUM(B229:B234)</f>
        <v>0</v>
      </c>
      <c r="C235" s="137">
        <f t="shared" si="39"/>
        <v>3.54</v>
      </c>
      <c r="D235" s="137">
        <f t="shared" si="39"/>
        <v>3.54</v>
      </c>
      <c r="E235" s="137">
        <f t="shared" si="39"/>
        <v>3.54</v>
      </c>
      <c r="F235" s="137">
        <f t="shared" si="39"/>
        <v>3.54</v>
      </c>
      <c r="G235" s="137">
        <f t="shared" si="39"/>
        <v>3.54</v>
      </c>
      <c r="H235" s="137">
        <f t="shared" si="39"/>
        <v>3.54</v>
      </c>
      <c r="I235" s="137">
        <f t="shared" ca="1" si="39"/>
        <v>121.23900000000009</v>
      </c>
      <c r="J235" s="137">
        <f t="shared" ca="1" si="39"/>
        <v>121.23900000000009</v>
      </c>
      <c r="K235" s="137">
        <f t="shared" ca="1" si="39"/>
        <v>121.23900000000009</v>
      </c>
      <c r="L235" s="137">
        <f t="shared" ca="1" si="39"/>
        <v>125.2590000000001</v>
      </c>
      <c r="M235" s="137">
        <f t="shared" ca="1" si="39"/>
        <v>121.23900000000009</v>
      </c>
      <c r="N235" s="137">
        <f t="shared" ca="1" si="39"/>
        <v>121.23900000000009</v>
      </c>
      <c r="O235" s="137">
        <f t="shared" ca="1" si="39"/>
        <v>121.23900000000009</v>
      </c>
      <c r="P235" s="137">
        <f t="shared" ca="1" si="39"/>
        <v>121.23900000000009</v>
      </c>
      <c r="Q235" s="137">
        <f t="shared" si="39"/>
        <v>0</v>
      </c>
      <c r="R235" s="137">
        <f t="shared" si="39"/>
        <v>0</v>
      </c>
      <c r="S235" s="137">
        <f t="shared" si="39"/>
        <v>0</v>
      </c>
      <c r="T235" s="137">
        <f t="shared" si="39"/>
        <v>0</v>
      </c>
      <c r="U235" s="137">
        <f t="shared" si="39"/>
        <v>0</v>
      </c>
      <c r="V235" s="137">
        <f t="shared" si="39"/>
        <v>0</v>
      </c>
      <c r="W235" s="137">
        <f t="shared" si="39"/>
        <v>0</v>
      </c>
      <c r="X235" s="137">
        <f t="shared" si="39"/>
        <v>0</v>
      </c>
      <c r="Y235" s="137">
        <f t="shared" si="39"/>
        <v>0</v>
      </c>
      <c r="Z235" s="137">
        <f t="shared" si="39"/>
        <v>0</v>
      </c>
      <c r="AA235" s="137">
        <f t="shared" si="39"/>
        <v>0</v>
      </c>
      <c r="AB235" s="137">
        <f t="shared" si="39"/>
        <v>0</v>
      </c>
      <c r="AC235" s="137">
        <f t="shared" si="39"/>
        <v>0</v>
      </c>
      <c r="AD235" s="137">
        <f t="shared" si="39"/>
        <v>0</v>
      </c>
      <c r="AE235" s="137">
        <f t="shared" si="39"/>
        <v>0</v>
      </c>
      <c r="AF235" s="137">
        <f t="shared" si="39"/>
        <v>0</v>
      </c>
      <c r="AG235" s="146">
        <f t="shared" si="39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1943.04</v>
      </c>
      <c r="C244" s="162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02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2080/03/2)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2080/03/2)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40">B91</f>
        <v>2020.3399999999997</v>
      </c>
      <c r="U249" s="171">
        <f t="shared" si="40"/>
        <v>1912.7399999999998</v>
      </c>
      <c r="V249" s="171">
        <f t="shared" si="40"/>
        <v>1911.34</v>
      </c>
      <c r="W249" s="171">
        <f t="shared" si="40"/>
        <v>1872.84</v>
      </c>
      <c r="X249" s="171">
        <f t="shared" si="40"/>
        <v>1929.54</v>
      </c>
      <c r="Y249" s="171">
        <f t="shared" si="40"/>
        <v>1835.8399999999997</v>
      </c>
      <c r="Z249" s="171">
        <f t="shared" si="40"/>
        <v>1855.9399999999998</v>
      </c>
      <c r="AA249" s="171">
        <f t="shared" si="40"/>
        <v>1879.6399999999999</v>
      </c>
      <c r="AB249" s="171">
        <f t="shared" si="40"/>
        <v>1780.6399999999999</v>
      </c>
      <c r="AC249" s="171">
        <f t="shared" si="40"/>
        <v>1781.3399999999997</v>
      </c>
      <c r="AD249" s="171">
        <f t="shared" si="40"/>
        <v>1813.3399999999997</v>
      </c>
      <c r="AE249" s="171">
        <f t="shared" si="40"/>
        <v>1943.04</v>
      </c>
      <c r="AF249" s="171">
        <f t="shared" si="40"/>
        <v>1911.74</v>
      </c>
      <c r="AG249" s="171">
        <f t="shared" si="40"/>
        <v>1892.1399999999999</v>
      </c>
      <c r="AH249" s="171">
        <f t="shared" si="40"/>
        <v>2007.74</v>
      </c>
      <c r="AI249" s="171">
        <f t="shared" si="40"/>
        <v>1998.2399999999998</v>
      </c>
      <c r="AJ249" s="171">
        <f t="shared" si="40"/>
        <v>1906.9399999999998</v>
      </c>
      <c r="AK249" s="171">
        <f t="shared" si="40"/>
        <v>1783.34</v>
      </c>
      <c r="AL249" s="171">
        <f t="shared" si="40"/>
        <v>1832.44</v>
      </c>
      <c r="AM249" s="171">
        <f t="shared" si="40"/>
        <v>1787.3400000000001</v>
      </c>
      <c r="AN249" s="171">
        <f t="shared" si="40"/>
        <v>1823.24</v>
      </c>
      <c r="AO249" s="171">
        <f t="shared" si="40"/>
        <v>1832.4399999999998</v>
      </c>
      <c r="AP249" s="171">
        <f t="shared" si="40"/>
        <v>1818.0399999999997</v>
      </c>
      <c r="AQ249" s="171">
        <f t="shared" si="40"/>
        <v>1916.0399999999997</v>
      </c>
      <c r="AR249" s="171">
        <f t="shared" si="40"/>
        <v>1982.6399999999999</v>
      </c>
      <c r="AS249" s="171">
        <f t="shared" si="40"/>
        <v>2001.94</v>
      </c>
      <c r="AT249" s="171">
        <f t="shared" si="40"/>
        <v>2095.84</v>
      </c>
      <c r="AU249" s="171">
        <f t="shared" si="40"/>
        <v>2095.64</v>
      </c>
      <c r="AV249" s="171">
        <f t="shared" si="40"/>
        <v>2083.4399999999996</v>
      </c>
      <c r="AW249" s="171">
        <f t="shared" si="40"/>
        <v>2100.2399999999998</v>
      </c>
      <c r="AX249" s="171">
        <f t="shared" si="40"/>
        <v>1887.2399999999998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41">C234</f>
        <v>0.64</v>
      </c>
      <c r="C270" s="174">
        <f t="shared" si="41"/>
        <v>0.64</v>
      </c>
      <c r="D270" s="174">
        <f t="shared" si="41"/>
        <v>0.64</v>
      </c>
      <c r="E270" s="174">
        <f t="shared" si="41"/>
        <v>0.64</v>
      </c>
      <c r="F270" s="174">
        <f t="shared" si="41"/>
        <v>0.64</v>
      </c>
      <c r="G270" s="174">
        <f t="shared" si="41"/>
        <v>0.64</v>
      </c>
      <c r="H270" s="174">
        <f t="shared" si="41"/>
        <v>0.64</v>
      </c>
      <c r="I270" s="174">
        <f t="shared" si="41"/>
        <v>0.64</v>
      </c>
      <c r="J270" s="174">
        <f t="shared" si="41"/>
        <v>0.64</v>
      </c>
      <c r="K270" s="174">
        <f t="shared" si="41"/>
        <v>0.64</v>
      </c>
      <c r="L270" s="174">
        <f t="shared" si="41"/>
        <v>0.64</v>
      </c>
      <c r="M270" s="174">
        <f t="shared" si="41"/>
        <v>0.64</v>
      </c>
      <c r="N270" s="174">
        <f t="shared" si="41"/>
        <v>0.64</v>
      </c>
      <c r="O270" s="174">
        <f t="shared" si="41"/>
        <v>0.64</v>
      </c>
      <c r="P270" s="174">
        <f t="shared" si="41"/>
        <v>0</v>
      </c>
      <c r="Q270" s="174">
        <f t="shared" si="41"/>
        <v>0</v>
      </c>
      <c r="R270" s="174">
        <f t="shared" si="41"/>
        <v>0</v>
      </c>
      <c r="S270" s="174">
        <f t="shared" si="41"/>
        <v>0</v>
      </c>
      <c r="T270" s="174">
        <f t="shared" si="41"/>
        <v>0</v>
      </c>
      <c r="U270" s="174">
        <f t="shared" si="41"/>
        <v>0</v>
      </c>
      <c r="V270" s="174">
        <f t="shared" si="41"/>
        <v>0</v>
      </c>
      <c r="W270" s="174">
        <f t="shared" si="41"/>
        <v>0</v>
      </c>
      <c r="X270" s="174">
        <f t="shared" si="41"/>
        <v>0</v>
      </c>
      <c r="Y270" s="174">
        <f t="shared" si="41"/>
        <v>0</v>
      </c>
      <c r="Z270" s="174">
        <f t="shared" si="41"/>
        <v>0</v>
      </c>
      <c r="AA270" s="174">
        <f t="shared" si="41"/>
        <v>0</v>
      </c>
      <c r="AB270" s="174">
        <f t="shared" si="41"/>
        <v>0</v>
      </c>
      <c r="AC270" s="174">
        <f t="shared" si="41"/>
        <v>0</v>
      </c>
      <c r="AD270" s="174">
        <f t="shared" si="41"/>
        <v>0</v>
      </c>
      <c r="AE270" s="174">
        <f t="shared" si="41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42">IF(B238&lt;100,"",B238-520)</f>
        <v/>
      </c>
      <c r="C271" s="175" t="str">
        <f t="shared" si="42"/>
        <v/>
      </c>
      <c r="D271" s="175" t="str">
        <f t="shared" si="42"/>
        <v/>
      </c>
      <c r="E271" s="175" t="str">
        <f t="shared" si="42"/>
        <v/>
      </c>
      <c r="F271" s="175" t="str">
        <f t="shared" si="42"/>
        <v/>
      </c>
      <c r="G271" s="175" t="str">
        <f t="shared" si="42"/>
        <v/>
      </c>
      <c r="H271" s="175" t="str">
        <f t="shared" si="42"/>
        <v/>
      </c>
      <c r="I271" s="175" t="str">
        <f t="shared" si="42"/>
        <v/>
      </c>
      <c r="J271" s="175" t="str">
        <f t="shared" si="42"/>
        <v/>
      </c>
      <c r="K271" s="175" t="str">
        <f t="shared" si="42"/>
        <v/>
      </c>
      <c r="L271" s="175" t="str">
        <f t="shared" si="42"/>
        <v/>
      </c>
      <c r="M271" s="175" t="str">
        <f t="shared" si="42"/>
        <v/>
      </c>
      <c r="N271" s="175" t="str">
        <f t="shared" si="42"/>
        <v/>
      </c>
      <c r="O271" s="175" t="str">
        <f t="shared" si="42"/>
        <v/>
      </c>
      <c r="P271" s="175" t="str">
        <f t="shared" si="42"/>
        <v/>
      </c>
      <c r="Q271" s="175" t="str">
        <f t="shared" si="42"/>
        <v/>
      </c>
      <c r="R271" s="175" t="str">
        <f t="shared" si="42"/>
        <v/>
      </c>
      <c r="S271" s="175" t="str">
        <f t="shared" si="42"/>
        <v/>
      </c>
      <c r="T271" s="175" t="str">
        <f t="shared" si="42"/>
        <v/>
      </c>
      <c r="U271" s="175" t="str">
        <f t="shared" si="42"/>
        <v/>
      </c>
      <c r="V271" s="175" t="str">
        <f t="shared" si="42"/>
        <v/>
      </c>
      <c r="W271" s="175" t="str">
        <f t="shared" si="42"/>
        <v/>
      </c>
      <c r="X271" s="175" t="str">
        <f t="shared" si="42"/>
        <v/>
      </c>
      <c r="Y271" s="175" t="str">
        <f t="shared" si="42"/>
        <v/>
      </c>
      <c r="Z271" s="175" t="str">
        <f t="shared" si="42"/>
        <v/>
      </c>
      <c r="AA271" s="175" t="str">
        <f t="shared" si="42"/>
        <v/>
      </c>
      <c r="AB271" s="175" t="str">
        <f t="shared" si="42"/>
        <v/>
      </c>
      <c r="AC271" s="175" t="str">
        <f t="shared" si="42"/>
        <v/>
      </c>
      <c r="AD271" s="175" t="str">
        <f t="shared" si="42"/>
        <v/>
      </c>
      <c r="AE271" s="175" t="str">
        <f t="shared" si="42"/>
        <v/>
      </c>
      <c r="AF271" s="175" t="str">
        <f t="shared" si="42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43">IF(B239&lt;100,"",B239-620)</f>
        <v/>
      </c>
      <c r="C272" s="175" t="str">
        <f t="shared" si="43"/>
        <v/>
      </c>
      <c r="D272" s="175" t="str">
        <f t="shared" si="43"/>
        <v/>
      </c>
      <c r="E272" s="175" t="str">
        <f t="shared" si="43"/>
        <v/>
      </c>
      <c r="F272" s="175" t="str">
        <f t="shared" si="43"/>
        <v/>
      </c>
      <c r="G272" s="175" t="str">
        <f t="shared" si="43"/>
        <v/>
      </c>
      <c r="H272" s="175" t="str">
        <f t="shared" si="43"/>
        <v/>
      </c>
      <c r="I272" s="175" t="str">
        <f t="shared" si="43"/>
        <v/>
      </c>
      <c r="J272" s="175" t="str">
        <f t="shared" si="43"/>
        <v/>
      </c>
      <c r="K272" s="175" t="str">
        <f t="shared" si="43"/>
        <v/>
      </c>
      <c r="L272" s="175" t="str">
        <f t="shared" si="43"/>
        <v/>
      </c>
      <c r="M272" s="175" t="str">
        <f t="shared" si="43"/>
        <v/>
      </c>
      <c r="N272" s="175" t="str">
        <f t="shared" si="43"/>
        <v/>
      </c>
      <c r="O272" s="175" t="str">
        <f t="shared" si="43"/>
        <v/>
      </c>
      <c r="P272" s="175" t="str">
        <f t="shared" si="43"/>
        <v/>
      </c>
      <c r="Q272" s="175" t="str">
        <f t="shared" si="43"/>
        <v/>
      </c>
      <c r="R272" s="175" t="str">
        <f t="shared" si="43"/>
        <v/>
      </c>
      <c r="S272" s="175" t="str">
        <f t="shared" si="43"/>
        <v/>
      </c>
      <c r="T272" s="175" t="str">
        <f t="shared" si="43"/>
        <v/>
      </c>
      <c r="U272" s="175" t="str">
        <f t="shared" si="43"/>
        <v/>
      </c>
      <c r="V272" s="175" t="str">
        <f t="shared" si="43"/>
        <v/>
      </c>
      <c r="W272" s="175" t="str">
        <f t="shared" si="43"/>
        <v/>
      </c>
      <c r="X272" s="175" t="str">
        <f t="shared" si="43"/>
        <v/>
      </c>
      <c r="Y272" s="175" t="str">
        <f t="shared" si="43"/>
        <v/>
      </c>
      <c r="Z272" s="175" t="str">
        <f t="shared" si="43"/>
        <v/>
      </c>
      <c r="AA272" s="175" t="str">
        <f t="shared" si="43"/>
        <v/>
      </c>
      <c r="AB272" s="175" t="str">
        <f t="shared" si="43"/>
        <v/>
      </c>
      <c r="AC272" s="175" t="str">
        <f t="shared" si="43"/>
        <v/>
      </c>
      <c r="AD272" s="175" t="str">
        <f t="shared" si="43"/>
        <v/>
      </c>
      <c r="AE272" s="175" t="str">
        <f t="shared" si="43"/>
        <v/>
      </c>
      <c r="AF272" s="175" t="str">
        <f t="shared" si="43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44">IF(B240&lt;100,"",B240-330)</f>
        <v/>
      </c>
      <c r="C273" s="175" t="str">
        <f t="shared" si="44"/>
        <v/>
      </c>
      <c r="D273" s="175" t="str">
        <f t="shared" si="44"/>
        <v/>
      </c>
      <c r="E273" s="175" t="str">
        <f t="shared" si="44"/>
        <v/>
      </c>
      <c r="F273" s="175" t="str">
        <f t="shared" si="44"/>
        <v/>
      </c>
      <c r="G273" s="175" t="str">
        <f t="shared" si="44"/>
        <v/>
      </c>
      <c r="H273" s="175" t="str">
        <f t="shared" si="44"/>
        <v/>
      </c>
      <c r="I273" s="175" t="str">
        <f t="shared" si="44"/>
        <v/>
      </c>
      <c r="J273" s="175" t="str">
        <f t="shared" si="44"/>
        <v/>
      </c>
      <c r="K273" s="175" t="str">
        <f t="shared" si="44"/>
        <v/>
      </c>
      <c r="L273" s="175" t="str">
        <f t="shared" si="44"/>
        <v/>
      </c>
      <c r="M273" s="175" t="str">
        <f t="shared" si="44"/>
        <v/>
      </c>
      <c r="N273" s="175" t="str">
        <f t="shared" si="44"/>
        <v/>
      </c>
      <c r="O273" s="175" t="str">
        <f t="shared" si="44"/>
        <v/>
      </c>
      <c r="P273" s="175" t="str">
        <f t="shared" si="44"/>
        <v/>
      </c>
      <c r="Q273" s="175" t="str">
        <f t="shared" si="44"/>
        <v/>
      </c>
      <c r="R273" s="175" t="str">
        <f t="shared" si="44"/>
        <v/>
      </c>
      <c r="S273" s="175" t="str">
        <f t="shared" si="44"/>
        <v/>
      </c>
      <c r="T273" s="175" t="str">
        <f t="shared" si="44"/>
        <v/>
      </c>
      <c r="U273" s="175" t="str">
        <f t="shared" si="44"/>
        <v/>
      </c>
      <c r="V273" s="175" t="str">
        <f t="shared" si="44"/>
        <v/>
      </c>
      <c r="W273" s="175" t="str">
        <f t="shared" si="44"/>
        <v/>
      </c>
      <c r="X273" s="175" t="str">
        <f t="shared" si="44"/>
        <v/>
      </c>
      <c r="Y273" s="175" t="str">
        <f t="shared" si="44"/>
        <v/>
      </c>
      <c r="Z273" s="175" t="str">
        <f t="shared" si="44"/>
        <v/>
      </c>
      <c r="AA273" s="175" t="str">
        <f t="shared" si="44"/>
        <v/>
      </c>
      <c r="AB273" s="175" t="str">
        <f t="shared" si="44"/>
        <v/>
      </c>
      <c r="AC273" s="175" t="str">
        <f t="shared" si="44"/>
        <v/>
      </c>
      <c r="AD273" s="175" t="str">
        <f t="shared" si="44"/>
        <v/>
      </c>
      <c r="AE273" s="175" t="str">
        <f t="shared" si="44"/>
        <v/>
      </c>
      <c r="AF273" s="175" t="str">
        <f t="shared" si="44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45">IF(B241&lt;100,"",B241-1500)</f>
        <v/>
      </c>
      <c r="C274" s="175" t="str">
        <f t="shared" si="45"/>
        <v/>
      </c>
      <c r="D274" s="175" t="str">
        <f t="shared" si="45"/>
        <v/>
      </c>
      <c r="E274" s="175" t="str">
        <f t="shared" si="45"/>
        <v/>
      </c>
      <c r="F274" s="175" t="str">
        <f t="shared" si="45"/>
        <v/>
      </c>
      <c r="G274" s="175" t="str">
        <f t="shared" si="45"/>
        <v/>
      </c>
      <c r="H274" s="175" t="str">
        <f t="shared" si="45"/>
        <v/>
      </c>
      <c r="I274" s="175" t="str">
        <f t="shared" si="45"/>
        <v/>
      </c>
      <c r="J274" s="175" t="str">
        <f t="shared" si="45"/>
        <v/>
      </c>
      <c r="K274" s="175" t="str">
        <f t="shared" si="45"/>
        <v/>
      </c>
      <c r="L274" s="175" t="str">
        <f t="shared" si="45"/>
        <v/>
      </c>
      <c r="M274" s="175" t="str">
        <f t="shared" si="45"/>
        <v/>
      </c>
      <c r="N274" s="175" t="str">
        <f t="shared" si="45"/>
        <v/>
      </c>
      <c r="O274" s="175" t="str">
        <f t="shared" si="45"/>
        <v/>
      </c>
      <c r="P274" s="175" t="str">
        <f t="shared" si="45"/>
        <v/>
      </c>
      <c r="Q274" s="175" t="str">
        <f t="shared" si="45"/>
        <v/>
      </c>
      <c r="R274" s="175" t="str">
        <f t="shared" si="45"/>
        <v/>
      </c>
      <c r="S274" s="175" t="str">
        <f t="shared" si="45"/>
        <v/>
      </c>
      <c r="T274" s="175" t="str">
        <f t="shared" si="45"/>
        <v/>
      </c>
      <c r="U274" s="175" t="str">
        <f t="shared" si="45"/>
        <v/>
      </c>
      <c r="V274" s="175" t="str">
        <f t="shared" si="45"/>
        <v/>
      </c>
      <c r="W274" s="175" t="str">
        <f t="shared" si="45"/>
        <v/>
      </c>
      <c r="X274" s="175" t="str">
        <f t="shared" si="45"/>
        <v/>
      </c>
      <c r="Y274" s="175" t="str">
        <f t="shared" si="45"/>
        <v/>
      </c>
      <c r="Z274" s="175" t="str">
        <f t="shared" si="45"/>
        <v/>
      </c>
      <c r="AA274" s="175" t="str">
        <f t="shared" si="45"/>
        <v/>
      </c>
      <c r="AB274" s="175" t="str">
        <f t="shared" si="45"/>
        <v/>
      </c>
      <c r="AC274" s="175" t="str">
        <f t="shared" si="45"/>
        <v/>
      </c>
      <c r="AD274" s="175" t="str">
        <f t="shared" si="45"/>
        <v/>
      </c>
      <c r="AE274" s="175" t="str">
        <f t="shared" si="45"/>
        <v/>
      </c>
      <c r="AF274" s="175" t="str">
        <f t="shared" si="45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2818" priority="272">
      <formula>$AH11=0</formula>
    </cfRule>
  </conditionalFormatting>
  <conditionalFormatting sqref="B8 M8 S8 AB8">
    <cfRule type="expression" dxfId="2817" priority="526">
      <formula>C$9&lt;8/24</formula>
    </cfRule>
    <cfRule type="expression" dxfId="2816" priority="524">
      <formula>AND(C$9&gt;=14/24,C$9&lt;20/24)</formula>
    </cfRule>
    <cfRule type="expression" dxfId="2815" priority="525">
      <formula>AND(C$9&gt;=8/24,C$9&lt;14/24)</formula>
    </cfRule>
  </conditionalFormatting>
  <conditionalFormatting sqref="B55:F58 G58">
    <cfRule type="expression" dxfId="2814" priority="116">
      <formula>B$9&lt;8/24</formula>
    </cfRule>
    <cfRule type="expression" dxfId="2813" priority="115">
      <formula>AND(B$9&gt;=8/24,B$9&lt;14/24)</formula>
    </cfRule>
    <cfRule type="expression" dxfId="2812" priority="114">
      <formula>AND(B$9&gt;=14/24,B$9&lt;20/24)</formula>
    </cfRule>
    <cfRule type="expression" dxfId="2811" priority="113">
      <formula>B$9&gt;=20/24</formula>
    </cfRule>
  </conditionalFormatting>
  <conditionalFormatting sqref="B55:F58 G58:K58">
    <cfRule type="expression" dxfId="2810" priority="112">
      <formula>B55&gt;$AG55</formula>
    </cfRule>
  </conditionalFormatting>
  <conditionalFormatting sqref="B59:H66 I60:Z66 B79:M83 N82:P83">
    <cfRule type="expression" dxfId="2809" priority="41">
      <formula>B59&gt;$AG59</formula>
    </cfRule>
  </conditionalFormatting>
  <conditionalFormatting sqref="B59:H66 I60:Z66 B73:Z91">
    <cfRule type="expression" dxfId="2808" priority="42">
      <formula>B$9&gt;=20/24</formula>
    </cfRule>
    <cfRule type="expression" dxfId="2807" priority="43">
      <formula>AND(B$9&gt;=14/24,B$9&lt;20/24)</formula>
    </cfRule>
    <cfRule type="expression" dxfId="2806" priority="44">
      <formula>AND(B$9&gt;=8/24,B$9&lt;14/24)</formula>
    </cfRule>
    <cfRule type="expression" dxfId="2805" priority="45">
      <formula>B$9&lt;8/24</formula>
    </cfRule>
  </conditionalFormatting>
  <conditionalFormatting sqref="B67:Z72">
    <cfRule type="expression" dxfId="2804" priority="69">
      <formula>B67&gt;$AG67</formula>
    </cfRule>
  </conditionalFormatting>
  <conditionalFormatting sqref="B69:Z72 B93:Z109">
    <cfRule type="expression" dxfId="2803" priority="73">
      <formula>B$9&lt;8/24</formula>
    </cfRule>
    <cfRule type="expression" dxfId="2802" priority="70">
      <formula>B$9&gt;=20/24</formula>
    </cfRule>
    <cfRule type="expression" dxfId="2801" priority="72">
      <formula>AND(B$9&gt;=8/24,B$9&lt;14/24)</formula>
    </cfRule>
    <cfRule type="expression" dxfId="2800" priority="71">
      <formula>AND(B$9&gt;=14/24,B$9&lt;20/24)</formula>
    </cfRule>
  </conditionalFormatting>
  <conditionalFormatting sqref="B9:AF10 B227:AF227 D229:AF230 B229:B235 D231:H231 J231:AF231 D232:AF235 U248:AF248">
    <cfRule type="expression" dxfId="2799" priority="518">
      <formula>AND(B$9&gt;=14/24,B$9&lt;20/24)</formula>
    </cfRule>
    <cfRule type="expression" dxfId="2798" priority="517">
      <formula>B$9&gt;=20/24</formula>
    </cfRule>
    <cfRule type="expression" dxfId="2797" priority="520">
      <formula>B$9&lt;8/24</formula>
    </cfRule>
    <cfRule type="expression" dxfId="2796" priority="519">
      <formula>AND(B$9&gt;=8/24,B$9&lt;14/24)</formula>
    </cfRule>
  </conditionalFormatting>
  <conditionalFormatting sqref="B111:AF120">
    <cfRule type="expression" dxfId="2795" priority="19">
      <formula>B$9&gt;=20/24</formula>
    </cfRule>
    <cfRule type="expression" dxfId="2794" priority="20">
      <formula>AND(B$9&gt;=14/24,B$9&lt;20/24)</formula>
    </cfRule>
    <cfRule type="expression" dxfId="2793" priority="21">
      <formula>AND(B$9&gt;=8/24,B$9&lt;14/24)</formula>
    </cfRule>
    <cfRule type="expression" dxfId="2792" priority="22">
      <formula>B$9&lt;8/24</formula>
    </cfRule>
  </conditionalFormatting>
  <conditionalFormatting sqref="B50:AG50">
    <cfRule type="expression" dxfId="2791" priority="59">
      <formula>B50&gt;$AG50</formula>
    </cfRule>
  </conditionalFormatting>
  <conditionalFormatting sqref="B54:AG54">
    <cfRule type="expression" dxfId="2790" priority="63">
      <formula>AND(B$9&gt;=8/24,B$9&lt;14/24)</formula>
    </cfRule>
    <cfRule type="expression" dxfId="2789" priority="64">
      <formula>B$9&lt;8/24</formula>
    </cfRule>
    <cfRule type="expression" dxfId="2788" priority="61">
      <formula>B$9&gt;=20/24</formula>
    </cfRule>
    <cfRule type="expression" dxfId="2787" priority="60">
      <formula>B54&gt;$AG54</formula>
    </cfRule>
    <cfRule type="expression" dxfId="2786" priority="62">
      <formula>AND(B$9&gt;=14/24,B$9&lt;20/24)</formula>
    </cfRule>
  </conditionalFormatting>
  <conditionalFormatting sqref="E11:Z15 B11:D19 H16:Z17 E16:E19 F16:G26 B20:E26 B27:G46">
    <cfRule type="expression" dxfId="2785" priority="50">
      <formula>B$9&lt;8/24</formula>
    </cfRule>
    <cfRule type="expression" dxfId="2784" priority="46">
      <formula>B11&gt;$AG11</formula>
    </cfRule>
    <cfRule type="expression" dxfId="2783" priority="47">
      <formula>B$9&gt;=20/24</formula>
    </cfRule>
    <cfRule type="expression" dxfId="2782" priority="49">
      <formula>AND(B$9&gt;=8/24,B$9&lt;14/24)</formula>
    </cfRule>
    <cfRule type="expression" dxfId="2781" priority="48">
      <formula>AND(B$9&gt;=14/24,B$9&lt;20/24)</formula>
    </cfRule>
  </conditionalFormatting>
  <conditionalFormatting sqref="G55:T57">
    <cfRule type="expression" dxfId="2780" priority="454">
      <formula>G55&gt;$AG55</formula>
    </cfRule>
    <cfRule type="expression" dxfId="2779" priority="456">
      <formula>AND(G$9&gt;=14/24,G$9&lt;20/24)</formula>
    </cfRule>
    <cfRule type="expression" dxfId="2778" priority="458">
      <formula>G$9&lt;8/24</formula>
    </cfRule>
    <cfRule type="expression" dxfId="2777" priority="457">
      <formula>AND(G$9&gt;=8/24,G$9&lt;14/24)</formula>
    </cfRule>
    <cfRule type="expression" dxfId="2776" priority="455">
      <formula>G$9&gt;=20/24</formula>
    </cfRule>
  </conditionalFormatting>
  <conditionalFormatting sqref="O3:P3">
    <cfRule type="iconSet" priority="52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775" priority="523">
      <formula>C$9&gt;=20/24</formula>
    </cfRule>
  </conditionalFormatting>
  <conditionalFormatting sqref="S8">
    <cfRule type="expression" dxfId="2774" priority="497">
      <formula>AND(U$9&gt;=14/24,U$9&lt;20/24)</formula>
    </cfRule>
    <cfRule type="expression" dxfId="2773" priority="498">
      <formula>AND(U$9&gt;=8/24,U$9&lt;14/24)</formula>
    </cfRule>
    <cfRule type="expression" dxfId="2772" priority="496">
      <formula>U$9&gt;=20/24</formula>
    </cfRule>
    <cfRule type="expression" dxfId="2771" priority="499">
      <formula>U$9&lt;8/24</formula>
    </cfRule>
  </conditionalFormatting>
  <conditionalFormatting sqref="T248">
    <cfRule type="expression" dxfId="2770" priority="536">
      <formula>AX$9&gt;=20/24</formula>
    </cfRule>
    <cfRule type="expression" dxfId="2769" priority="537">
      <formula>AND(AX$9&gt;=14/24,AX$9&lt;20/24)</formula>
    </cfRule>
    <cfRule type="expression" dxfId="2768" priority="538">
      <formula>AND(AX$9&gt;=8/24,AX$9&lt;14/24)</formula>
    </cfRule>
    <cfRule type="expression" dxfId="2767" priority="539">
      <formula>AX$9&lt;8/24</formula>
    </cfRule>
  </conditionalFormatting>
  <conditionalFormatting sqref="U55:W58 X55:Z59">
    <cfRule type="expression" dxfId="2766" priority="476">
      <formula>U$9&lt;8/24</formula>
    </cfRule>
    <cfRule type="expression" dxfId="2765" priority="475">
      <formula>AND(U$9&gt;=8/24,U$9&lt;14/24)</formula>
    </cfRule>
    <cfRule type="expression" dxfId="2764" priority="474">
      <formula>AND(U$9&gt;=14/24,U$9&lt;20/24)</formula>
    </cfRule>
    <cfRule type="expression" dxfId="2763" priority="473">
      <formula>U$9&gt;=20/24</formula>
    </cfRule>
  </conditionalFormatting>
  <conditionalFormatting sqref="U55:Z59 L58:T59 I59:K59">
    <cfRule type="expression" dxfId="2762" priority="386">
      <formula>I55&gt;$AG55</formula>
    </cfRule>
  </conditionalFormatting>
  <conditionalFormatting sqref="V3 AB3">
    <cfRule type="iconSet" priority="522">
      <iconSet iconSet="3TrafficLights2" reverse="1">
        <cfvo type="percent" val="0"/>
        <cfvo type="num" val="1"/>
        <cfvo type="num" val="1"/>
      </iconSet>
    </cfRule>
  </conditionalFormatting>
  <conditionalFormatting sqref="AA55:AA71">
    <cfRule type="expression" dxfId="2761" priority="13">
      <formula>AA55&gt;$AG55</formula>
    </cfRule>
  </conditionalFormatting>
  <conditionalFormatting sqref="AA72">
    <cfRule type="expression" dxfId="2760" priority="12">
      <formula>AA$9&lt;8/24</formula>
    </cfRule>
    <cfRule type="expression" dxfId="2759" priority="11">
      <formula>AND(AA$9&gt;=8/24,AA$9&lt;14/24)</formula>
    </cfRule>
    <cfRule type="expression" dxfId="2758" priority="10">
      <formula>AND(AA$9&gt;=14/24,AA$9&lt;20/24)</formula>
    </cfRule>
    <cfRule type="expression" dxfId="2757" priority="9">
      <formula>AA$9&gt;=20/24</formula>
    </cfRule>
  </conditionalFormatting>
  <conditionalFormatting sqref="AA100:AA108">
    <cfRule type="expression" dxfId="2756" priority="1">
      <formula>AA$9&gt;=20/24</formula>
    </cfRule>
    <cfRule type="expression" dxfId="2755" priority="2">
      <formula>AND(AA$9&gt;=14/24,AA$9&lt;20/24)</formula>
    </cfRule>
    <cfRule type="expression" dxfId="2754" priority="3">
      <formula>AND(AA$9&gt;=8/24,AA$9&lt;14/24)</formula>
    </cfRule>
    <cfRule type="expression" dxfId="2753" priority="4">
      <formula>AA$9&lt;8/24</formula>
    </cfRule>
  </conditionalFormatting>
  <conditionalFormatting sqref="AA109">
    <cfRule type="expression" dxfId="2752" priority="39">
      <formula>AA$110="PN"</formula>
    </cfRule>
  </conditionalFormatting>
  <conditionalFormatting sqref="AA11:AF17 H18:AF46 B47:AF49 B51:AF53 AB55:AF66 AA55:AA67 AA69:AA71 AB69:AF89 AA73:AA89 AA93:AA99">
    <cfRule type="expression" dxfId="2751" priority="17">
      <formula>AND(B$9&gt;=8/24,B$9&lt;14/24)</formula>
    </cfRule>
    <cfRule type="expression" dxfId="2750" priority="16">
      <formula>AND(B$9&gt;=14/24,B$9&lt;20/24)</formula>
    </cfRule>
    <cfRule type="expression" dxfId="2749" priority="18">
      <formula>B$9&lt;8/24</formula>
    </cfRule>
  </conditionalFormatting>
  <conditionalFormatting sqref="AA11:AF17 H18:AF46 B47:AF49 B51:AF53 AB55:AF66 AB69:AF89 AA73:AA89 AA93:AA99 AA55:AA67 AA69:AA71">
    <cfRule type="expression" dxfId="2748" priority="15">
      <formula>B$9&gt;=20/24</formula>
    </cfRule>
  </conditionalFormatting>
  <conditionalFormatting sqref="AA11:AF17 H18:AF46 B47:AF49 B51:AF53 AB55:AF72 AA73:AA89 AB77:AC83 AA93:AA99">
    <cfRule type="expression" dxfId="2747" priority="14">
      <formula>B11&gt;$AG11</formula>
    </cfRule>
  </conditionalFormatting>
  <conditionalFormatting sqref="AB8">
    <cfRule type="expression" dxfId="2746" priority="494">
      <formula>AND(AD$9&gt;=8/24,AD$9&lt;14/24)</formula>
    </cfRule>
    <cfRule type="expression" dxfId="2745" priority="495">
      <formula>AD$9&lt;8/24</formula>
    </cfRule>
    <cfRule type="expression" dxfId="2744" priority="492">
      <formula>AD$9&gt;=20/24</formula>
    </cfRule>
    <cfRule type="expression" dxfId="2743" priority="493">
      <formula>AND(AD$9&gt;=14/24,AD$9&lt;20/24)</formula>
    </cfRule>
  </conditionalFormatting>
  <conditionalFormatting sqref="AB90:AF91 AA90:AA92">
    <cfRule type="expression" dxfId="2742" priority="5">
      <formula>AA$9&gt;=20/24</formula>
    </cfRule>
    <cfRule type="expression" dxfId="2741" priority="6">
      <formula>AND(AA$9&gt;=14/24,AA$9&lt;20/24)</formula>
    </cfRule>
    <cfRule type="expression" dxfId="2740" priority="7">
      <formula>AND(AA$9&gt;=8/24,AA$9&lt;14/24)</formula>
    </cfRule>
    <cfRule type="expression" dxfId="2739" priority="8">
      <formula>AA$9&lt;8/24</formula>
    </cfRule>
  </conditionalFormatting>
  <conditionalFormatting sqref="AB93:AF109">
    <cfRule type="expression" dxfId="2738" priority="384">
      <formula>AND(AB$9&gt;=8/24,AB$9&lt;14/24)</formula>
    </cfRule>
    <cfRule type="expression" dxfId="2737" priority="383">
      <formula>AND(AB$9&gt;=14/24,AB$9&lt;20/24)</formula>
    </cfRule>
    <cfRule type="expression" dxfId="2736" priority="382">
      <formula>AB$9&gt;=20/24</formula>
    </cfRule>
    <cfRule type="expression" dxfId="2735" priority="385">
      <formula>AB$9&lt;8/24</formula>
    </cfRule>
  </conditionalFormatting>
  <conditionalFormatting sqref="AG67:AG68 AG72">
    <cfRule type="expression" dxfId="2734" priority="449">
      <formula>AG67&gt;$AG67</formula>
    </cfRule>
  </conditionalFormatting>
  <conditionalFormatting sqref="AG72 AG89">
    <cfRule type="expression" dxfId="2733" priority="450">
      <formula>AG$9&gt;=20/24</formula>
    </cfRule>
    <cfRule type="expression" dxfId="2732" priority="451">
      <formula>AND(AG$9&gt;=14/24,AG$9&lt;20/24)</formula>
    </cfRule>
    <cfRule type="expression" dxfId="2731" priority="452">
      <formula>AND(AG$9&gt;=8/24,AG$9&lt;14/24)</formula>
    </cfRule>
    <cfRule type="expression" dxfId="2730" priority="453">
      <formula>AG$9&lt;8/24</formula>
    </cfRule>
  </conditionalFormatting>
  <conditionalFormatting sqref="AG248">
    <cfRule type="expression" dxfId="2729" priority="529">
      <formula>AND(B$9&gt;=14/24,B$9&lt;20/24)</formula>
    </cfRule>
    <cfRule type="expression" dxfId="2728" priority="530">
      <formula>AND(B$9&gt;=8/24,B$9&lt;14/24)</formula>
    </cfRule>
    <cfRule type="expression" dxfId="2727" priority="531">
      <formula>B$9&lt;8/24</formula>
    </cfRule>
    <cfRule type="expression" dxfId="2726" priority="528">
      <formula>B$9&gt;=20/24</formula>
    </cfRule>
  </conditionalFormatting>
  <conditionalFormatting sqref="AH248:AX248">
    <cfRule type="expression" dxfId="2725" priority="532">
      <formula>AG$9&gt;=20/24</formula>
    </cfRule>
    <cfRule type="expression" dxfId="2724" priority="533">
      <formula>AND(AG$9&gt;=14/24,AG$9&lt;20/24)</formula>
    </cfRule>
    <cfRule type="expression" dxfId="2723" priority="534">
      <formula>AND(AG$9&gt;=8/24,AG$9&lt;14/24)</formula>
    </cfRule>
    <cfRule type="expression" dxfId="2722" priority="535">
      <formula>AG$9&lt;8/24</formula>
    </cfRule>
  </conditionalFormatting>
  <conditionalFormatting sqref="AL4:AL6">
    <cfRule type="iconSet" priority="516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287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415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512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500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540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721" priority="541">
      <formula>AJ$9&gt;=20/24</formula>
    </cfRule>
    <cfRule type="expression" dxfId="2720" priority="542">
      <formula>AND(AJ$9&gt;=14/24,AJ$9&lt;20/24)</formula>
    </cfRule>
    <cfRule type="expression" dxfId="2719" priority="543">
      <formula>AND(AJ$9&gt;=8/24,AJ$9&lt;14/24)</formula>
    </cfRule>
    <cfRule type="expression" dxfId="2718" priority="544">
      <formula>AJ$9&lt;8/24</formula>
    </cfRule>
  </conditionalFormatting>
  <conditionalFormatting sqref="AL80:AN80 AL86:AN86">
    <cfRule type="expression" dxfId="2717" priority="341">
      <formula>AL$9&gt;=20/24</formula>
    </cfRule>
    <cfRule type="expression" dxfId="2716" priority="343">
      <formula>AND(AL$9&gt;=8/24,AL$9&lt;14/24)</formula>
    </cfRule>
    <cfRule type="expression" dxfId="2715" priority="342">
      <formula>AND(AL$9&gt;=14/24,AL$9&lt;20/24)</formula>
    </cfRule>
    <cfRule type="expression" dxfId="2714" priority="344">
      <formula>AL$9&lt;8/24</formula>
    </cfRule>
  </conditionalFormatting>
  <conditionalFormatting sqref="AN81:AN84">
    <cfRule type="expression" dxfId="2713" priority="337">
      <formula>AN$9&gt;=20/24</formula>
    </cfRule>
    <cfRule type="expression" dxfId="2712" priority="338">
      <formula>AND(AN$9&gt;=14/24,AN$9&lt;20/24)</formula>
    </cfRule>
    <cfRule type="expression" dxfId="2711" priority="339">
      <formula>AND(AN$9&gt;=8/24,AN$9&lt;14/24)</formula>
    </cfRule>
    <cfRule type="expression" dxfId="2710" priority="340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726D-9E5C-4D24-A0DA-3F3E95E8DDA2}">
  <dimension ref="A1:CJ281"/>
  <sheetViews>
    <sheetView zoomScale="96" zoomScaleNormal="96" workbookViewId="0">
      <pane xSplit="1" ySplit="10" topLeftCell="B9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X47" sqref="X47:AF4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2080/03/3</v>
      </c>
      <c r="C4" s="187"/>
      <c r="D4" s="187"/>
      <c r="E4" s="188" t="str">
        <f ca="1">"2079/"&amp;"12/"&amp;INT(MID(CELL("filename",G6),FIND("]",CELL("filename",G6))+1,200))</f>
        <v>2079/12/3</v>
      </c>
      <c r="F4" s="188"/>
      <c r="G4" s="188"/>
      <c r="H4" s="188" t="str">
        <f ca="1">TEXT(E4,"dddd")</f>
        <v>Sunday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66</v>
      </c>
      <c r="C5" s="30">
        <f t="shared" si="0"/>
        <v>69.599999999999994</v>
      </c>
      <c r="D5" s="30">
        <f t="shared" si="0"/>
        <v>69</v>
      </c>
      <c r="E5" s="30">
        <f t="shared" si="0"/>
        <v>67</v>
      </c>
      <c r="F5" s="30">
        <f t="shared" si="0"/>
        <v>65</v>
      </c>
      <c r="G5" s="30">
        <f t="shared" si="0"/>
        <v>51</v>
      </c>
      <c r="H5" s="30">
        <f t="shared" si="0"/>
        <v>48</v>
      </c>
      <c r="I5" s="30">
        <f t="shared" si="0"/>
        <v>44</v>
      </c>
      <c r="J5" s="30">
        <f t="shared" si="0"/>
        <v>42</v>
      </c>
      <c r="K5" s="30">
        <f t="shared" si="0"/>
        <v>34</v>
      </c>
      <c r="L5" s="30">
        <f t="shared" si="0"/>
        <v>30.6</v>
      </c>
      <c r="M5" s="30">
        <f t="shared" si="0"/>
        <v>77</v>
      </c>
      <c r="N5" s="30">
        <f t="shared" si="0"/>
        <v>115.1</v>
      </c>
      <c r="O5" s="30">
        <f t="shared" si="0"/>
        <v>109.6</v>
      </c>
      <c r="P5" s="30">
        <f t="shared" si="0"/>
        <v>0</v>
      </c>
      <c r="Q5" s="30">
        <f t="shared" si="0"/>
        <v>112.2</v>
      </c>
      <c r="R5" s="30">
        <f t="shared" si="0"/>
        <v>109</v>
      </c>
      <c r="S5" s="30">
        <f t="shared" si="0"/>
        <v>142.6</v>
      </c>
      <c r="T5" s="30">
        <f t="shared" si="0"/>
        <v>142</v>
      </c>
      <c r="U5" s="30">
        <f t="shared" si="0"/>
        <v>139.29999999999998</v>
      </c>
      <c r="V5" s="30">
        <f t="shared" si="0"/>
        <v>137.79999999999998</v>
      </c>
      <c r="W5" s="30">
        <f t="shared" si="0"/>
        <v>136.19999999999999</v>
      </c>
      <c r="X5" s="30">
        <f t="shared" si="0"/>
        <v>133.4</v>
      </c>
      <c r="Y5" s="30">
        <f t="shared" si="0"/>
        <v>122.39999999999999</v>
      </c>
      <c r="Z5" s="30">
        <f t="shared" si="0"/>
        <v>128.60000000000002</v>
      </c>
      <c r="AA5" s="30">
        <f t="shared" si="0"/>
        <v>100.2</v>
      </c>
      <c r="AB5" s="30">
        <f t="shared" si="0"/>
        <v>100.5</v>
      </c>
      <c r="AC5" s="30">
        <f t="shared" si="0"/>
        <v>107</v>
      </c>
      <c r="AD5" s="30">
        <f t="shared" si="0"/>
        <v>116</v>
      </c>
      <c r="AE5" s="30">
        <f t="shared" si="0"/>
        <v>0</v>
      </c>
      <c r="AF5" s="30">
        <f>B84</f>
        <v>72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1925MW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1878.94</v>
      </c>
      <c r="C7" s="35">
        <f t="shared" si="1"/>
        <v>1848.74</v>
      </c>
      <c r="D7" s="35">
        <f t="shared" si="1"/>
        <v>1795.6399999999999</v>
      </c>
      <c r="E7" s="35">
        <f t="shared" si="1"/>
        <v>1780.3400000000001</v>
      </c>
      <c r="F7" s="35">
        <f t="shared" si="1"/>
        <v>1818.3400000000001</v>
      </c>
      <c r="G7" s="35">
        <f t="shared" si="1"/>
        <v>1841.04</v>
      </c>
      <c r="H7" s="35">
        <f t="shared" si="1"/>
        <v>1793.74</v>
      </c>
      <c r="I7" s="35">
        <f t="shared" si="1"/>
        <v>1788.04</v>
      </c>
      <c r="J7" s="35">
        <f t="shared" si="1"/>
        <v>1784.2400000000002</v>
      </c>
      <c r="K7" s="35">
        <f t="shared" si="1"/>
        <v>1768.04</v>
      </c>
      <c r="L7" s="35">
        <f t="shared" si="1"/>
        <v>1767.7399999999998</v>
      </c>
      <c r="M7" s="35">
        <f t="shared" si="1"/>
        <v>1880.3399999999997</v>
      </c>
      <c r="N7" s="35">
        <f>N91</f>
        <v>1924.6399999999999</v>
      </c>
      <c r="O7" s="35">
        <f t="shared" si="1"/>
        <v>1926.2399999999998</v>
      </c>
      <c r="P7" s="35">
        <f t="shared" si="1"/>
        <v>2049.4399999999996</v>
      </c>
      <c r="Q7" s="35">
        <f t="shared" si="1"/>
        <v>3.54</v>
      </c>
      <c r="R7" s="35">
        <f t="shared" si="1"/>
        <v>1999.0400000000002</v>
      </c>
      <c r="S7" s="35">
        <f t="shared" si="1"/>
        <v>1975.04</v>
      </c>
      <c r="T7" s="35">
        <f t="shared" si="1"/>
        <v>2046.1399999999999</v>
      </c>
      <c r="U7" s="35">
        <f t="shared" si="1"/>
        <v>2002.74</v>
      </c>
      <c r="V7" s="35">
        <f t="shared" si="1"/>
        <v>2005.54</v>
      </c>
      <c r="W7" s="35">
        <f t="shared" si="1"/>
        <v>1952.24</v>
      </c>
      <c r="X7" s="35">
        <f t="shared" si="1"/>
        <v>1893.94</v>
      </c>
      <c r="Y7" s="35">
        <f t="shared" si="1"/>
        <v>1927.14</v>
      </c>
      <c r="Z7" s="35">
        <f t="shared" si="1"/>
        <v>1946.64</v>
      </c>
      <c r="AA7" s="35">
        <f t="shared" si="1"/>
        <v>1909.7399999999998</v>
      </c>
      <c r="AB7" s="35">
        <f t="shared" si="1"/>
        <v>1863.54</v>
      </c>
      <c r="AC7" s="35">
        <f t="shared" si="1"/>
        <v>1841.84</v>
      </c>
      <c r="AD7" s="35">
        <f t="shared" si="1"/>
        <v>1870.34</v>
      </c>
      <c r="AE7" s="35">
        <f t="shared" si="1"/>
        <v>1799.34</v>
      </c>
      <c r="AF7" s="35">
        <f t="shared" si="1"/>
        <v>1703.34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54.6</v>
      </c>
      <c r="C11" s="45">
        <v>54.6</v>
      </c>
      <c r="D11" s="45">
        <v>54.6</v>
      </c>
      <c r="E11" s="45">
        <v>53</v>
      </c>
      <c r="F11" s="45">
        <v>60.5</v>
      </c>
      <c r="G11" s="45">
        <v>60.5</v>
      </c>
      <c r="H11" s="45">
        <v>60.6</v>
      </c>
      <c r="I11" s="45">
        <v>60.6</v>
      </c>
      <c r="J11" s="45">
        <v>60.6</v>
      </c>
      <c r="K11" s="45">
        <v>60.6</v>
      </c>
      <c r="L11" s="45">
        <v>60.6</v>
      </c>
      <c r="M11" s="45">
        <v>60.5</v>
      </c>
      <c r="N11" s="45">
        <v>60.5</v>
      </c>
      <c r="O11" s="45">
        <v>60.6</v>
      </c>
      <c r="P11" s="45">
        <v>60.6</v>
      </c>
      <c r="Q11" s="45" t="s">
        <v>20</v>
      </c>
      <c r="R11" s="45">
        <v>60.6</v>
      </c>
      <c r="S11" s="45">
        <v>60.6</v>
      </c>
      <c r="T11" s="45">
        <v>60.6</v>
      </c>
      <c r="U11" s="45">
        <v>60.6</v>
      </c>
      <c r="V11" s="45">
        <v>60.6</v>
      </c>
      <c r="W11" s="45">
        <v>60.6</v>
      </c>
      <c r="X11" s="45">
        <v>60.6</v>
      </c>
      <c r="Y11" s="45">
        <v>60.6</v>
      </c>
      <c r="Z11" s="45">
        <v>60.6</v>
      </c>
      <c r="AA11" s="45">
        <v>60.6</v>
      </c>
      <c r="AB11" s="45">
        <v>60.6</v>
      </c>
      <c r="AC11" s="45">
        <v>60.6</v>
      </c>
      <c r="AD11" s="45">
        <v>60.6</v>
      </c>
      <c r="AE11" s="45">
        <v>60.6</v>
      </c>
      <c r="AF11" s="45">
        <v>60.6</v>
      </c>
      <c r="AG11" s="46">
        <v>86</v>
      </c>
      <c r="AH11" s="47">
        <f t="shared" ref="AH11:AH76" si="2">MAX(B11:AF11)</f>
        <v>60.6</v>
      </c>
      <c r="AI11" s="48">
        <f t="shared" ref="AI11:AI76" si="3">MIN(B11:AF11)</f>
        <v>53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 t="s">
        <v>22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9">
        <v>54</v>
      </c>
      <c r="AH12" s="47">
        <f t="shared" si="2"/>
        <v>0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44</v>
      </c>
      <c r="C13" s="45">
        <v>44</v>
      </c>
      <c r="D13" s="45">
        <v>44</v>
      </c>
      <c r="E13" s="45">
        <v>18.600000000000001</v>
      </c>
      <c r="F13" s="45">
        <v>35</v>
      </c>
      <c r="G13" s="45">
        <v>46.7</v>
      </c>
      <c r="H13" s="45">
        <v>54.2</v>
      </c>
      <c r="I13" s="45">
        <v>51.5</v>
      </c>
      <c r="J13" s="45">
        <v>51.5</v>
      </c>
      <c r="K13" s="45">
        <v>51.5</v>
      </c>
      <c r="L13" s="45">
        <v>51.5</v>
      </c>
      <c r="M13" s="45">
        <v>54.1</v>
      </c>
      <c r="N13" s="45">
        <v>54.1</v>
      </c>
      <c r="O13" s="45">
        <v>28.2</v>
      </c>
      <c r="P13" s="45">
        <v>28.2</v>
      </c>
      <c r="Q13" s="45" t="s">
        <v>20</v>
      </c>
      <c r="R13" s="45">
        <v>28.2</v>
      </c>
      <c r="S13" s="45">
        <v>28.2</v>
      </c>
      <c r="T13" s="45">
        <v>28.2</v>
      </c>
      <c r="U13" s="45">
        <v>28.2</v>
      </c>
      <c r="V13" s="45">
        <v>28.2</v>
      </c>
      <c r="W13" s="45">
        <v>28.2</v>
      </c>
      <c r="X13" s="45">
        <v>28.2</v>
      </c>
      <c r="Y13" s="45">
        <v>28.2</v>
      </c>
      <c r="Z13" s="45">
        <v>28.2</v>
      </c>
      <c r="AA13" s="45">
        <v>28.2</v>
      </c>
      <c r="AB13" s="45">
        <v>28.2</v>
      </c>
      <c r="AC13" s="45">
        <v>28.2</v>
      </c>
      <c r="AD13" s="45">
        <v>28.2</v>
      </c>
      <c r="AE13" s="45">
        <v>28.2</v>
      </c>
      <c r="AF13" s="45">
        <v>28.2</v>
      </c>
      <c r="AG13" s="46">
        <v>52.4</v>
      </c>
      <c r="AH13" s="47">
        <f t="shared" si="2"/>
        <v>54.2</v>
      </c>
      <c r="AI13" s="48">
        <f t="shared" si="3"/>
        <v>18.600000000000001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50.7</v>
      </c>
      <c r="C14" s="50">
        <v>50.7</v>
      </c>
      <c r="D14" s="50">
        <v>50.7</v>
      </c>
      <c r="E14" s="50">
        <v>50.6</v>
      </c>
      <c r="F14" s="50">
        <v>50.6</v>
      </c>
      <c r="G14" s="50">
        <v>50.6</v>
      </c>
      <c r="H14" s="50">
        <v>50.6</v>
      </c>
      <c r="I14" s="50">
        <v>50.6</v>
      </c>
      <c r="J14" s="50">
        <v>50.6</v>
      </c>
      <c r="K14" s="50">
        <v>50.6</v>
      </c>
      <c r="L14" s="50">
        <v>50.6</v>
      </c>
      <c r="M14" s="50">
        <v>50.7</v>
      </c>
      <c r="N14" s="50">
        <v>50.7</v>
      </c>
      <c r="O14" s="50">
        <v>50.7</v>
      </c>
      <c r="P14" s="50">
        <v>50.7</v>
      </c>
      <c r="Q14" s="50" t="s">
        <v>25</v>
      </c>
      <c r="R14" s="50">
        <v>50.7</v>
      </c>
      <c r="S14" s="50">
        <v>50.7</v>
      </c>
      <c r="T14" s="50">
        <v>50.7</v>
      </c>
      <c r="U14" s="50">
        <v>50.7</v>
      </c>
      <c r="V14" s="50">
        <v>50.7</v>
      </c>
      <c r="W14" s="50">
        <v>50.7</v>
      </c>
      <c r="X14" s="50">
        <v>50.7</v>
      </c>
      <c r="Y14" s="50">
        <v>50.7</v>
      </c>
      <c r="Z14" s="50">
        <v>50.7</v>
      </c>
      <c r="AA14" s="45">
        <v>50.7</v>
      </c>
      <c r="AB14" s="45">
        <v>50.7</v>
      </c>
      <c r="AC14" s="45">
        <v>50.7</v>
      </c>
      <c r="AD14" s="45">
        <v>50.7</v>
      </c>
      <c r="AE14" s="45">
        <v>50.7</v>
      </c>
      <c r="AF14" s="45">
        <v>50.7</v>
      </c>
      <c r="AG14" s="49">
        <v>50</v>
      </c>
      <c r="AH14" s="47">
        <f t="shared" si="2"/>
        <v>50.7</v>
      </c>
      <c r="AI14" s="48">
        <f t="shared" si="3"/>
        <v>50.6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46</v>
      </c>
      <c r="C15" s="45">
        <v>46</v>
      </c>
      <c r="D15" s="45">
        <v>46</v>
      </c>
      <c r="E15" s="45">
        <v>37.6</v>
      </c>
      <c r="F15" s="45">
        <v>38</v>
      </c>
      <c r="G15" s="45">
        <v>38</v>
      </c>
      <c r="H15" s="45">
        <v>38</v>
      </c>
      <c r="I15" s="45">
        <v>38</v>
      </c>
      <c r="J15" s="45">
        <v>38</v>
      </c>
      <c r="K15" s="45">
        <v>38</v>
      </c>
      <c r="L15" s="45">
        <v>38</v>
      </c>
      <c r="M15" s="45">
        <v>45</v>
      </c>
      <c r="N15" s="45">
        <v>45.9</v>
      </c>
      <c r="O15" s="45">
        <v>45.9</v>
      </c>
      <c r="P15" s="45">
        <v>45.9</v>
      </c>
      <c r="Q15" s="45" t="s">
        <v>27</v>
      </c>
      <c r="R15" s="45">
        <v>45.9</v>
      </c>
      <c r="S15" s="45">
        <v>45.9</v>
      </c>
      <c r="T15" s="45">
        <v>45.9</v>
      </c>
      <c r="U15" s="45">
        <v>45.9</v>
      </c>
      <c r="V15" s="45">
        <v>45.9</v>
      </c>
      <c r="W15" s="45">
        <v>45.9</v>
      </c>
      <c r="X15" s="45">
        <v>45.9</v>
      </c>
      <c r="Y15" s="45">
        <v>45.9</v>
      </c>
      <c r="Z15" s="45">
        <v>45.9</v>
      </c>
      <c r="AA15" s="45">
        <v>45.9</v>
      </c>
      <c r="AB15" s="45">
        <v>45.9</v>
      </c>
      <c r="AC15" s="45">
        <v>45.9</v>
      </c>
      <c r="AD15" s="45">
        <v>45.9</v>
      </c>
      <c r="AE15" s="45">
        <v>45.9</v>
      </c>
      <c r="AF15" s="45">
        <v>45.9</v>
      </c>
      <c r="AG15" s="49">
        <v>45</v>
      </c>
      <c r="AH15" s="47">
        <f t="shared" si="2"/>
        <v>46</v>
      </c>
      <c r="AI15" s="48">
        <f t="shared" si="3"/>
        <v>37.6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40</v>
      </c>
      <c r="F16" s="45">
        <v>42</v>
      </c>
      <c r="G16" s="45">
        <v>42</v>
      </c>
      <c r="H16" s="45">
        <v>42</v>
      </c>
      <c r="I16" s="45">
        <v>42</v>
      </c>
      <c r="J16" s="45">
        <v>42</v>
      </c>
      <c r="K16" s="45">
        <v>42</v>
      </c>
      <c r="L16" s="45">
        <v>42</v>
      </c>
      <c r="M16" s="45">
        <v>42</v>
      </c>
      <c r="N16" s="45">
        <v>42</v>
      </c>
      <c r="O16" s="45">
        <v>42</v>
      </c>
      <c r="P16" s="45">
        <v>42</v>
      </c>
      <c r="Q16" s="45" t="s">
        <v>29</v>
      </c>
      <c r="R16" s="45">
        <v>42</v>
      </c>
      <c r="S16" s="45">
        <v>42</v>
      </c>
      <c r="T16" s="45">
        <v>42</v>
      </c>
      <c r="U16" s="45">
        <v>42</v>
      </c>
      <c r="V16" s="45">
        <v>42</v>
      </c>
      <c r="W16" s="45">
        <v>42</v>
      </c>
      <c r="X16" s="45">
        <v>42</v>
      </c>
      <c r="Y16" s="45">
        <v>42</v>
      </c>
      <c r="Z16" s="45">
        <v>42</v>
      </c>
      <c r="AA16" s="45">
        <v>42</v>
      </c>
      <c r="AB16" s="45">
        <v>42</v>
      </c>
      <c r="AC16" s="45">
        <v>42</v>
      </c>
      <c r="AD16" s="45">
        <v>42</v>
      </c>
      <c r="AE16" s="45">
        <v>42</v>
      </c>
      <c r="AF16" s="45">
        <v>42</v>
      </c>
      <c r="AG16" s="49">
        <v>44</v>
      </c>
      <c r="AH16" s="47">
        <f>MAX(B16:AG16)</f>
        <v>44</v>
      </c>
      <c r="AI16" s="48">
        <f>MIN(B16:AG16)</f>
        <v>40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32.5</v>
      </c>
      <c r="C17" s="45">
        <v>32.5</v>
      </c>
      <c r="D17" s="45">
        <v>32.5</v>
      </c>
      <c r="E17" s="45">
        <v>30</v>
      </c>
      <c r="F17" s="45">
        <v>30</v>
      </c>
      <c r="G17" s="45">
        <v>30</v>
      </c>
      <c r="H17" s="45">
        <v>30</v>
      </c>
      <c r="I17" s="45">
        <v>30</v>
      </c>
      <c r="J17" s="45">
        <v>30</v>
      </c>
      <c r="K17" s="45">
        <v>30</v>
      </c>
      <c r="L17" s="45">
        <v>30</v>
      </c>
      <c r="M17" s="45">
        <v>30</v>
      </c>
      <c r="N17" s="45">
        <v>30.5</v>
      </c>
      <c r="O17" s="45">
        <v>30.5</v>
      </c>
      <c r="P17" s="45">
        <v>30.5</v>
      </c>
      <c r="Q17" s="45" t="s">
        <v>268</v>
      </c>
      <c r="R17" s="45">
        <v>30.5</v>
      </c>
      <c r="S17" s="45">
        <v>30.5</v>
      </c>
      <c r="T17" s="45">
        <v>29</v>
      </c>
      <c r="U17" s="45">
        <v>29</v>
      </c>
      <c r="V17" s="45">
        <v>29</v>
      </c>
      <c r="W17" s="45">
        <v>29</v>
      </c>
      <c r="X17" s="45">
        <v>29</v>
      </c>
      <c r="Y17" s="45">
        <v>29</v>
      </c>
      <c r="Z17" s="45">
        <v>29</v>
      </c>
      <c r="AA17" s="45">
        <v>29</v>
      </c>
      <c r="AB17" s="45">
        <v>29</v>
      </c>
      <c r="AC17" s="45">
        <v>29</v>
      </c>
      <c r="AD17" s="45">
        <v>29</v>
      </c>
      <c r="AE17" s="45">
        <v>29</v>
      </c>
      <c r="AF17" s="45">
        <v>29</v>
      </c>
      <c r="AG17" s="49">
        <v>42</v>
      </c>
      <c r="AH17" s="47">
        <f t="shared" si="2"/>
        <v>32.5</v>
      </c>
      <c r="AI17" s="48">
        <f t="shared" si="3"/>
        <v>29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36</v>
      </c>
      <c r="C18" s="45">
        <v>36</v>
      </c>
      <c r="D18" s="45">
        <v>36</v>
      </c>
      <c r="E18" s="45">
        <v>36</v>
      </c>
      <c r="F18" s="45">
        <v>36</v>
      </c>
      <c r="G18" s="45">
        <v>36</v>
      </c>
      <c r="H18" s="45">
        <v>36</v>
      </c>
      <c r="I18" s="45">
        <v>36</v>
      </c>
      <c r="J18" s="45">
        <v>36</v>
      </c>
      <c r="K18" s="45">
        <v>36</v>
      </c>
      <c r="L18" s="45">
        <v>36</v>
      </c>
      <c r="M18" s="45">
        <v>36</v>
      </c>
      <c r="N18" s="45">
        <v>36</v>
      </c>
      <c r="O18" s="45">
        <v>36</v>
      </c>
      <c r="P18" s="45">
        <v>36</v>
      </c>
      <c r="Q18" s="45" t="s">
        <v>267</v>
      </c>
      <c r="R18" s="45">
        <v>36</v>
      </c>
      <c r="S18" s="45">
        <v>36</v>
      </c>
      <c r="T18" s="45">
        <v>36</v>
      </c>
      <c r="U18" s="45">
        <v>36</v>
      </c>
      <c r="V18" s="45">
        <v>36</v>
      </c>
      <c r="W18" s="45">
        <v>36</v>
      </c>
      <c r="X18" s="45">
        <v>36</v>
      </c>
      <c r="Y18" s="45">
        <v>36</v>
      </c>
      <c r="Z18" s="45">
        <v>36</v>
      </c>
      <c r="AA18" s="45">
        <v>36</v>
      </c>
      <c r="AB18" s="45">
        <v>36</v>
      </c>
      <c r="AC18" s="45">
        <v>36</v>
      </c>
      <c r="AD18" s="45">
        <v>36</v>
      </c>
      <c r="AE18" s="45">
        <v>36</v>
      </c>
      <c r="AF18" s="45">
        <v>36</v>
      </c>
      <c r="AG18" s="49">
        <v>38.46</v>
      </c>
      <c r="AH18" s="47">
        <f t="shared" si="2"/>
        <v>36</v>
      </c>
      <c r="AI18" s="48">
        <f t="shared" si="3"/>
        <v>36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32</v>
      </c>
      <c r="C19" s="45">
        <v>32</v>
      </c>
      <c r="D19" s="45">
        <v>20</v>
      </c>
      <c r="E19" s="45">
        <v>20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 t="s">
        <v>269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49">
        <v>36</v>
      </c>
      <c r="AH19" s="47">
        <f t="shared" si="2"/>
        <v>32</v>
      </c>
      <c r="AI19" s="48">
        <f t="shared" si="3"/>
        <v>20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20</v>
      </c>
      <c r="C20" s="45">
        <v>20</v>
      </c>
      <c r="D20" s="45">
        <v>20</v>
      </c>
      <c r="E20" s="45">
        <v>20</v>
      </c>
      <c r="F20" s="45">
        <v>20</v>
      </c>
      <c r="G20" s="45">
        <v>28</v>
      </c>
      <c r="H20" s="45">
        <v>30</v>
      </c>
      <c r="I20" s="45">
        <v>30</v>
      </c>
      <c r="J20" s="45">
        <v>30</v>
      </c>
      <c r="K20" s="45">
        <v>30</v>
      </c>
      <c r="L20" s="45">
        <v>30</v>
      </c>
      <c r="M20" s="45">
        <v>30</v>
      </c>
      <c r="N20" s="45">
        <v>15</v>
      </c>
      <c r="O20" s="45">
        <v>15</v>
      </c>
      <c r="P20" s="45">
        <v>15</v>
      </c>
      <c r="Q20" s="45" t="s">
        <v>20</v>
      </c>
      <c r="R20" s="45">
        <v>15</v>
      </c>
      <c r="S20" s="45">
        <v>15</v>
      </c>
      <c r="T20" s="45">
        <v>18</v>
      </c>
      <c r="U20" s="45">
        <v>18</v>
      </c>
      <c r="V20" s="45">
        <v>18</v>
      </c>
      <c r="W20" s="45">
        <v>18</v>
      </c>
      <c r="X20" s="45">
        <v>18</v>
      </c>
      <c r="Y20" s="45">
        <v>18</v>
      </c>
      <c r="Z20" s="45">
        <v>18</v>
      </c>
      <c r="AA20" s="45">
        <v>18</v>
      </c>
      <c r="AB20" s="45">
        <v>18</v>
      </c>
      <c r="AC20" s="45">
        <v>18</v>
      </c>
      <c r="AD20" s="45">
        <v>18</v>
      </c>
      <c r="AE20" s="45">
        <v>18</v>
      </c>
      <c r="AF20" s="45">
        <v>18</v>
      </c>
      <c r="AG20" s="51">
        <v>30</v>
      </c>
      <c r="AH20" s="47">
        <f t="shared" si="2"/>
        <v>30</v>
      </c>
      <c r="AI20" s="48">
        <f t="shared" si="3"/>
        <v>15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</v>
      </c>
      <c r="C21" s="45">
        <v>20</v>
      </c>
      <c r="D21" s="45">
        <v>20</v>
      </c>
      <c r="E21" s="45">
        <v>20</v>
      </c>
      <c r="F21" s="45">
        <v>20.6</v>
      </c>
      <c r="G21" s="45">
        <v>20.6</v>
      </c>
      <c r="H21" s="45">
        <v>20.7</v>
      </c>
      <c r="I21" s="45">
        <v>20.7</v>
      </c>
      <c r="J21" s="45">
        <v>20.7</v>
      </c>
      <c r="K21" s="45">
        <v>20.7</v>
      </c>
      <c r="L21" s="45">
        <v>20.7</v>
      </c>
      <c r="M21" s="45">
        <v>29</v>
      </c>
      <c r="N21" s="45">
        <v>20.7</v>
      </c>
      <c r="O21" s="45">
        <v>0</v>
      </c>
      <c r="P21" s="45">
        <v>20.9</v>
      </c>
      <c r="Q21" s="45" t="s">
        <v>25</v>
      </c>
      <c r="R21" s="45">
        <v>20.9</v>
      </c>
      <c r="S21" s="45">
        <v>20.9</v>
      </c>
      <c r="T21" s="45">
        <v>20.9</v>
      </c>
      <c r="U21" s="45">
        <v>20.9</v>
      </c>
      <c r="V21" s="45">
        <v>20.9</v>
      </c>
      <c r="W21" s="45">
        <v>20.9</v>
      </c>
      <c r="X21" s="45">
        <v>20.9</v>
      </c>
      <c r="Y21" s="45">
        <v>20.9</v>
      </c>
      <c r="Z21" s="45">
        <v>20.9</v>
      </c>
      <c r="AA21" s="45">
        <v>20.9</v>
      </c>
      <c r="AB21" s="45">
        <v>20.9</v>
      </c>
      <c r="AC21" s="45">
        <v>20.9</v>
      </c>
      <c r="AD21" s="45">
        <v>20.9</v>
      </c>
      <c r="AE21" s="45">
        <v>20.9</v>
      </c>
      <c r="AF21" s="45">
        <v>20.9</v>
      </c>
      <c r="AG21" s="49">
        <v>24.2</v>
      </c>
      <c r="AH21" s="47">
        <f t="shared" si="2"/>
        <v>29</v>
      </c>
      <c r="AI21" s="48">
        <f t="shared" si="3"/>
        <v>0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14</v>
      </c>
      <c r="C22" s="45">
        <v>14</v>
      </c>
      <c r="D22" s="45">
        <v>14</v>
      </c>
      <c r="E22" s="45">
        <v>14</v>
      </c>
      <c r="F22" s="45">
        <v>14</v>
      </c>
      <c r="G22" s="45">
        <v>14</v>
      </c>
      <c r="H22" s="45">
        <v>14</v>
      </c>
      <c r="I22" s="45">
        <v>14</v>
      </c>
      <c r="J22" s="45">
        <v>14</v>
      </c>
      <c r="K22" s="45">
        <v>0</v>
      </c>
      <c r="L22" s="45">
        <v>0</v>
      </c>
      <c r="M22" s="45">
        <v>0</v>
      </c>
      <c r="N22" s="45">
        <v>15</v>
      </c>
      <c r="O22" s="45">
        <v>0</v>
      </c>
      <c r="P22" s="45">
        <v>21</v>
      </c>
      <c r="Q22" s="45" t="s">
        <v>36</v>
      </c>
      <c r="R22" s="45">
        <v>21</v>
      </c>
      <c r="S22" s="45">
        <v>21</v>
      </c>
      <c r="T22" s="45">
        <v>21</v>
      </c>
      <c r="U22" s="45">
        <v>21</v>
      </c>
      <c r="V22" s="45">
        <v>21</v>
      </c>
      <c r="W22" s="45">
        <v>21</v>
      </c>
      <c r="X22" s="45">
        <v>21</v>
      </c>
      <c r="Y22" s="45">
        <v>21</v>
      </c>
      <c r="Z22" s="45">
        <v>21</v>
      </c>
      <c r="AA22" s="45">
        <v>21</v>
      </c>
      <c r="AB22" s="45">
        <v>21</v>
      </c>
      <c r="AC22" s="45">
        <v>21</v>
      </c>
      <c r="AD22" s="45">
        <v>21</v>
      </c>
      <c r="AE22" s="45">
        <v>21</v>
      </c>
      <c r="AF22" s="45">
        <v>21</v>
      </c>
      <c r="AG22" s="49">
        <v>28</v>
      </c>
      <c r="AH22" s="47">
        <f t="shared" si="2"/>
        <v>21</v>
      </c>
      <c r="AI22" s="48">
        <f t="shared" si="3"/>
        <v>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9</v>
      </c>
      <c r="D23" s="45">
        <v>9</v>
      </c>
      <c r="E23" s="45">
        <v>17</v>
      </c>
      <c r="F23" s="45">
        <v>18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9</v>
      </c>
      <c r="N23" s="45">
        <v>9</v>
      </c>
      <c r="O23" s="45">
        <v>9</v>
      </c>
      <c r="P23" s="45">
        <v>9</v>
      </c>
      <c r="Q23" s="45" t="s">
        <v>38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18</v>
      </c>
      <c r="AI23" s="48">
        <f t="shared" si="3"/>
        <v>9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</v>
      </c>
      <c r="C24" s="45">
        <v>26</v>
      </c>
      <c r="D24" s="45">
        <v>26</v>
      </c>
      <c r="E24" s="45">
        <v>26</v>
      </c>
      <c r="F24" s="45">
        <v>26</v>
      </c>
      <c r="G24" s="45">
        <v>26</v>
      </c>
      <c r="H24" s="45">
        <v>26</v>
      </c>
      <c r="I24" s="45">
        <v>26</v>
      </c>
      <c r="J24" s="45">
        <v>26</v>
      </c>
      <c r="K24" s="45">
        <v>26</v>
      </c>
      <c r="L24" s="45">
        <v>26</v>
      </c>
      <c r="M24" s="45">
        <v>26</v>
      </c>
      <c r="N24" s="45">
        <v>26</v>
      </c>
      <c r="O24" s="45">
        <v>26</v>
      </c>
      <c r="P24" s="45">
        <v>26</v>
      </c>
      <c r="Q24" s="45" t="s">
        <v>40</v>
      </c>
      <c r="R24" s="45">
        <v>26</v>
      </c>
      <c r="S24" s="45">
        <v>26</v>
      </c>
      <c r="T24" s="45">
        <v>26</v>
      </c>
      <c r="U24" s="45">
        <v>26</v>
      </c>
      <c r="V24" s="45">
        <v>26</v>
      </c>
      <c r="W24" s="45">
        <v>26</v>
      </c>
      <c r="X24" s="45">
        <v>26</v>
      </c>
      <c r="Y24" s="45">
        <v>26</v>
      </c>
      <c r="Z24" s="45">
        <v>26</v>
      </c>
      <c r="AA24" s="45">
        <v>26</v>
      </c>
      <c r="AB24" s="45">
        <v>26</v>
      </c>
      <c r="AC24" s="45">
        <v>26</v>
      </c>
      <c r="AD24" s="45">
        <v>26</v>
      </c>
      <c r="AE24" s="45">
        <v>26</v>
      </c>
      <c r="AF24" s="45">
        <v>26</v>
      </c>
      <c r="AG24" s="49">
        <v>25</v>
      </c>
      <c r="AH24" s="47">
        <f t="shared" si="2"/>
        <v>26</v>
      </c>
      <c r="AI24" s="48">
        <f t="shared" si="3"/>
        <v>26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/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21.5</v>
      </c>
      <c r="C26" s="45">
        <v>21.5</v>
      </c>
      <c r="D26" s="45">
        <v>21.5</v>
      </c>
      <c r="E26" s="45">
        <v>21.5</v>
      </c>
      <c r="F26" s="45">
        <v>15</v>
      </c>
      <c r="G26" s="45">
        <v>20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/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15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5</v>
      </c>
      <c r="C27" s="45">
        <v>5</v>
      </c>
      <c r="D27" s="45">
        <v>5</v>
      </c>
      <c r="E27" s="45">
        <v>20</v>
      </c>
      <c r="F27" s="45">
        <v>25</v>
      </c>
      <c r="G27" s="45">
        <v>25</v>
      </c>
      <c r="H27" s="45">
        <v>27</v>
      </c>
      <c r="I27" s="45">
        <v>27</v>
      </c>
      <c r="J27" s="45">
        <v>27</v>
      </c>
      <c r="K27" s="45">
        <v>27</v>
      </c>
      <c r="L27" s="45">
        <v>27</v>
      </c>
      <c r="M27" s="45">
        <v>27</v>
      </c>
      <c r="N27" s="45">
        <v>27</v>
      </c>
      <c r="O27" s="45">
        <v>27</v>
      </c>
      <c r="P27" s="45">
        <v>27</v>
      </c>
      <c r="Q27" s="45"/>
      <c r="R27" s="45">
        <v>27</v>
      </c>
      <c r="S27" s="45">
        <v>27</v>
      </c>
      <c r="T27" s="45">
        <v>27</v>
      </c>
      <c r="U27" s="45">
        <v>27</v>
      </c>
      <c r="V27" s="45">
        <v>27</v>
      </c>
      <c r="W27" s="45">
        <v>27</v>
      </c>
      <c r="X27" s="45">
        <v>27</v>
      </c>
      <c r="Y27" s="45">
        <v>27</v>
      </c>
      <c r="Z27" s="45">
        <v>27</v>
      </c>
      <c r="AA27" s="45">
        <v>27</v>
      </c>
      <c r="AB27" s="45">
        <v>27</v>
      </c>
      <c r="AC27" s="45">
        <v>27</v>
      </c>
      <c r="AD27" s="45">
        <v>27</v>
      </c>
      <c r="AE27" s="45">
        <v>27</v>
      </c>
      <c r="AF27" s="45">
        <v>27</v>
      </c>
      <c r="AG27" s="49">
        <v>25</v>
      </c>
      <c r="AH27" s="47">
        <f t="shared" si="2"/>
        <v>27</v>
      </c>
      <c r="AI27" s="48">
        <f t="shared" si="3"/>
        <v>5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14.4</v>
      </c>
      <c r="C28" s="45">
        <v>14.4</v>
      </c>
      <c r="D28" s="45">
        <v>14.4</v>
      </c>
      <c r="E28" s="45">
        <v>18.3</v>
      </c>
      <c r="F28" s="45">
        <v>24.2</v>
      </c>
      <c r="G28" s="45">
        <v>24.2</v>
      </c>
      <c r="H28" s="45">
        <v>24.2</v>
      </c>
      <c r="I28" s="45">
        <v>24.2</v>
      </c>
      <c r="J28" s="45">
        <v>24.2</v>
      </c>
      <c r="K28" s="45">
        <v>24.2</v>
      </c>
      <c r="L28" s="45">
        <v>24.2</v>
      </c>
      <c r="M28" s="45">
        <v>24.2</v>
      </c>
      <c r="N28" s="45">
        <v>24.2</v>
      </c>
      <c r="O28" s="45">
        <v>24.2</v>
      </c>
      <c r="P28" s="45">
        <v>24.2</v>
      </c>
      <c r="Q28" s="45"/>
      <c r="R28" s="45">
        <v>24.2</v>
      </c>
      <c r="S28" s="45">
        <v>24.2</v>
      </c>
      <c r="T28" s="45">
        <v>24.2</v>
      </c>
      <c r="U28" s="45">
        <v>24.2</v>
      </c>
      <c r="V28" s="45">
        <v>24.2</v>
      </c>
      <c r="W28" s="45">
        <v>24.2</v>
      </c>
      <c r="X28" s="45">
        <v>24.2</v>
      </c>
      <c r="Y28" s="45">
        <v>24.2</v>
      </c>
      <c r="Z28" s="45">
        <v>24.2</v>
      </c>
      <c r="AA28" s="45">
        <v>24.2</v>
      </c>
      <c r="AB28" s="45">
        <v>24.2</v>
      </c>
      <c r="AC28" s="45">
        <v>24.2</v>
      </c>
      <c r="AD28" s="45">
        <v>24.2</v>
      </c>
      <c r="AE28" s="45">
        <v>24.2</v>
      </c>
      <c r="AF28" s="45">
        <v>24.2</v>
      </c>
      <c r="AG28" s="49">
        <v>23.5</v>
      </c>
      <c r="AH28" s="47">
        <f t="shared" si="2"/>
        <v>24.2</v>
      </c>
      <c r="AI28" s="48">
        <f t="shared" si="3"/>
        <v>14.4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20.5</v>
      </c>
      <c r="C29" s="45">
        <v>20.5</v>
      </c>
      <c r="D29" s="45">
        <v>20.5</v>
      </c>
      <c r="E29" s="45">
        <v>20.5</v>
      </c>
      <c r="F29" s="45">
        <v>20</v>
      </c>
      <c r="G29" s="45">
        <v>20</v>
      </c>
      <c r="H29" s="45">
        <v>20</v>
      </c>
      <c r="I29" s="45">
        <v>20</v>
      </c>
      <c r="J29" s="45">
        <v>20</v>
      </c>
      <c r="K29" s="45">
        <v>20</v>
      </c>
      <c r="L29" s="45">
        <v>20</v>
      </c>
      <c r="M29" s="45">
        <v>20</v>
      </c>
      <c r="N29" s="45">
        <v>20</v>
      </c>
      <c r="O29" s="45">
        <v>20</v>
      </c>
      <c r="P29" s="45">
        <v>20</v>
      </c>
      <c r="Q29" s="45"/>
      <c r="R29" s="45">
        <v>20</v>
      </c>
      <c r="S29" s="45">
        <v>20</v>
      </c>
      <c r="T29" s="45">
        <v>20</v>
      </c>
      <c r="U29" s="45">
        <v>20</v>
      </c>
      <c r="V29" s="45">
        <v>20</v>
      </c>
      <c r="W29" s="45">
        <v>20</v>
      </c>
      <c r="X29" s="45">
        <v>20</v>
      </c>
      <c r="Y29" s="45">
        <v>20</v>
      </c>
      <c r="Z29" s="45">
        <v>20</v>
      </c>
      <c r="AA29" s="45">
        <v>20</v>
      </c>
      <c r="AB29" s="45">
        <v>20</v>
      </c>
      <c r="AC29" s="45">
        <v>20</v>
      </c>
      <c r="AD29" s="45">
        <v>20</v>
      </c>
      <c r="AE29" s="45">
        <v>20</v>
      </c>
      <c r="AF29" s="45">
        <v>20</v>
      </c>
      <c r="AG29" s="49">
        <v>22.2</v>
      </c>
      <c r="AH29" s="47">
        <f t="shared" si="2"/>
        <v>20.5</v>
      </c>
      <c r="AI29" s="48">
        <f t="shared" si="3"/>
        <v>20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19.2</v>
      </c>
      <c r="C30" s="45">
        <v>19.2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/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19.2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15.5</v>
      </c>
      <c r="C31" s="45">
        <v>15.5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22</v>
      </c>
      <c r="P31" s="45">
        <v>22</v>
      </c>
      <c r="Q31" s="45"/>
      <c r="R31" s="45">
        <v>22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9">
        <v>22</v>
      </c>
      <c r="AH31" s="47">
        <f t="shared" si="2"/>
        <v>22</v>
      </c>
      <c r="AI31" s="48">
        <f t="shared" si="3"/>
        <v>0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13.8</v>
      </c>
      <c r="C32" s="45">
        <v>13.8</v>
      </c>
      <c r="D32" s="45">
        <v>13.8</v>
      </c>
      <c r="E32" s="45">
        <v>13.8</v>
      </c>
      <c r="F32" s="45">
        <v>15.5</v>
      </c>
      <c r="G32" s="45">
        <v>15.5</v>
      </c>
      <c r="H32" s="45">
        <v>15.5</v>
      </c>
      <c r="I32" s="45">
        <v>15.5</v>
      </c>
      <c r="J32" s="45">
        <v>15.5</v>
      </c>
      <c r="K32" s="45">
        <v>15.5</v>
      </c>
      <c r="L32" s="45">
        <v>15.5</v>
      </c>
      <c r="M32" s="45">
        <v>15.5</v>
      </c>
      <c r="N32" s="45">
        <v>15.5</v>
      </c>
      <c r="O32" s="45">
        <v>15.5</v>
      </c>
      <c r="P32" s="45">
        <v>15.5</v>
      </c>
      <c r="Q32" s="45"/>
      <c r="R32" s="45">
        <v>15.5</v>
      </c>
      <c r="S32" s="45">
        <v>15.5</v>
      </c>
      <c r="T32" s="45">
        <v>19</v>
      </c>
      <c r="U32" s="45">
        <v>19</v>
      </c>
      <c r="V32" s="45">
        <v>19</v>
      </c>
      <c r="W32" s="45">
        <v>19</v>
      </c>
      <c r="X32" s="45">
        <v>19</v>
      </c>
      <c r="Y32" s="45">
        <v>19</v>
      </c>
      <c r="Z32" s="45">
        <v>19</v>
      </c>
      <c r="AA32" s="45">
        <v>19</v>
      </c>
      <c r="AB32" s="45">
        <v>19</v>
      </c>
      <c r="AC32" s="45">
        <v>19</v>
      </c>
      <c r="AD32" s="45">
        <v>19</v>
      </c>
      <c r="AE32" s="45">
        <v>19</v>
      </c>
      <c r="AF32" s="45">
        <v>19</v>
      </c>
      <c r="AG32" s="49">
        <v>22</v>
      </c>
      <c r="AH32" s="47">
        <f t="shared" si="2"/>
        <v>19</v>
      </c>
      <c r="AI32" s="48">
        <f t="shared" si="3"/>
        <v>13.8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10</v>
      </c>
      <c r="N33" s="45">
        <v>5</v>
      </c>
      <c r="O33" s="45">
        <v>5</v>
      </c>
      <c r="P33" s="45">
        <v>5</v>
      </c>
      <c r="Q33" s="45"/>
      <c r="R33" s="45">
        <v>5</v>
      </c>
      <c r="S33" s="45">
        <v>5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9">
        <v>20</v>
      </c>
      <c r="AH33" s="47">
        <f t="shared" si="2"/>
        <v>10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10</v>
      </c>
      <c r="C34" s="45">
        <v>10</v>
      </c>
      <c r="D34" s="45">
        <v>10</v>
      </c>
      <c r="E34" s="45">
        <v>10</v>
      </c>
      <c r="F34" s="45">
        <v>10</v>
      </c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/>
      <c r="R34" s="45">
        <v>10</v>
      </c>
      <c r="S34" s="45">
        <v>10</v>
      </c>
      <c r="T34" s="45">
        <v>10</v>
      </c>
      <c r="U34" s="45">
        <v>10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49">
        <v>18</v>
      </c>
      <c r="AH34" s="47">
        <f t="shared" si="2"/>
        <v>10</v>
      </c>
      <c r="AI34" s="48">
        <f t="shared" si="3"/>
        <v>10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/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3.8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/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3.8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/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49">
        <v>13.6</v>
      </c>
      <c r="AH37" s="47">
        <f t="shared" si="2"/>
        <v>4</v>
      </c>
      <c r="AI37" s="48">
        <f t="shared" si="3"/>
        <v>4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/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4</v>
      </c>
      <c r="C39" s="45">
        <v>4</v>
      </c>
      <c r="D39" s="45">
        <v>4</v>
      </c>
      <c r="E39" s="45">
        <v>4</v>
      </c>
      <c r="F39" s="45">
        <v>6</v>
      </c>
      <c r="G39" s="45">
        <v>6</v>
      </c>
      <c r="H39" s="45">
        <v>6</v>
      </c>
      <c r="I39" s="45">
        <v>6</v>
      </c>
      <c r="J39" s="45">
        <v>6</v>
      </c>
      <c r="K39" s="45">
        <v>6</v>
      </c>
      <c r="L39" s="45">
        <v>6</v>
      </c>
      <c r="M39" s="45">
        <v>6</v>
      </c>
      <c r="N39" s="45">
        <v>6</v>
      </c>
      <c r="O39" s="45">
        <v>6</v>
      </c>
      <c r="P39" s="45">
        <v>6</v>
      </c>
      <c r="Q39" s="45"/>
      <c r="R39" s="45">
        <v>6</v>
      </c>
      <c r="S39" s="45">
        <v>6</v>
      </c>
      <c r="T39" s="45">
        <v>6</v>
      </c>
      <c r="U39" s="45">
        <v>6</v>
      </c>
      <c r="V39" s="45">
        <v>6</v>
      </c>
      <c r="W39" s="45">
        <v>6</v>
      </c>
      <c r="X39" s="45">
        <v>6</v>
      </c>
      <c r="Y39" s="45">
        <v>6</v>
      </c>
      <c r="Z39" s="45">
        <v>6</v>
      </c>
      <c r="AA39" s="45">
        <v>6</v>
      </c>
      <c r="AB39" s="45">
        <v>6</v>
      </c>
      <c r="AC39" s="45">
        <v>6</v>
      </c>
      <c r="AD39" s="45">
        <v>6</v>
      </c>
      <c r="AE39" s="45">
        <v>6</v>
      </c>
      <c r="AF39" s="45">
        <v>6</v>
      </c>
      <c r="AG39" s="49">
        <v>12</v>
      </c>
      <c r="AH39" s="47">
        <f t="shared" si="2"/>
        <v>6</v>
      </c>
      <c r="AI39" s="48">
        <f t="shared" si="3"/>
        <v>4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2.5</v>
      </c>
      <c r="C40" s="45">
        <v>2.5</v>
      </c>
      <c r="D40" s="45">
        <v>2.5</v>
      </c>
      <c r="E40" s="45">
        <v>2.5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>
        <v>2</v>
      </c>
      <c r="Q40" s="45"/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>
        <v>2</v>
      </c>
      <c r="AB40" s="45">
        <v>2</v>
      </c>
      <c r="AC40" s="45">
        <v>2</v>
      </c>
      <c r="AD40" s="45">
        <v>2</v>
      </c>
      <c r="AE40" s="45">
        <v>2</v>
      </c>
      <c r="AF40" s="45">
        <v>2</v>
      </c>
      <c r="AG40" s="49">
        <v>12</v>
      </c>
      <c r="AH40" s="47">
        <f t="shared" si="2"/>
        <v>2.5</v>
      </c>
      <c r="AI40" s="48">
        <f t="shared" si="3"/>
        <v>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/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49">
        <v>12</v>
      </c>
      <c r="AH41" s="47">
        <f t="shared" si="2"/>
        <v>8</v>
      </c>
      <c r="AI41" s="48">
        <f t="shared" si="3"/>
        <v>8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/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/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/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9.6</v>
      </c>
      <c r="C45" s="45">
        <v>9.6</v>
      </c>
      <c r="D45" s="45">
        <v>9.6</v>
      </c>
      <c r="E45" s="45">
        <v>9.6</v>
      </c>
      <c r="F45" s="45">
        <v>9.6</v>
      </c>
      <c r="G45" s="45">
        <v>9.6</v>
      </c>
      <c r="H45" s="45">
        <v>9.6</v>
      </c>
      <c r="I45" s="45">
        <v>9.6</v>
      </c>
      <c r="J45" s="45">
        <v>9.6</v>
      </c>
      <c r="K45" s="45">
        <v>9.6</v>
      </c>
      <c r="L45" s="45">
        <v>9.6</v>
      </c>
      <c r="M45" s="45">
        <v>9.6</v>
      </c>
      <c r="N45" s="45">
        <v>9.6</v>
      </c>
      <c r="O45" s="45">
        <v>9.6</v>
      </c>
      <c r="P45" s="45">
        <v>9.6</v>
      </c>
      <c r="Q45" s="45"/>
      <c r="R45" s="45">
        <v>9.6</v>
      </c>
      <c r="S45" s="45">
        <v>9.6</v>
      </c>
      <c r="T45" s="45">
        <v>9.6</v>
      </c>
      <c r="U45" s="45">
        <v>9.6</v>
      </c>
      <c r="V45" s="45">
        <v>9.6</v>
      </c>
      <c r="W45" s="45">
        <v>9.6</v>
      </c>
      <c r="X45" s="45">
        <v>9.6</v>
      </c>
      <c r="Y45" s="45">
        <v>9.6</v>
      </c>
      <c r="Z45" s="45">
        <v>9.6</v>
      </c>
      <c r="AA45" s="45">
        <v>9.6</v>
      </c>
      <c r="AB45" s="45">
        <v>9.6</v>
      </c>
      <c r="AC45" s="45">
        <v>9.6</v>
      </c>
      <c r="AD45" s="45">
        <v>9.6</v>
      </c>
      <c r="AE45" s="45">
        <v>9.6</v>
      </c>
      <c r="AF45" s="45">
        <v>9.6</v>
      </c>
      <c r="AG45" s="54">
        <v>10</v>
      </c>
      <c r="AH45" s="47">
        <f t="shared" si="2"/>
        <v>9.6</v>
      </c>
      <c r="AI45" s="48">
        <f t="shared" si="3"/>
        <v>9.6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/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2</v>
      </c>
      <c r="N47" s="45">
        <v>4</v>
      </c>
      <c r="O47" s="45">
        <v>4</v>
      </c>
      <c r="P47" s="45">
        <v>4</v>
      </c>
      <c r="Q47" s="45"/>
      <c r="R47" s="45">
        <v>4</v>
      </c>
      <c r="S47" s="45">
        <v>4</v>
      </c>
      <c r="T47" s="45">
        <v>4</v>
      </c>
      <c r="U47" s="45">
        <v>4</v>
      </c>
      <c r="V47" s="45">
        <v>4</v>
      </c>
      <c r="W47" s="45">
        <v>2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4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/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>
        <v>70</v>
      </c>
      <c r="C49" s="56">
        <v>70</v>
      </c>
      <c r="D49" s="56">
        <v>13.4</v>
      </c>
      <c r="E49" s="56">
        <f>5.2+6.66</f>
        <v>11.86</v>
      </c>
      <c r="F49" s="50">
        <v>11</v>
      </c>
      <c r="G49" s="50">
        <v>11</v>
      </c>
      <c r="H49" s="50">
        <v>11</v>
      </c>
      <c r="I49" s="50">
        <v>45</v>
      </c>
      <c r="J49" s="50">
        <v>50</v>
      </c>
      <c r="K49" s="50">
        <v>43</v>
      </c>
      <c r="L49" s="50">
        <v>43</v>
      </c>
      <c r="M49" s="50">
        <v>43</v>
      </c>
      <c r="N49" s="50">
        <v>43</v>
      </c>
      <c r="O49" s="50">
        <v>43</v>
      </c>
      <c r="P49" s="50">
        <v>43</v>
      </c>
      <c r="Q49" s="50"/>
      <c r="R49" s="50">
        <v>43</v>
      </c>
      <c r="S49" s="50"/>
      <c r="T49" s="50">
        <v>103</v>
      </c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103</v>
      </c>
      <c r="AI49" s="48">
        <f t="shared" si="3"/>
        <v>11</v>
      </c>
      <c r="AK49" s="74"/>
    </row>
    <row r="50" spans="1:41" ht="15.75" thickBot="1" x14ac:dyDescent="0.3">
      <c r="A50" s="58" t="s">
        <v>66</v>
      </c>
      <c r="B50" s="59">
        <f t="shared" ref="B50:AF50" si="4">SUM(B11:B48)</f>
        <v>885.09999999999991</v>
      </c>
      <c r="C50" s="59">
        <f t="shared" si="4"/>
        <v>881.3</v>
      </c>
      <c r="D50" s="59">
        <f t="shared" si="4"/>
        <v>834.6</v>
      </c>
      <c r="E50" s="59">
        <f t="shared" si="4"/>
        <v>819.5</v>
      </c>
      <c r="F50" s="59">
        <f t="shared" si="4"/>
        <v>859.50000000000011</v>
      </c>
      <c r="G50" s="59">
        <f t="shared" si="4"/>
        <v>884.2</v>
      </c>
      <c r="H50" s="59">
        <f t="shared" si="4"/>
        <v>900.9</v>
      </c>
      <c r="I50" s="59">
        <f t="shared" si="4"/>
        <v>898.2</v>
      </c>
      <c r="J50" s="59">
        <f t="shared" si="4"/>
        <v>898.2</v>
      </c>
      <c r="K50" s="59">
        <f t="shared" si="4"/>
        <v>884.19999999999993</v>
      </c>
      <c r="L50" s="59">
        <f t="shared" si="4"/>
        <v>884.19999999999993</v>
      </c>
      <c r="M50" s="59">
        <f t="shared" si="4"/>
        <v>900.1</v>
      </c>
      <c r="N50" s="59">
        <f t="shared" si="4"/>
        <v>890.2</v>
      </c>
      <c r="O50" s="59">
        <f>SUM(O11:O48)</f>
        <v>850.69999999999993</v>
      </c>
      <c r="P50" s="59">
        <f>SUM(P11:P48)</f>
        <v>892.6</v>
      </c>
      <c r="Q50" s="59">
        <f t="shared" si="4"/>
        <v>0</v>
      </c>
      <c r="R50" s="59">
        <f t="shared" si="4"/>
        <v>892.6</v>
      </c>
      <c r="S50" s="59">
        <f t="shared" si="4"/>
        <v>870.6</v>
      </c>
      <c r="T50" s="59">
        <f t="shared" si="4"/>
        <v>870.6</v>
      </c>
      <c r="U50" s="59">
        <f t="shared" si="4"/>
        <v>870.6</v>
      </c>
      <c r="V50" s="59">
        <f t="shared" si="4"/>
        <v>870.6</v>
      </c>
      <c r="W50" s="59">
        <f t="shared" si="4"/>
        <v>868.6</v>
      </c>
      <c r="X50" s="59">
        <f t="shared" si="4"/>
        <v>866.6</v>
      </c>
      <c r="Y50" s="59">
        <f t="shared" si="4"/>
        <v>866.6</v>
      </c>
      <c r="Z50" s="59">
        <f t="shared" si="4"/>
        <v>866.6</v>
      </c>
      <c r="AA50" s="59">
        <f t="shared" si="4"/>
        <v>866.6</v>
      </c>
      <c r="AB50" s="59">
        <f t="shared" si="4"/>
        <v>866.6</v>
      </c>
      <c r="AC50" s="59">
        <f t="shared" si="4"/>
        <v>866.6</v>
      </c>
      <c r="AD50" s="59">
        <f t="shared" si="4"/>
        <v>866.6</v>
      </c>
      <c r="AE50" s="59">
        <f t="shared" si="4"/>
        <v>866.6</v>
      </c>
      <c r="AF50" s="59">
        <f t="shared" si="4"/>
        <v>866.6</v>
      </c>
      <c r="AG50" s="60">
        <f>SUM(AG13:AG48)</f>
        <v>922.14</v>
      </c>
      <c r="AH50" s="47">
        <f t="shared" si="2"/>
        <v>900.9</v>
      </c>
      <c r="AI50" s="48">
        <f t="shared" si="3"/>
        <v>0</v>
      </c>
      <c r="AK50" s="74"/>
    </row>
    <row r="51" spans="1:41" x14ac:dyDescent="0.25">
      <c r="A51" s="61" t="s">
        <v>67</v>
      </c>
      <c r="B51" s="45">
        <v>400</v>
      </c>
      <c r="C51" s="45">
        <v>400</v>
      </c>
      <c r="D51" s="45">
        <v>390</v>
      </c>
      <c r="E51" s="45">
        <v>390</v>
      </c>
      <c r="F51" s="45">
        <v>390</v>
      </c>
      <c r="G51" s="45">
        <v>390</v>
      </c>
      <c r="H51" s="45">
        <v>340</v>
      </c>
      <c r="I51" s="45">
        <v>340</v>
      </c>
      <c r="J51" s="45">
        <v>340</v>
      </c>
      <c r="K51" s="45">
        <v>340</v>
      </c>
      <c r="L51" s="45">
        <v>340</v>
      </c>
      <c r="M51" s="45">
        <v>340</v>
      </c>
      <c r="N51" s="62">
        <v>340</v>
      </c>
      <c r="O51" s="62">
        <v>380</v>
      </c>
      <c r="P51" s="62">
        <v>385</v>
      </c>
      <c r="Q51" s="62"/>
      <c r="R51" s="62">
        <v>340</v>
      </c>
      <c r="S51" s="62">
        <v>310</v>
      </c>
      <c r="T51" s="45">
        <v>380</v>
      </c>
      <c r="U51" s="45">
        <v>360</v>
      </c>
      <c r="V51" s="45">
        <v>360</v>
      </c>
      <c r="W51" s="45">
        <v>300</v>
      </c>
      <c r="X51" s="45">
        <v>260</v>
      </c>
      <c r="Y51" s="45">
        <v>275</v>
      </c>
      <c r="Z51" s="45">
        <v>300</v>
      </c>
      <c r="AA51" s="45">
        <v>220</v>
      </c>
      <c r="AB51" s="45">
        <v>300</v>
      </c>
      <c r="AC51" s="45">
        <v>328</v>
      </c>
      <c r="AD51" s="45">
        <v>350</v>
      </c>
      <c r="AE51" s="45">
        <v>300</v>
      </c>
      <c r="AF51" s="45">
        <v>340</v>
      </c>
      <c r="AG51" s="51">
        <v>456</v>
      </c>
      <c r="AH51" s="47">
        <f t="shared" si="2"/>
        <v>400</v>
      </c>
      <c r="AI51" s="48">
        <f t="shared" si="3"/>
        <v>220</v>
      </c>
      <c r="AK51" s="74"/>
    </row>
    <row r="52" spans="1:41" x14ac:dyDescent="0.25">
      <c r="A52" s="63" t="s">
        <v>68</v>
      </c>
      <c r="B52" s="64">
        <v>52</v>
      </c>
      <c r="C52" s="64">
        <v>52</v>
      </c>
      <c r="D52" s="64">
        <v>52</v>
      </c>
      <c r="E52" s="64">
        <v>52</v>
      </c>
      <c r="F52" s="64">
        <v>52</v>
      </c>
      <c r="G52" s="64">
        <v>52</v>
      </c>
      <c r="H52" s="64">
        <v>52</v>
      </c>
      <c r="I52" s="64">
        <v>52</v>
      </c>
      <c r="J52" s="64">
        <v>52</v>
      </c>
      <c r="K52" s="64">
        <v>52</v>
      </c>
      <c r="L52" s="64">
        <v>52</v>
      </c>
      <c r="M52" s="64">
        <v>52</v>
      </c>
      <c r="N52" s="64">
        <v>52</v>
      </c>
      <c r="O52" s="64">
        <v>0</v>
      </c>
      <c r="P52" s="64">
        <v>55</v>
      </c>
      <c r="Q52" s="64"/>
      <c r="R52" s="64">
        <v>50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0</v>
      </c>
      <c r="AK52" s="74"/>
    </row>
    <row r="53" spans="1:41" ht="15.75" thickBot="1" x14ac:dyDescent="0.3">
      <c r="A53" s="65" t="s">
        <v>69</v>
      </c>
      <c r="B53" s="66">
        <v>22</v>
      </c>
      <c r="C53" s="66">
        <v>22</v>
      </c>
      <c r="D53" s="66">
        <v>22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>
        <v>22.6</v>
      </c>
      <c r="K53" s="66">
        <v>22.4</v>
      </c>
      <c r="L53" s="66">
        <v>22.4</v>
      </c>
      <c r="M53" s="66">
        <v>22.5</v>
      </c>
      <c r="N53" s="66">
        <v>22.5</v>
      </c>
      <c r="O53" s="66">
        <v>22.4</v>
      </c>
      <c r="P53" s="66">
        <v>22.5</v>
      </c>
      <c r="Q53" s="66"/>
      <c r="R53" s="66">
        <v>22.4</v>
      </c>
      <c r="S53" s="66">
        <v>22.4</v>
      </c>
      <c r="T53" s="66">
        <v>22.4</v>
      </c>
      <c r="U53" s="66">
        <v>22.4</v>
      </c>
      <c r="V53" s="66">
        <v>22.4</v>
      </c>
      <c r="W53" s="66">
        <v>22.4</v>
      </c>
      <c r="X53" s="66">
        <v>22.4</v>
      </c>
      <c r="Y53" s="66">
        <v>22.4</v>
      </c>
      <c r="Z53" s="66">
        <v>22.4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22.4</v>
      </c>
      <c r="AG53" s="67">
        <v>22.1</v>
      </c>
      <c r="AH53" s="47">
        <f t="shared" si="2"/>
        <v>22.6</v>
      </c>
      <c r="AI53" s="48">
        <f t="shared" si="3"/>
        <v>22</v>
      </c>
      <c r="AK53" s="74"/>
    </row>
    <row r="54" spans="1:41" ht="15.75" thickBot="1" x14ac:dyDescent="0.3">
      <c r="A54" s="68" t="s">
        <v>70</v>
      </c>
      <c r="B54" s="59">
        <f t="shared" ref="B54:AG54" si="5">SUM(B51:B53)</f>
        <v>474</v>
      </c>
      <c r="C54" s="59">
        <f t="shared" si="5"/>
        <v>474</v>
      </c>
      <c r="D54" s="59">
        <f t="shared" si="5"/>
        <v>464</v>
      </c>
      <c r="E54" s="59">
        <f t="shared" si="5"/>
        <v>464.4</v>
      </c>
      <c r="F54" s="59">
        <f t="shared" si="5"/>
        <v>464.4</v>
      </c>
      <c r="G54" s="59">
        <f t="shared" si="5"/>
        <v>464.4</v>
      </c>
      <c r="H54" s="59">
        <f t="shared" si="5"/>
        <v>414.4</v>
      </c>
      <c r="I54" s="59">
        <f t="shared" si="5"/>
        <v>414.4</v>
      </c>
      <c r="J54" s="59">
        <f t="shared" si="5"/>
        <v>414.6</v>
      </c>
      <c r="K54" s="59">
        <f t="shared" si="5"/>
        <v>414.4</v>
      </c>
      <c r="L54" s="59">
        <f t="shared" si="5"/>
        <v>414.4</v>
      </c>
      <c r="M54" s="59">
        <f t="shared" si="5"/>
        <v>414.5</v>
      </c>
      <c r="N54" s="59">
        <f t="shared" si="5"/>
        <v>414.5</v>
      </c>
      <c r="O54" s="59">
        <f t="shared" si="5"/>
        <v>402.4</v>
      </c>
      <c r="P54" s="59">
        <f t="shared" si="5"/>
        <v>462.5</v>
      </c>
      <c r="Q54" s="59">
        <f t="shared" si="5"/>
        <v>0</v>
      </c>
      <c r="R54" s="59">
        <f t="shared" si="5"/>
        <v>412.4</v>
      </c>
      <c r="S54" s="59">
        <f t="shared" si="5"/>
        <v>387.4</v>
      </c>
      <c r="T54" s="59">
        <f t="shared" si="5"/>
        <v>457.4</v>
      </c>
      <c r="U54" s="59">
        <f t="shared" si="5"/>
        <v>437.4</v>
      </c>
      <c r="V54" s="59">
        <f t="shared" si="5"/>
        <v>437.4</v>
      </c>
      <c r="W54" s="59">
        <f t="shared" si="5"/>
        <v>377.4</v>
      </c>
      <c r="X54" s="59">
        <f t="shared" si="5"/>
        <v>337.4</v>
      </c>
      <c r="Y54" s="59">
        <f t="shared" si="5"/>
        <v>352.4</v>
      </c>
      <c r="Z54" s="59">
        <f t="shared" si="5"/>
        <v>377.4</v>
      </c>
      <c r="AA54" s="59">
        <f t="shared" si="5"/>
        <v>297.39999999999998</v>
      </c>
      <c r="AB54" s="59">
        <f t="shared" si="5"/>
        <v>377.4</v>
      </c>
      <c r="AC54" s="59">
        <f t="shared" si="5"/>
        <v>405.4</v>
      </c>
      <c r="AD54" s="59">
        <f t="shared" si="5"/>
        <v>427.4</v>
      </c>
      <c r="AE54" s="59">
        <f t="shared" si="5"/>
        <v>377.4</v>
      </c>
      <c r="AF54" s="59">
        <f t="shared" si="5"/>
        <v>417.4</v>
      </c>
      <c r="AG54" s="60">
        <f t="shared" si="5"/>
        <v>538.1</v>
      </c>
      <c r="AH54" s="47">
        <f t="shared" si="2"/>
        <v>474</v>
      </c>
      <c r="AI54" s="48">
        <f t="shared" si="3"/>
        <v>0</v>
      </c>
      <c r="AK54" s="74"/>
    </row>
    <row r="55" spans="1:41" x14ac:dyDescent="0.25">
      <c r="A55" s="44" t="s">
        <v>71</v>
      </c>
      <c r="B55" s="45">
        <v>144</v>
      </c>
      <c r="C55" s="45">
        <v>144</v>
      </c>
      <c r="D55" s="45">
        <v>144</v>
      </c>
      <c r="E55" s="45">
        <v>144</v>
      </c>
      <c r="F55" s="45">
        <v>144</v>
      </c>
      <c r="G55" s="45">
        <v>144</v>
      </c>
      <c r="H55" s="45">
        <v>144</v>
      </c>
      <c r="I55" s="45">
        <v>144</v>
      </c>
      <c r="J55" s="45">
        <v>144</v>
      </c>
      <c r="K55" s="45">
        <v>144</v>
      </c>
      <c r="L55" s="45">
        <v>144</v>
      </c>
      <c r="M55" s="45">
        <v>143.69999999999999</v>
      </c>
      <c r="N55" s="45">
        <v>142.80000000000001</v>
      </c>
      <c r="O55" s="45">
        <v>142.80000000000001</v>
      </c>
      <c r="P55" s="45">
        <v>144.6</v>
      </c>
      <c r="Q55" s="45"/>
      <c r="R55" s="45">
        <v>142.9</v>
      </c>
      <c r="S55" s="45">
        <v>142.9</v>
      </c>
      <c r="T55" s="45">
        <v>142.9</v>
      </c>
      <c r="U55" s="45">
        <v>142.9</v>
      </c>
      <c r="V55" s="45">
        <v>142.9</v>
      </c>
      <c r="W55" s="45">
        <v>142.9</v>
      </c>
      <c r="X55" s="45">
        <v>142.9</v>
      </c>
      <c r="Y55" s="45">
        <v>142.9</v>
      </c>
      <c r="Z55" s="45">
        <v>144</v>
      </c>
      <c r="AA55" s="45">
        <v>144</v>
      </c>
      <c r="AB55" s="45">
        <v>144</v>
      </c>
      <c r="AC55" s="45">
        <v>144</v>
      </c>
      <c r="AD55" s="45">
        <v>144</v>
      </c>
      <c r="AE55" s="45">
        <v>144</v>
      </c>
      <c r="AF55" s="45">
        <v>144</v>
      </c>
      <c r="AG55" s="51">
        <v>144</v>
      </c>
      <c r="AH55" s="47">
        <f t="shared" si="2"/>
        <v>144.6</v>
      </c>
      <c r="AI55" s="48">
        <f t="shared" si="3"/>
        <v>142.80000000000001</v>
      </c>
      <c r="AK55" s="74"/>
    </row>
    <row r="56" spans="1:41" x14ac:dyDescent="0.25">
      <c r="A56" s="53" t="s">
        <v>72</v>
      </c>
      <c r="B56" s="64">
        <v>70</v>
      </c>
      <c r="C56" s="64">
        <v>70</v>
      </c>
      <c r="D56" s="64">
        <v>70</v>
      </c>
      <c r="E56" s="64">
        <v>70</v>
      </c>
      <c r="F56" s="64">
        <v>70</v>
      </c>
      <c r="G56" s="64">
        <v>70</v>
      </c>
      <c r="H56" s="64">
        <v>70</v>
      </c>
      <c r="I56" s="64">
        <v>70</v>
      </c>
      <c r="J56" s="64">
        <v>70</v>
      </c>
      <c r="K56" s="64">
        <v>70</v>
      </c>
      <c r="L56" s="64">
        <v>70</v>
      </c>
      <c r="M56" s="64">
        <v>70</v>
      </c>
      <c r="N56" s="64">
        <v>71.400000000000006</v>
      </c>
      <c r="O56" s="64">
        <v>71.400000000000006</v>
      </c>
      <c r="P56" s="64">
        <v>61.8</v>
      </c>
      <c r="Q56" s="64"/>
      <c r="R56" s="64">
        <v>56</v>
      </c>
      <c r="S56" s="64">
        <v>69</v>
      </c>
      <c r="T56" s="64">
        <v>69</v>
      </c>
      <c r="U56" s="64">
        <v>69</v>
      </c>
      <c r="V56" s="64">
        <v>69</v>
      </c>
      <c r="W56" s="64">
        <v>69</v>
      </c>
      <c r="X56" s="64">
        <v>69</v>
      </c>
      <c r="Y56" s="64">
        <v>69</v>
      </c>
      <c r="Z56" s="64">
        <v>70</v>
      </c>
      <c r="AA56" s="45">
        <v>70</v>
      </c>
      <c r="AB56" s="45">
        <v>70</v>
      </c>
      <c r="AC56" s="45">
        <v>70</v>
      </c>
      <c r="AD56" s="45">
        <v>70</v>
      </c>
      <c r="AE56" s="45">
        <v>70</v>
      </c>
      <c r="AF56" s="45">
        <v>70</v>
      </c>
      <c r="AG56" s="54">
        <v>70</v>
      </c>
      <c r="AH56" s="47">
        <f t="shared" si="2"/>
        <v>71.400000000000006</v>
      </c>
      <c r="AI56" s="48">
        <f t="shared" si="3"/>
        <v>56</v>
      </c>
      <c r="AK56" s="74"/>
    </row>
    <row r="57" spans="1:41" x14ac:dyDescent="0.25">
      <c r="A57" s="53" t="s">
        <v>73</v>
      </c>
      <c r="B57" s="64">
        <v>69</v>
      </c>
      <c r="C57" s="64">
        <v>66.3</v>
      </c>
      <c r="D57" s="64">
        <v>66.3</v>
      </c>
      <c r="E57" s="64">
        <v>66.3</v>
      </c>
      <c r="F57" s="64">
        <v>66.3</v>
      </c>
      <c r="G57" s="64">
        <v>66.3</v>
      </c>
      <c r="H57" s="64">
        <v>66.3</v>
      </c>
      <c r="I57" s="64">
        <v>66.3</v>
      </c>
      <c r="J57" s="64">
        <v>66.3</v>
      </c>
      <c r="K57" s="64">
        <v>66.3</v>
      </c>
      <c r="L57" s="64">
        <v>66.3</v>
      </c>
      <c r="M57" s="64">
        <v>66.3</v>
      </c>
      <c r="N57" s="64">
        <v>68.2</v>
      </c>
      <c r="O57" s="64">
        <v>68.2</v>
      </c>
      <c r="P57" s="64">
        <v>69</v>
      </c>
      <c r="Q57" s="64"/>
      <c r="R57" s="64">
        <v>65.900000000000006</v>
      </c>
      <c r="S57" s="64">
        <v>69</v>
      </c>
      <c r="T57" s="64">
        <v>64</v>
      </c>
      <c r="U57" s="64">
        <v>64</v>
      </c>
      <c r="V57" s="64">
        <v>69.599999999999994</v>
      </c>
      <c r="W57" s="64">
        <v>69.599999999999994</v>
      </c>
      <c r="X57" s="64">
        <v>69.599999999999994</v>
      </c>
      <c r="Y57" s="64">
        <v>69.599999999999994</v>
      </c>
      <c r="Z57" s="64">
        <v>69.599999999999994</v>
      </c>
      <c r="AA57" s="45">
        <v>69.599999999999994</v>
      </c>
      <c r="AB57" s="45">
        <v>69.599999999999994</v>
      </c>
      <c r="AC57" s="45">
        <v>69.599999999999994</v>
      </c>
      <c r="AD57" s="45">
        <v>69.599999999999994</v>
      </c>
      <c r="AE57" s="45">
        <v>69.599999999999994</v>
      </c>
      <c r="AF57" s="45">
        <v>69.599999999999994</v>
      </c>
      <c r="AG57" s="54">
        <v>69</v>
      </c>
      <c r="AH57" s="47">
        <f t="shared" si="2"/>
        <v>69.599999999999994</v>
      </c>
      <c r="AI57" s="48">
        <f t="shared" si="3"/>
        <v>64</v>
      </c>
      <c r="AK57" s="74"/>
    </row>
    <row r="58" spans="1:41" x14ac:dyDescent="0.25">
      <c r="A58" s="53" t="s">
        <v>74</v>
      </c>
      <c r="B58" s="64">
        <v>61.4</v>
      </c>
      <c r="C58" s="64">
        <v>61.4</v>
      </c>
      <c r="D58" s="64">
        <v>61.4</v>
      </c>
      <c r="E58" s="64">
        <v>61.4</v>
      </c>
      <c r="F58" s="64">
        <v>61.4</v>
      </c>
      <c r="G58" s="64">
        <v>61.4</v>
      </c>
      <c r="H58" s="64">
        <v>61.4</v>
      </c>
      <c r="I58" s="64">
        <v>61.4</v>
      </c>
      <c r="J58" s="64">
        <v>61.4</v>
      </c>
      <c r="K58" s="64">
        <v>61.4</v>
      </c>
      <c r="L58" s="64">
        <v>61.4</v>
      </c>
      <c r="M58" s="64">
        <v>61.4</v>
      </c>
      <c r="N58" s="64">
        <v>45.8</v>
      </c>
      <c r="O58" s="64">
        <v>45.8</v>
      </c>
      <c r="P58" s="64">
        <v>61.4</v>
      </c>
      <c r="Q58" s="64"/>
      <c r="R58" s="64">
        <v>48.9</v>
      </c>
      <c r="S58" s="64">
        <v>61</v>
      </c>
      <c r="T58" s="64">
        <v>61</v>
      </c>
      <c r="U58" s="64">
        <v>61</v>
      </c>
      <c r="V58" s="64">
        <v>61</v>
      </c>
      <c r="W58" s="64">
        <v>61</v>
      </c>
      <c r="X58" s="64">
        <v>61</v>
      </c>
      <c r="Y58" s="64">
        <v>61</v>
      </c>
      <c r="Z58" s="64">
        <v>61</v>
      </c>
      <c r="AA58" s="45">
        <v>61</v>
      </c>
      <c r="AB58" s="45">
        <v>61</v>
      </c>
      <c r="AC58" s="45">
        <v>61</v>
      </c>
      <c r="AD58" s="45">
        <v>61</v>
      </c>
      <c r="AE58" s="45">
        <v>61</v>
      </c>
      <c r="AF58" s="45">
        <v>61</v>
      </c>
      <c r="AG58" s="54">
        <v>60</v>
      </c>
      <c r="AH58" s="47">
        <f t="shared" si="2"/>
        <v>61.4</v>
      </c>
      <c r="AI58" s="48">
        <f t="shared" si="3"/>
        <v>45.8</v>
      </c>
      <c r="AK58" s="74"/>
    </row>
    <row r="59" spans="1:41" x14ac:dyDescent="0.25">
      <c r="A59" s="53" t="s">
        <v>75</v>
      </c>
      <c r="B59" s="64">
        <v>26</v>
      </c>
      <c r="C59" s="64">
        <v>26</v>
      </c>
      <c r="D59" s="64">
        <v>26</v>
      </c>
      <c r="E59" s="64">
        <v>26</v>
      </c>
      <c r="F59" s="64">
        <v>26</v>
      </c>
      <c r="G59" s="64">
        <v>26</v>
      </c>
      <c r="H59" s="64">
        <v>26</v>
      </c>
      <c r="I59" s="64">
        <v>26</v>
      </c>
      <c r="J59" s="64">
        <v>26</v>
      </c>
      <c r="K59" s="64">
        <v>26</v>
      </c>
      <c r="L59" s="64">
        <v>26</v>
      </c>
      <c r="M59" s="64">
        <v>26</v>
      </c>
      <c r="N59" s="64">
        <v>26</v>
      </c>
      <c r="O59" s="64">
        <v>26</v>
      </c>
      <c r="P59" s="64">
        <v>30</v>
      </c>
      <c r="Q59" s="64"/>
      <c r="R59" s="64">
        <v>30</v>
      </c>
      <c r="S59" s="64">
        <v>30</v>
      </c>
      <c r="T59" s="64">
        <v>30</v>
      </c>
      <c r="U59" s="64">
        <v>15</v>
      </c>
      <c r="V59" s="64">
        <v>15</v>
      </c>
      <c r="W59" s="64">
        <v>15</v>
      </c>
      <c r="X59" s="64">
        <v>15</v>
      </c>
      <c r="Y59" s="64">
        <v>15</v>
      </c>
      <c r="Z59" s="64">
        <v>15</v>
      </c>
      <c r="AA59" s="45">
        <v>15</v>
      </c>
      <c r="AB59" s="45">
        <v>15</v>
      </c>
      <c r="AC59" s="45">
        <v>15</v>
      </c>
      <c r="AD59" s="45">
        <v>15</v>
      </c>
      <c r="AE59" s="45">
        <v>15</v>
      </c>
      <c r="AF59" s="45">
        <v>15</v>
      </c>
      <c r="AG59" s="54">
        <v>30</v>
      </c>
      <c r="AH59" s="47">
        <f t="shared" si="2"/>
        <v>30</v>
      </c>
      <c r="AI59" s="48">
        <f t="shared" si="3"/>
        <v>15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7.7</v>
      </c>
      <c r="M60" s="64">
        <v>8</v>
      </c>
      <c r="N60" s="64">
        <v>12.9</v>
      </c>
      <c r="O60" s="64">
        <v>12.9</v>
      </c>
      <c r="P60" s="64">
        <v>16.899999999999999</v>
      </c>
      <c r="Q60" s="64"/>
      <c r="R60" s="64">
        <v>16.899999999999999</v>
      </c>
      <c r="S60" s="64">
        <v>14.9</v>
      </c>
      <c r="T60" s="64">
        <v>6.7</v>
      </c>
      <c r="U60" s="64">
        <v>6.7</v>
      </c>
      <c r="V60" s="64">
        <v>0.5</v>
      </c>
      <c r="W60" s="64">
        <v>0</v>
      </c>
      <c r="X60" s="64">
        <v>0</v>
      </c>
      <c r="Y60" s="64">
        <v>0</v>
      </c>
      <c r="Z60" s="64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16.899999999999999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18</v>
      </c>
      <c r="C61" s="64">
        <v>18</v>
      </c>
      <c r="D61" s="64">
        <v>18</v>
      </c>
      <c r="E61" s="64">
        <v>18</v>
      </c>
      <c r="F61" s="64">
        <v>18</v>
      </c>
      <c r="G61" s="64">
        <v>18</v>
      </c>
      <c r="H61" s="64">
        <v>18</v>
      </c>
      <c r="I61" s="64">
        <v>18</v>
      </c>
      <c r="J61" s="64">
        <v>18</v>
      </c>
      <c r="K61" s="64">
        <v>18</v>
      </c>
      <c r="L61" s="64">
        <v>18</v>
      </c>
      <c r="M61" s="64">
        <v>18</v>
      </c>
      <c r="N61" s="64">
        <v>18</v>
      </c>
      <c r="O61" s="64">
        <v>18</v>
      </c>
      <c r="P61" s="64">
        <v>18</v>
      </c>
      <c r="Q61" s="64"/>
      <c r="R61" s="64">
        <v>18</v>
      </c>
      <c r="S61" s="64">
        <v>18</v>
      </c>
      <c r="T61" s="64">
        <v>18</v>
      </c>
      <c r="U61" s="64">
        <v>18</v>
      </c>
      <c r="V61" s="64">
        <v>18</v>
      </c>
      <c r="W61" s="64">
        <v>18</v>
      </c>
      <c r="X61" s="64">
        <v>18</v>
      </c>
      <c r="Y61" s="64">
        <v>18</v>
      </c>
      <c r="Z61" s="64">
        <v>18</v>
      </c>
      <c r="AA61" s="64">
        <v>18</v>
      </c>
      <c r="AB61" s="64">
        <v>18</v>
      </c>
      <c r="AC61" s="64">
        <v>18</v>
      </c>
      <c r="AD61" s="64">
        <v>18</v>
      </c>
      <c r="AE61" s="64">
        <v>18</v>
      </c>
      <c r="AF61" s="64">
        <v>18</v>
      </c>
      <c r="AG61" s="54">
        <v>24</v>
      </c>
      <c r="AH61" s="47">
        <f t="shared" si="2"/>
        <v>18</v>
      </c>
      <c r="AI61" s="48">
        <f t="shared" si="3"/>
        <v>18</v>
      </c>
      <c r="AK61" s="74"/>
    </row>
    <row r="62" spans="1:41" x14ac:dyDescent="0.25">
      <c r="A62" s="53" t="s">
        <v>78</v>
      </c>
      <c r="B62" s="64">
        <v>2.4</v>
      </c>
      <c r="C62" s="64">
        <v>2.4</v>
      </c>
      <c r="D62" s="64">
        <v>2.4</v>
      </c>
      <c r="E62" s="64">
        <v>2.4</v>
      </c>
      <c r="F62" s="64">
        <v>2.4</v>
      </c>
      <c r="G62" s="64">
        <v>2.4</v>
      </c>
      <c r="H62" s="64">
        <v>2.4</v>
      </c>
      <c r="I62" s="64">
        <v>2.4</v>
      </c>
      <c r="J62" s="64">
        <v>2.4</v>
      </c>
      <c r="K62" s="64">
        <v>2.4</v>
      </c>
      <c r="L62" s="64">
        <v>2.4</v>
      </c>
      <c r="M62" s="64">
        <v>2.4</v>
      </c>
      <c r="N62" s="64">
        <v>2.4</v>
      </c>
      <c r="O62" s="64">
        <v>2.4</v>
      </c>
      <c r="P62" s="64">
        <v>2.4</v>
      </c>
      <c r="Q62" s="64"/>
      <c r="R62" s="64">
        <v>2.4</v>
      </c>
      <c r="S62" s="64">
        <v>2.4</v>
      </c>
      <c r="T62" s="64">
        <v>2.4</v>
      </c>
      <c r="U62" s="64">
        <v>2.4</v>
      </c>
      <c r="V62" s="64">
        <v>2.4</v>
      </c>
      <c r="W62" s="64">
        <v>2.4</v>
      </c>
      <c r="X62" s="64">
        <v>2.4</v>
      </c>
      <c r="Y62" s="64">
        <v>2.4</v>
      </c>
      <c r="Z62" s="64">
        <v>2.4</v>
      </c>
      <c r="AA62" s="64">
        <v>2.4</v>
      </c>
      <c r="AB62" s="64">
        <v>2.4</v>
      </c>
      <c r="AC62" s="64">
        <v>2.4</v>
      </c>
      <c r="AD62" s="64">
        <v>2.4</v>
      </c>
      <c r="AE62" s="64">
        <v>2.4</v>
      </c>
      <c r="AF62" s="64">
        <v>2.4</v>
      </c>
      <c r="AG62" s="54">
        <v>15</v>
      </c>
      <c r="AH62" s="47">
        <f t="shared" si="2"/>
        <v>2.4</v>
      </c>
      <c r="AI62" s="48">
        <f t="shared" si="3"/>
        <v>2.4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11.8</v>
      </c>
      <c r="C63" s="64">
        <v>11.8</v>
      </c>
      <c r="D63" s="64">
        <v>11.8</v>
      </c>
      <c r="E63" s="64">
        <v>11.8</v>
      </c>
      <c r="F63" s="64">
        <v>11.8</v>
      </c>
      <c r="G63" s="64">
        <v>11.8</v>
      </c>
      <c r="H63" s="64">
        <v>11.8</v>
      </c>
      <c r="I63" s="64">
        <v>11.8</v>
      </c>
      <c r="J63" s="64">
        <v>11.8</v>
      </c>
      <c r="K63" s="64">
        <v>11.8</v>
      </c>
      <c r="L63" s="64">
        <v>11.8</v>
      </c>
      <c r="M63" s="64">
        <v>11.8</v>
      </c>
      <c r="N63" s="64">
        <v>11.8</v>
      </c>
      <c r="O63" s="64">
        <v>11.8</v>
      </c>
      <c r="P63" s="64">
        <v>11.8</v>
      </c>
      <c r="Q63" s="64"/>
      <c r="R63" s="64">
        <v>12.4</v>
      </c>
      <c r="S63" s="64">
        <v>12.4</v>
      </c>
      <c r="T63" s="64">
        <v>12.4</v>
      </c>
      <c r="U63" s="64">
        <v>12.4</v>
      </c>
      <c r="V63" s="64">
        <v>12.4</v>
      </c>
      <c r="W63" s="64">
        <v>12.4</v>
      </c>
      <c r="X63" s="64">
        <v>12.4</v>
      </c>
      <c r="Y63" s="64">
        <v>12.4</v>
      </c>
      <c r="Z63" s="64">
        <v>12.4</v>
      </c>
      <c r="AA63" s="64">
        <v>12.4</v>
      </c>
      <c r="AB63" s="64">
        <v>12.4</v>
      </c>
      <c r="AC63" s="64">
        <v>12.4</v>
      </c>
      <c r="AD63" s="64">
        <v>12.4</v>
      </c>
      <c r="AE63" s="64">
        <v>12.4</v>
      </c>
      <c r="AF63" s="64">
        <v>12.4</v>
      </c>
      <c r="AG63" s="54">
        <v>14.1</v>
      </c>
      <c r="AH63" s="47">
        <f t="shared" si="2"/>
        <v>12.4</v>
      </c>
      <c r="AI63" s="48">
        <f t="shared" si="3"/>
        <v>11.8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14.3</v>
      </c>
      <c r="C64" s="64">
        <v>14.3</v>
      </c>
      <c r="D64" s="64">
        <v>14.3</v>
      </c>
      <c r="E64" s="64">
        <v>14.3</v>
      </c>
      <c r="F64" s="64">
        <v>14.3</v>
      </c>
      <c r="G64" s="64">
        <v>14.3</v>
      </c>
      <c r="H64" s="64">
        <v>14.3</v>
      </c>
      <c r="I64" s="64">
        <v>14.3</v>
      </c>
      <c r="J64" s="64">
        <v>14.3</v>
      </c>
      <c r="K64" s="64">
        <v>14.3</v>
      </c>
      <c r="L64" s="64">
        <v>14.3</v>
      </c>
      <c r="M64" s="64">
        <v>14.3</v>
      </c>
      <c r="N64" s="64">
        <v>14.3</v>
      </c>
      <c r="O64" s="64">
        <v>14.3</v>
      </c>
      <c r="P64" s="64">
        <v>14.3</v>
      </c>
      <c r="Q64" s="64"/>
      <c r="R64" s="64">
        <v>14.3</v>
      </c>
      <c r="S64" s="64">
        <v>14.3</v>
      </c>
      <c r="T64" s="64">
        <v>13.7</v>
      </c>
      <c r="U64" s="64">
        <v>13.7</v>
      </c>
      <c r="V64" s="64">
        <v>13.7</v>
      </c>
      <c r="W64" s="64">
        <v>13.7</v>
      </c>
      <c r="X64" s="64">
        <v>13.7</v>
      </c>
      <c r="Y64" s="64">
        <v>13.7</v>
      </c>
      <c r="Z64" s="64">
        <v>13.7</v>
      </c>
      <c r="AA64" s="64">
        <v>13.7</v>
      </c>
      <c r="AB64" s="64">
        <v>13.7</v>
      </c>
      <c r="AC64" s="64">
        <v>13.7</v>
      </c>
      <c r="AD64" s="64">
        <v>13.7</v>
      </c>
      <c r="AE64" s="64">
        <v>13.7</v>
      </c>
      <c r="AF64" s="64">
        <v>13.7</v>
      </c>
      <c r="AG64" s="54">
        <v>14</v>
      </c>
      <c r="AH64" s="47">
        <f t="shared" si="2"/>
        <v>14.3</v>
      </c>
      <c r="AI64" s="48">
        <f t="shared" si="3"/>
        <v>13.7</v>
      </c>
      <c r="AK64" s="74"/>
    </row>
    <row r="65" spans="1:40" x14ac:dyDescent="0.25">
      <c r="A65" s="53" t="s">
        <v>81</v>
      </c>
      <c r="B65" s="64">
        <v>7.5</v>
      </c>
      <c r="C65" s="64">
        <v>7.5</v>
      </c>
      <c r="D65" s="64">
        <v>7.5</v>
      </c>
      <c r="E65" s="64">
        <v>7.5</v>
      </c>
      <c r="F65" s="64">
        <v>7.5</v>
      </c>
      <c r="G65" s="64">
        <v>7.5</v>
      </c>
      <c r="H65" s="64">
        <v>7.5</v>
      </c>
      <c r="I65" s="64">
        <v>7.5</v>
      </c>
      <c r="J65" s="64">
        <v>7.5</v>
      </c>
      <c r="K65" s="64">
        <v>7.5</v>
      </c>
      <c r="L65" s="64">
        <v>7.5</v>
      </c>
      <c r="M65" s="64">
        <v>7.5</v>
      </c>
      <c r="N65" s="64">
        <v>7.5</v>
      </c>
      <c r="O65" s="64">
        <v>7.5</v>
      </c>
      <c r="P65" s="64">
        <v>7.5</v>
      </c>
      <c r="Q65" s="64"/>
      <c r="R65" s="64">
        <v>7.5</v>
      </c>
      <c r="S65" s="64">
        <v>7.5</v>
      </c>
      <c r="T65" s="64">
        <v>7.5</v>
      </c>
      <c r="U65" s="64">
        <v>7.5</v>
      </c>
      <c r="V65" s="64">
        <v>7.5</v>
      </c>
      <c r="W65" s="64">
        <v>7.5</v>
      </c>
      <c r="X65" s="64">
        <v>7.5</v>
      </c>
      <c r="Y65" s="64">
        <v>7.5</v>
      </c>
      <c r="Z65" s="64">
        <v>7.5</v>
      </c>
      <c r="AA65" s="64">
        <v>7.5</v>
      </c>
      <c r="AB65" s="64">
        <v>7.5</v>
      </c>
      <c r="AC65" s="64">
        <v>7.5</v>
      </c>
      <c r="AD65" s="64">
        <v>7.5</v>
      </c>
      <c r="AE65" s="64">
        <v>7.5</v>
      </c>
      <c r="AF65" s="64">
        <v>7.5</v>
      </c>
      <c r="AG65" s="54">
        <v>10.050000000000001</v>
      </c>
      <c r="AH65" s="47">
        <f t="shared" si="2"/>
        <v>7.5</v>
      </c>
      <c r="AI65" s="48">
        <f t="shared" si="3"/>
        <v>7.5</v>
      </c>
      <c r="AK65" s="74"/>
    </row>
    <row r="66" spans="1:40" x14ac:dyDescent="0.25">
      <c r="A66" s="53" t="s">
        <v>82</v>
      </c>
      <c r="B66" s="64">
        <v>2.2000000000000002</v>
      </c>
      <c r="C66" s="64">
        <v>2.2000000000000002</v>
      </c>
      <c r="D66" s="64">
        <v>2.2000000000000002</v>
      </c>
      <c r="E66" s="64">
        <v>2.2000000000000002</v>
      </c>
      <c r="F66" s="64">
        <v>2.2000000000000002</v>
      </c>
      <c r="G66" s="64">
        <v>2.2000000000000002</v>
      </c>
      <c r="H66" s="64">
        <v>2.2000000000000002</v>
      </c>
      <c r="I66" s="64">
        <v>2.2000000000000002</v>
      </c>
      <c r="J66" s="64">
        <v>2.2000000000000002</v>
      </c>
      <c r="K66" s="64">
        <v>2.2000000000000002</v>
      </c>
      <c r="L66" s="64">
        <v>2.2000000000000002</v>
      </c>
      <c r="M66" s="64">
        <v>2.2000000000000002</v>
      </c>
      <c r="N66" s="64">
        <v>2.2000000000000002</v>
      </c>
      <c r="O66" s="64">
        <v>2.2000000000000002</v>
      </c>
      <c r="P66" s="64">
        <v>2.2000000000000002</v>
      </c>
      <c r="Q66" s="64"/>
      <c r="R66" s="64">
        <v>2.2000000000000002</v>
      </c>
      <c r="S66" s="64">
        <v>2.2000000000000002</v>
      </c>
      <c r="T66" s="64">
        <v>2.2000000000000002</v>
      </c>
      <c r="U66" s="64">
        <v>2.2000000000000002</v>
      </c>
      <c r="V66" s="64">
        <v>2.2000000000000002</v>
      </c>
      <c r="W66" s="64">
        <v>2.2000000000000002</v>
      </c>
      <c r="X66" s="64">
        <v>2.2000000000000002</v>
      </c>
      <c r="Y66" s="64">
        <v>2.2000000000000002</v>
      </c>
      <c r="Z66" s="64">
        <v>2.2000000000000002</v>
      </c>
      <c r="AA66" s="64">
        <v>2.2000000000000002</v>
      </c>
      <c r="AB66" s="64">
        <v>2.2000000000000002</v>
      </c>
      <c r="AC66" s="64">
        <v>2.2000000000000002</v>
      </c>
      <c r="AD66" s="64">
        <v>2.2000000000000002</v>
      </c>
      <c r="AE66" s="64">
        <v>2.2000000000000002</v>
      </c>
      <c r="AF66" s="64">
        <v>2.2000000000000002</v>
      </c>
      <c r="AG66" s="54">
        <v>6.2</v>
      </c>
      <c r="AH66" s="47">
        <f t="shared" si="2"/>
        <v>2.2000000000000002</v>
      </c>
      <c r="AI66" s="48">
        <f t="shared" si="3"/>
        <v>2.2000000000000002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AG68" si="6">SUM(B55:B67)</f>
        <v>430.14</v>
      </c>
      <c r="C68" s="59">
        <f t="shared" si="6"/>
        <v>427.44</v>
      </c>
      <c r="D68" s="59">
        <f t="shared" si="6"/>
        <v>427.44</v>
      </c>
      <c r="E68" s="59">
        <f t="shared" si="6"/>
        <v>427.44</v>
      </c>
      <c r="F68" s="59">
        <f t="shared" si="6"/>
        <v>427.44</v>
      </c>
      <c r="G68" s="59">
        <f t="shared" si="6"/>
        <v>427.44</v>
      </c>
      <c r="H68" s="59">
        <f t="shared" si="6"/>
        <v>427.44</v>
      </c>
      <c r="I68" s="59">
        <f t="shared" si="6"/>
        <v>427.44</v>
      </c>
      <c r="J68" s="59">
        <f t="shared" si="6"/>
        <v>427.44</v>
      </c>
      <c r="K68" s="59">
        <f t="shared" si="6"/>
        <v>427.44</v>
      </c>
      <c r="L68" s="59">
        <f t="shared" si="6"/>
        <v>435.14</v>
      </c>
      <c r="M68" s="59">
        <f t="shared" si="6"/>
        <v>435.14</v>
      </c>
      <c r="N68" s="59">
        <f t="shared" si="6"/>
        <v>426.84000000000003</v>
      </c>
      <c r="O68" s="59">
        <f t="shared" si="6"/>
        <v>426.84000000000003</v>
      </c>
      <c r="P68" s="59">
        <f t="shared" si="6"/>
        <v>443.43999999999994</v>
      </c>
      <c r="Q68" s="59">
        <f t="shared" si="6"/>
        <v>3.54</v>
      </c>
      <c r="R68" s="59">
        <f t="shared" si="6"/>
        <v>420.93999999999994</v>
      </c>
      <c r="S68" s="59">
        <f t="shared" si="6"/>
        <v>447.13999999999993</v>
      </c>
      <c r="T68" s="59">
        <f t="shared" si="6"/>
        <v>433.33999999999992</v>
      </c>
      <c r="U68" s="59">
        <f t="shared" si="6"/>
        <v>418.33999999999992</v>
      </c>
      <c r="V68" s="59">
        <f t="shared" si="6"/>
        <v>417.73999999999995</v>
      </c>
      <c r="W68" s="59">
        <f t="shared" si="6"/>
        <v>417.23999999999995</v>
      </c>
      <c r="X68" s="59">
        <f t="shared" si="6"/>
        <v>417.23999999999995</v>
      </c>
      <c r="Y68" s="59">
        <f t="shared" si="6"/>
        <v>417.23999999999995</v>
      </c>
      <c r="Z68" s="59">
        <f t="shared" si="6"/>
        <v>419.34</v>
      </c>
      <c r="AA68" s="59">
        <f t="shared" si="6"/>
        <v>419.34</v>
      </c>
      <c r="AB68" s="59">
        <f t="shared" si="6"/>
        <v>419.34</v>
      </c>
      <c r="AC68" s="59">
        <f t="shared" si="6"/>
        <v>419.34</v>
      </c>
      <c r="AD68" s="59">
        <f t="shared" si="6"/>
        <v>419.34</v>
      </c>
      <c r="AE68" s="59">
        <f t="shared" si="6"/>
        <v>419.34</v>
      </c>
      <c r="AF68" s="59">
        <f t="shared" si="6"/>
        <v>419.34</v>
      </c>
      <c r="AG68" s="60">
        <f t="shared" si="6"/>
        <v>489.91</v>
      </c>
      <c r="AH68" s="47">
        <f t="shared" si="2"/>
        <v>447.13999999999993</v>
      </c>
      <c r="AI68" s="48">
        <f t="shared" si="3"/>
        <v>3.54</v>
      </c>
      <c r="AK68" s="74"/>
    </row>
    <row r="69" spans="1:40" x14ac:dyDescent="0.25">
      <c r="A69" s="44" t="s">
        <v>85</v>
      </c>
      <c r="B69" s="45">
        <v>10.7</v>
      </c>
      <c r="C69" s="45">
        <v>10.7</v>
      </c>
      <c r="D69" s="45">
        <v>10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10.9</v>
      </c>
      <c r="O69" s="45">
        <v>20.399999999999999</v>
      </c>
      <c r="P69" s="45">
        <v>30.4</v>
      </c>
      <c r="Q69" s="45"/>
      <c r="R69" s="45">
        <v>25</v>
      </c>
      <c r="S69" s="45">
        <v>25</v>
      </c>
      <c r="T69" s="45">
        <v>14</v>
      </c>
      <c r="U69" s="45">
        <v>10.4</v>
      </c>
      <c r="V69" s="45">
        <v>14</v>
      </c>
      <c r="W69" s="45">
        <v>20</v>
      </c>
      <c r="X69" s="45">
        <v>10</v>
      </c>
      <c r="Y69" s="45">
        <v>25.1</v>
      </c>
      <c r="Z69" s="45">
        <v>25.1</v>
      </c>
      <c r="AA69" s="45">
        <v>29.3</v>
      </c>
      <c r="AB69" s="45">
        <v>0</v>
      </c>
      <c r="AC69" s="45">
        <v>0</v>
      </c>
      <c r="AD69" s="45">
        <v>0</v>
      </c>
      <c r="AE69" s="45">
        <v>0</v>
      </c>
      <c r="AF69" s="45"/>
      <c r="AG69" s="51">
        <v>60</v>
      </c>
      <c r="AH69" s="47">
        <f t="shared" si="2"/>
        <v>30.4</v>
      </c>
      <c r="AI69" s="48">
        <f t="shared" si="3"/>
        <v>0</v>
      </c>
      <c r="AK69" s="74"/>
    </row>
    <row r="70" spans="1:40" x14ac:dyDescent="0.25">
      <c r="A70" s="53" t="s">
        <v>86</v>
      </c>
      <c r="B70" s="45">
        <v>5</v>
      </c>
      <c r="C70" s="45">
        <v>5</v>
      </c>
      <c r="D70" s="64">
        <v>5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3.8</v>
      </c>
      <c r="O70" s="64">
        <v>7.9</v>
      </c>
      <c r="P70" s="64">
        <v>8</v>
      </c>
      <c r="Q70" s="64"/>
      <c r="R70" s="64">
        <v>11.6</v>
      </c>
      <c r="S70" s="64">
        <v>11.6</v>
      </c>
      <c r="T70" s="64">
        <v>6</v>
      </c>
      <c r="U70" s="64">
        <v>2.9</v>
      </c>
      <c r="V70" s="64">
        <v>4.8</v>
      </c>
      <c r="W70" s="64">
        <v>8.1999999999999993</v>
      </c>
      <c r="X70" s="64">
        <v>4.8</v>
      </c>
      <c r="Y70" s="64">
        <v>9.1</v>
      </c>
      <c r="Z70" s="64">
        <v>11.6</v>
      </c>
      <c r="AA70" s="64">
        <v>14.1</v>
      </c>
      <c r="AB70" s="64">
        <v>0</v>
      </c>
      <c r="AC70" s="64">
        <v>0</v>
      </c>
      <c r="AD70" s="64">
        <v>0</v>
      </c>
      <c r="AE70" s="64">
        <v>0</v>
      </c>
      <c r="AF70" s="64"/>
      <c r="AG70" s="54">
        <v>32</v>
      </c>
      <c r="AH70" s="47">
        <f t="shared" si="2"/>
        <v>14.1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>
        <v>2</v>
      </c>
      <c r="C71" s="45">
        <v>2</v>
      </c>
      <c r="D71" s="66">
        <v>4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1.4</v>
      </c>
      <c r="O71" s="66">
        <v>2.9</v>
      </c>
      <c r="P71" s="66">
        <v>2.9</v>
      </c>
      <c r="Q71" s="66"/>
      <c r="R71" s="66">
        <v>4.3</v>
      </c>
      <c r="S71" s="66">
        <v>4.3</v>
      </c>
      <c r="T71" s="66">
        <v>2.2000000000000002</v>
      </c>
      <c r="U71" s="66">
        <v>1.1000000000000001</v>
      </c>
      <c r="V71" s="66">
        <v>1.7</v>
      </c>
      <c r="W71" s="66">
        <v>3</v>
      </c>
      <c r="X71" s="66">
        <v>1.7</v>
      </c>
      <c r="Y71" s="66">
        <v>3.3</v>
      </c>
      <c r="Z71" s="66">
        <v>4.2</v>
      </c>
      <c r="AA71" s="66">
        <v>4.4000000000000004</v>
      </c>
      <c r="AB71" s="66">
        <v>0</v>
      </c>
      <c r="AC71" s="66">
        <v>0</v>
      </c>
      <c r="AD71" s="66">
        <v>0</v>
      </c>
      <c r="AE71" s="66">
        <v>0</v>
      </c>
      <c r="AF71" s="66"/>
      <c r="AG71" s="67">
        <v>14</v>
      </c>
      <c r="AH71" s="47">
        <f t="shared" si="2"/>
        <v>4.4000000000000004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>B69+B70+B71</f>
        <v>17.7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F72" si="7">M69+M70+M71</f>
        <v>0</v>
      </c>
      <c r="N72" s="59">
        <f t="shared" si="7"/>
        <v>16.099999999999998</v>
      </c>
      <c r="O72" s="59">
        <f t="shared" si="7"/>
        <v>31.199999999999996</v>
      </c>
      <c r="P72" s="59">
        <f t="shared" si="7"/>
        <v>41.3</v>
      </c>
      <c r="Q72" s="59">
        <f t="shared" si="7"/>
        <v>0</v>
      </c>
      <c r="R72" s="59">
        <f t="shared" si="7"/>
        <v>40.9</v>
      </c>
      <c r="S72" s="59">
        <f t="shared" si="7"/>
        <v>40.9</v>
      </c>
      <c r="T72" s="59">
        <f t="shared" si="7"/>
        <v>22.2</v>
      </c>
      <c r="U72" s="59">
        <f t="shared" si="7"/>
        <v>14.4</v>
      </c>
      <c r="V72" s="59">
        <f t="shared" si="7"/>
        <v>20.5</v>
      </c>
      <c r="W72" s="59">
        <f t="shared" si="7"/>
        <v>31.2</v>
      </c>
      <c r="X72" s="59">
        <f t="shared" si="7"/>
        <v>16.5</v>
      </c>
      <c r="Y72" s="59">
        <f t="shared" si="7"/>
        <v>37.5</v>
      </c>
      <c r="Z72" s="59">
        <f t="shared" si="7"/>
        <v>40.900000000000006</v>
      </c>
      <c r="AA72" s="59">
        <f t="shared" si="7"/>
        <v>47.8</v>
      </c>
      <c r="AB72" s="59">
        <f t="shared" si="7"/>
        <v>0</v>
      </c>
      <c r="AC72" s="59">
        <f t="shared" si="7"/>
        <v>0</v>
      </c>
      <c r="AD72" s="59">
        <f t="shared" si="7"/>
        <v>0</v>
      </c>
      <c r="AE72" s="59">
        <f t="shared" si="7"/>
        <v>0</v>
      </c>
      <c r="AF72" s="59">
        <f t="shared" si="7"/>
        <v>0</v>
      </c>
      <c r="AG72" s="60">
        <f>SUM(AG69:AG71)</f>
        <v>106</v>
      </c>
      <c r="AH72" s="47">
        <f t="shared" si="2"/>
        <v>47.8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55</v>
      </c>
      <c r="C73" s="45">
        <v>49</v>
      </c>
      <c r="D73" s="45">
        <v>52.6</v>
      </c>
      <c r="E73" s="45">
        <v>52</v>
      </c>
      <c r="F73" s="45">
        <v>50</v>
      </c>
      <c r="G73" s="45">
        <v>48</v>
      </c>
      <c r="H73" s="45">
        <v>39</v>
      </c>
      <c r="I73" s="45">
        <v>36</v>
      </c>
      <c r="J73" s="45">
        <v>32</v>
      </c>
      <c r="K73" s="45">
        <v>30</v>
      </c>
      <c r="L73" s="45">
        <v>22</v>
      </c>
      <c r="M73" s="45">
        <v>18.600000000000001</v>
      </c>
      <c r="N73" s="45">
        <v>65</v>
      </c>
      <c r="O73" s="45">
        <v>74.099999999999994</v>
      </c>
      <c r="P73" s="45">
        <v>63.8</v>
      </c>
      <c r="Q73" s="45"/>
      <c r="R73" s="45">
        <v>66.5</v>
      </c>
      <c r="S73" s="45">
        <v>58</v>
      </c>
      <c r="T73" s="45">
        <v>61</v>
      </c>
      <c r="U73" s="45">
        <v>61</v>
      </c>
      <c r="V73" s="45">
        <v>64</v>
      </c>
      <c r="W73" s="45">
        <v>62.9</v>
      </c>
      <c r="X73" s="45">
        <v>68</v>
      </c>
      <c r="Y73" s="45">
        <v>68</v>
      </c>
      <c r="Z73" s="45">
        <v>57</v>
      </c>
      <c r="AA73" s="45">
        <v>64</v>
      </c>
      <c r="AB73" s="45">
        <v>70.2</v>
      </c>
      <c r="AC73" s="45">
        <v>70.5</v>
      </c>
      <c r="AD73" s="45">
        <v>63</v>
      </c>
      <c r="AE73" s="45">
        <v>72</v>
      </c>
      <c r="AF73" s="45"/>
      <c r="AG73" s="51"/>
      <c r="AH73" s="47">
        <f t="shared" si="2"/>
        <v>74.099999999999994</v>
      </c>
      <c r="AI73" s="48">
        <f t="shared" si="3"/>
        <v>18.600000000000001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/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/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/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-187</v>
      </c>
      <c r="C75" s="64">
        <v>-205</v>
      </c>
      <c r="D75" s="64">
        <v>-180</v>
      </c>
      <c r="E75" s="64">
        <v>-146</v>
      </c>
      <c r="F75" s="64">
        <v>-202</v>
      </c>
      <c r="G75" s="64">
        <v>-192</v>
      </c>
      <c r="H75" s="64">
        <v>-206</v>
      </c>
      <c r="I75" s="64">
        <v>-210</v>
      </c>
      <c r="J75" s="64">
        <v>-195</v>
      </c>
      <c r="K75" s="64">
        <v>-165</v>
      </c>
      <c r="L75" s="64">
        <v>-160</v>
      </c>
      <c r="M75" s="64">
        <v>-123.7</v>
      </c>
      <c r="N75" s="64">
        <v>-110.5</v>
      </c>
      <c r="O75" s="64">
        <v>-69.3</v>
      </c>
      <c r="P75" s="64">
        <v>-141.1</v>
      </c>
      <c r="Q75" s="64"/>
      <c r="R75" s="64">
        <v>-125.8</v>
      </c>
      <c r="S75" s="64">
        <v>-133</v>
      </c>
      <c r="T75" s="64">
        <v>-150</v>
      </c>
      <c r="U75" s="64">
        <v>-180</v>
      </c>
      <c r="V75" s="64">
        <v>-172</v>
      </c>
      <c r="W75" s="64">
        <v>-192</v>
      </c>
      <c r="X75" s="64">
        <v>-168</v>
      </c>
      <c r="Y75" s="64">
        <v>-169</v>
      </c>
      <c r="Z75" s="64">
        <v>-150</v>
      </c>
      <c r="AA75" s="64">
        <v>-116</v>
      </c>
      <c r="AB75" s="64">
        <v>-100</v>
      </c>
      <c r="AC75" s="64">
        <v>-80</v>
      </c>
      <c r="AD75" s="64">
        <v>-120</v>
      </c>
      <c r="AE75" s="64">
        <v>-170</v>
      </c>
      <c r="AF75" s="64"/>
      <c r="AG75" s="75"/>
      <c r="AH75" s="47">
        <f t="shared" si="2"/>
        <v>-69.3</v>
      </c>
      <c r="AI75" s="48">
        <f t="shared" si="3"/>
        <v>-210</v>
      </c>
      <c r="AK75" s="74"/>
    </row>
    <row r="76" spans="1:40" x14ac:dyDescent="0.25">
      <c r="A76" s="53" t="s">
        <v>92</v>
      </c>
      <c r="B76" s="64">
        <v>12</v>
      </c>
      <c r="C76" s="64">
        <v>12</v>
      </c>
      <c r="D76" s="64">
        <v>12</v>
      </c>
      <c r="E76" s="64">
        <v>12</v>
      </c>
      <c r="F76" s="64">
        <v>12</v>
      </c>
      <c r="G76" s="64">
        <v>12</v>
      </c>
      <c r="H76" s="64">
        <v>12</v>
      </c>
      <c r="I76" s="64">
        <v>12</v>
      </c>
      <c r="J76" s="64">
        <v>12</v>
      </c>
      <c r="K76" s="64">
        <v>12</v>
      </c>
      <c r="L76" s="64">
        <v>12</v>
      </c>
      <c r="M76" s="64">
        <v>12</v>
      </c>
      <c r="N76" s="76">
        <v>12</v>
      </c>
      <c r="O76" s="76">
        <v>41</v>
      </c>
      <c r="P76" s="76">
        <v>45.8</v>
      </c>
      <c r="Q76" s="76"/>
      <c r="R76" s="76">
        <v>45.7</v>
      </c>
      <c r="S76" s="76">
        <v>46</v>
      </c>
      <c r="T76" s="76">
        <v>42.3</v>
      </c>
      <c r="U76" s="76">
        <v>42.3</v>
      </c>
      <c r="V76" s="76">
        <v>40.6</v>
      </c>
      <c r="W76" s="76">
        <v>41.8</v>
      </c>
      <c r="X76" s="76">
        <v>37</v>
      </c>
      <c r="Y76" s="76">
        <v>36.1</v>
      </c>
      <c r="Z76" s="76">
        <v>36.1</v>
      </c>
      <c r="AA76" s="76">
        <v>37.4</v>
      </c>
      <c r="AB76" s="76">
        <v>25</v>
      </c>
      <c r="AC76" s="76">
        <v>25</v>
      </c>
      <c r="AD76" s="76">
        <v>39</v>
      </c>
      <c r="AE76" s="76">
        <v>39</v>
      </c>
      <c r="AF76" s="76"/>
      <c r="AG76" s="75"/>
      <c r="AH76" s="47">
        <f t="shared" si="2"/>
        <v>46</v>
      </c>
      <c r="AI76" s="48">
        <f t="shared" si="3"/>
        <v>12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/>
      <c r="R77" s="45">
        <v>0</v>
      </c>
      <c r="S77" s="45">
        <v>0</v>
      </c>
      <c r="T77" s="45">
        <v>34.299999999999997</v>
      </c>
      <c r="U77" s="45">
        <v>33.700000000000003</v>
      </c>
      <c r="V77" s="45">
        <v>29.7</v>
      </c>
      <c r="W77" s="45">
        <v>28.1</v>
      </c>
      <c r="X77" s="45">
        <v>26.2</v>
      </c>
      <c r="Y77" s="45">
        <v>24.3</v>
      </c>
      <c r="Z77" s="45">
        <v>24.3</v>
      </c>
      <c r="AA77" s="45">
        <v>22.2</v>
      </c>
      <c r="AB77" s="45">
        <v>0</v>
      </c>
      <c r="AC77" s="45">
        <v>0</v>
      </c>
      <c r="AD77" s="45">
        <v>0</v>
      </c>
      <c r="AE77" s="45">
        <v>0</v>
      </c>
      <c r="AF77" s="45"/>
      <c r="AG77" s="75"/>
      <c r="AH77" s="47">
        <f t="shared" ref="AH77:AH120" si="8">MAX(B77:AF77)</f>
        <v>34.299999999999997</v>
      </c>
      <c r="AI77" s="48">
        <f t="shared" ref="AI77:AI120" si="9">MIN(B77:AF77)</f>
        <v>0</v>
      </c>
      <c r="AK77" s="74"/>
    </row>
    <row r="78" spans="1:40" x14ac:dyDescent="0.25">
      <c r="A78" s="53" t="s">
        <v>94</v>
      </c>
      <c r="B78" s="45">
        <v>5</v>
      </c>
      <c r="C78" s="45">
        <v>5</v>
      </c>
      <c r="D78" s="45">
        <v>5</v>
      </c>
      <c r="E78" s="77">
        <v>5</v>
      </c>
      <c r="F78" s="77">
        <v>5</v>
      </c>
      <c r="G78" s="77">
        <v>5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/>
      <c r="R78" s="77">
        <v>0</v>
      </c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5</v>
      </c>
      <c r="AA78" s="77">
        <v>5</v>
      </c>
      <c r="AB78" s="77">
        <v>5</v>
      </c>
      <c r="AC78" s="77">
        <v>5</v>
      </c>
      <c r="AD78" s="77">
        <v>5</v>
      </c>
      <c r="AE78" s="77">
        <v>5</v>
      </c>
      <c r="AF78" s="77"/>
      <c r="AG78" s="75"/>
      <c r="AH78" s="47">
        <f t="shared" si="8"/>
        <v>5</v>
      </c>
      <c r="AI78" s="48">
        <f t="shared" si="9"/>
        <v>0</v>
      </c>
      <c r="AK78" s="74"/>
    </row>
    <row r="79" spans="1:40" ht="15.75" thickBot="1" x14ac:dyDescent="0.3">
      <c r="A79" s="53" t="s">
        <v>95</v>
      </c>
      <c r="B79" s="45">
        <v>0</v>
      </c>
      <c r="C79" s="45">
        <v>0</v>
      </c>
      <c r="D79" s="45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/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/>
      <c r="AG79" s="75"/>
      <c r="AH79" s="47">
        <f t="shared" si="8"/>
        <v>0</v>
      </c>
      <c r="AI79" s="48">
        <f t="shared" si="9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>
        <v>0</v>
      </c>
      <c r="C80" s="45">
        <v>0</v>
      </c>
      <c r="D80" s="45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/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/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>
        <v>0</v>
      </c>
      <c r="C81" s="45">
        <v>0</v>
      </c>
      <c r="D81" s="45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/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/>
      <c r="AG81" s="75"/>
      <c r="AH81" s="47">
        <f t="shared" si="8"/>
        <v>0</v>
      </c>
      <c r="AI81" s="48">
        <f t="shared" si="9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>
        <v>0</v>
      </c>
      <c r="C82" s="45">
        <v>0</v>
      </c>
      <c r="D82" s="45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/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/>
      <c r="AG82" s="85"/>
      <c r="AH82" s="47">
        <f t="shared" si="8"/>
        <v>0</v>
      </c>
      <c r="AI82" s="48">
        <f t="shared" si="9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>
        <v>0</v>
      </c>
      <c r="C83" s="45">
        <v>0</v>
      </c>
      <c r="D83" s="45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/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/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0">SUMIF(B73:B83,"&gt;0")</f>
        <v>72</v>
      </c>
      <c r="C84" s="59">
        <f t="shared" si="10"/>
        <v>66</v>
      </c>
      <c r="D84" s="59">
        <f t="shared" si="10"/>
        <v>69.599999999999994</v>
      </c>
      <c r="E84" s="59">
        <f t="shared" si="10"/>
        <v>69</v>
      </c>
      <c r="F84" s="59">
        <f>SUMIF(F73:F83,"&gt;0")</f>
        <v>67</v>
      </c>
      <c r="G84" s="59">
        <f t="shared" si="10"/>
        <v>65</v>
      </c>
      <c r="H84" s="59">
        <f t="shared" si="10"/>
        <v>51</v>
      </c>
      <c r="I84" s="59">
        <f t="shared" si="10"/>
        <v>48</v>
      </c>
      <c r="J84" s="59">
        <f t="shared" si="10"/>
        <v>44</v>
      </c>
      <c r="K84" s="59">
        <f t="shared" si="10"/>
        <v>42</v>
      </c>
      <c r="L84" s="59">
        <f t="shared" si="10"/>
        <v>34</v>
      </c>
      <c r="M84" s="59">
        <f t="shared" si="10"/>
        <v>30.6</v>
      </c>
      <c r="N84" s="59">
        <f t="shared" si="10"/>
        <v>77</v>
      </c>
      <c r="O84" s="59">
        <f>SUMIF(O73:O83,"&gt;0")</f>
        <v>115.1</v>
      </c>
      <c r="P84" s="59">
        <f t="shared" si="10"/>
        <v>109.6</v>
      </c>
      <c r="Q84" s="59">
        <f t="shared" si="10"/>
        <v>0</v>
      </c>
      <c r="R84" s="59">
        <f t="shared" si="10"/>
        <v>112.2</v>
      </c>
      <c r="S84" s="59">
        <f t="shared" si="10"/>
        <v>109</v>
      </c>
      <c r="T84" s="59">
        <f t="shared" si="10"/>
        <v>142.6</v>
      </c>
      <c r="U84" s="59">
        <f t="shared" si="10"/>
        <v>142</v>
      </c>
      <c r="V84" s="59">
        <f t="shared" si="10"/>
        <v>139.29999999999998</v>
      </c>
      <c r="W84" s="59">
        <f t="shared" si="10"/>
        <v>137.79999999999998</v>
      </c>
      <c r="X84" s="59">
        <f t="shared" si="10"/>
        <v>136.19999999999999</v>
      </c>
      <c r="Y84" s="59">
        <f t="shared" si="10"/>
        <v>133.4</v>
      </c>
      <c r="Z84" s="59">
        <f t="shared" si="10"/>
        <v>122.39999999999999</v>
      </c>
      <c r="AA84" s="59">
        <f t="shared" si="10"/>
        <v>128.60000000000002</v>
      </c>
      <c r="AB84" s="59">
        <f t="shared" si="10"/>
        <v>100.2</v>
      </c>
      <c r="AC84" s="59">
        <f t="shared" si="10"/>
        <v>100.5</v>
      </c>
      <c r="AD84" s="59">
        <f t="shared" si="10"/>
        <v>107</v>
      </c>
      <c r="AE84" s="59">
        <f t="shared" si="10"/>
        <v>116</v>
      </c>
      <c r="AF84" s="59">
        <f t="shared" si="10"/>
        <v>0</v>
      </c>
      <c r="AG84" s="88">
        <f>SUM(AG73:AG83)</f>
        <v>0</v>
      </c>
      <c r="AH84" s="47">
        <f t="shared" si="8"/>
        <v>142.6</v>
      </c>
      <c r="AI84" s="48">
        <f t="shared" si="9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3" t="s">
        <v>108</v>
      </c>
      <c r="B89" s="95">
        <f t="shared" ref="B89:AG89" si="11">B50+B54+B72+B68+B84+B88</f>
        <v>1878.94</v>
      </c>
      <c r="C89" s="95">
        <f t="shared" si="11"/>
        <v>1848.74</v>
      </c>
      <c r="D89" s="95">
        <f t="shared" si="11"/>
        <v>1795.6399999999999</v>
      </c>
      <c r="E89" s="95">
        <f t="shared" si="11"/>
        <v>1780.3400000000001</v>
      </c>
      <c r="F89" s="95">
        <f t="shared" si="11"/>
        <v>1818.3400000000001</v>
      </c>
      <c r="G89" s="95">
        <f t="shared" si="11"/>
        <v>1841.04</v>
      </c>
      <c r="H89" s="95">
        <f t="shared" si="11"/>
        <v>1793.74</v>
      </c>
      <c r="I89" s="95">
        <f t="shared" si="11"/>
        <v>1788.04</v>
      </c>
      <c r="J89" s="95">
        <f t="shared" si="11"/>
        <v>1784.2400000000002</v>
      </c>
      <c r="K89" s="95">
        <f t="shared" si="11"/>
        <v>1768.04</v>
      </c>
      <c r="L89" s="95">
        <f t="shared" si="11"/>
        <v>1767.7399999999998</v>
      </c>
      <c r="M89" s="95">
        <f t="shared" si="11"/>
        <v>1780.3399999999997</v>
      </c>
      <c r="N89" s="95">
        <f t="shared" si="11"/>
        <v>1824.6399999999999</v>
      </c>
      <c r="O89" s="95">
        <f t="shared" si="11"/>
        <v>1826.2399999999998</v>
      </c>
      <c r="P89" s="95">
        <f t="shared" si="11"/>
        <v>1949.4399999999996</v>
      </c>
      <c r="Q89" s="95">
        <f t="shared" si="11"/>
        <v>3.54</v>
      </c>
      <c r="R89" s="95">
        <f t="shared" si="11"/>
        <v>1879.0400000000002</v>
      </c>
      <c r="S89" s="95">
        <f t="shared" si="11"/>
        <v>1855.04</v>
      </c>
      <c r="T89" s="95">
        <f t="shared" si="11"/>
        <v>1926.1399999999999</v>
      </c>
      <c r="U89" s="95">
        <f t="shared" si="11"/>
        <v>1882.74</v>
      </c>
      <c r="V89" s="95">
        <f t="shared" si="11"/>
        <v>1885.54</v>
      </c>
      <c r="W89" s="95">
        <f t="shared" si="11"/>
        <v>1832.24</v>
      </c>
      <c r="X89" s="95">
        <f t="shared" si="11"/>
        <v>1773.94</v>
      </c>
      <c r="Y89" s="95">
        <f t="shared" si="11"/>
        <v>1807.14</v>
      </c>
      <c r="Z89" s="95">
        <f t="shared" si="11"/>
        <v>1826.64</v>
      </c>
      <c r="AA89" s="95">
        <f t="shared" si="11"/>
        <v>1759.7399999999998</v>
      </c>
      <c r="AB89" s="95">
        <f t="shared" si="11"/>
        <v>1763.54</v>
      </c>
      <c r="AC89" s="95">
        <f t="shared" si="11"/>
        <v>1791.84</v>
      </c>
      <c r="AD89" s="95">
        <f t="shared" si="11"/>
        <v>1820.34</v>
      </c>
      <c r="AE89" s="95">
        <f t="shared" si="11"/>
        <v>1779.34</v>
      </c>
      <c r="AF89" s="95">
        <f t="shared" si="11"/>
        <v>1703.34</v>
      </c>
      <c r="AG89" s="60">
        <f t="shared" si="11"/>
        <v>2111.5500000000002</v>
      </c>
      <c r="AH89" s="47">
        <f t="shared" si="8"/>
        <v>1949.4399999999996</v>
      </c>
      <c r="AI89" s="48">
        <f t="shared" si="9"/>
        <v>3.54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>
        <v>100</v>
      </c>
      <c r="N90" s="97">
        <v>100</v>
      </c>
      <c r="O90" s="97">
        <v>100</v>
      </c>
      <c r="P90" s="97">
        <v>100</v>
      </c>
      <c r="Q90" s="97"/>
      <c r="R90" s="97">
        <v>120</v>
      </c>
      <c r="S90" s="97">
        <v>120</v>
      </c>
      <c r="T90" s="97">
        <v>120</v>
      </c>
      <c r="U90" s="97">
        <v>120</v>
      </c>
      <c r="V90" s="97">
        <v>120</v>
      </c>
      <c r="W90" s="97">
        <v>120</v>
      </c>
      <c r="X90" s="97">
        <v>120</v>
      </c>
      <c r="Y90" s="97">
        <v>120</v>
      </c>
      <c r="Z90" s="97">
        <v>120</v>
      </c>
      <c r="AA90" s="97">
        <v>150</v>
      </c>
      <c r="AB90" s="97">
        <v>100</v>
      </c>
      <c r="AC90" s="97">
        <v>50</v>
      </c>
      <c r="AD90" s="97">
        <v>50</v>
      </c>
      <c r="AE90" s="97">
        <v>20</v>
      </c>
      <c r="AF90" s="97"/>
      <c r="AG90" s="88"/>
      <c r="AH90" s="47">
        <f t="shared" si="8"/>
        <v>150</v>
      </c>
      <c r="AI90" s="48">
        <f t="shared" si="9"/>
        <v>20</v>
      </c>
    </row>
    <row r="91" spans="1:40" ht="15.75" thickBot="1" x14ac:dyDescent="0.3">
      <c r="A91" s="73" t="s">
        <v>110</v>
      </c>
      <c r="B91" s="95">
        <f t="shared" ref="B91:AF91" si="12">B89+B90</f>
        <v>1878.94</v>
      </c>
      <c r="C91" s="95">
        <f t="shared" si="12"/>
        <v>1848.74</v>
      </c>
      <c r="D91" s="95">
        <f t="shared" si="12"/>
        <v>1795.6399999999999</v>
      </c>
      <c r="E91" s="95">
        <f t="shared" si="12"/>
        <v>1780.3400000000001</v>
      </c>
      <c r="F91" s="95">
        <f t="shared" si="12"/>
        <v>1818.3400000000001</v>
      </c>
      <c r="G91" s="95">
        <f t="shared" si="12"/>
        <v>1841.04</v>
      </c>
      <c r="H91" s="95">
        <f t="shared" si="12"/>
        <v>1793.74</v>
      </c>
      <c r="I91" s="95">
        <f t="shared" si="12"/>
        <v>1788.04</v>
      </c>
      <c r="J91" s="95">
        <f t="shared" si="12"/>
        <v>1784.2400000000002</v>
      </c>
      <c r="K91" s="95">
        <f t="shared" si="12"/>
        <v>1768.04</v>
      </c>
      <c r="L91" s="95">
        <f t="shared" si="12"/>
        <v>1767.7399999999998</v>
      </c>
      <c r="M91" s="95">
        <f t="shared" si="12"/>
        <v>1880.3399999999997</v>
      </c>
      <c r="N91" s="95">
        <f t="shared" si="12"/>
        <v>1924.6399999999999</v>
      </c>
      <c r="O91" s="95">
        <f t="shared" si="12"/>
        <v>1926.2399999999998</v>
      </c>
      <c r="P91" s="95">
        <f t="shared" si="12"/>
        <v>2049.4399999999996</v>
      </c>
      <c r="Q91" s="95">
        <f t="shared" si="12"/>
        <v>3.54</v>
      </c>
      <c r="R91" s="95">
        <f t="shared" si="12"/>
        <v>1999.0400000000002</v>
      </c>
      <c r="S91" s="95">
        <f t="shared" si="12"/>
        <v>1975.04</v>
      </c>
      <c r="T91" s="95">
        <f t="shared" si="12"/>
        <v>2046.1399999999999</v>
      </c>
      <c r="U91" s="95">
        <f t="shared" si="12"/>
        <v>2002.74</v>
      </c>
      <c r="V91" s="95">
        <f t="shared" si="12"/>
        <v>2005.54</v>
      </c>
      <c r="W91" s="95">
        <f t="shared" si="12"/>
        <v>1952.24</v>
      </c>
      <c r="X91" s="95">
        <f t="shared" si="12"/>
        <v>1893.94</v>
      </c>
      <c r="Y91" s="95">
        <f t="shared" si="12"/>
        <v>1927.14</v>
      </c>
      <c r="Z91" s="95">
        <f t="shared" si="12"/>
        <v>1946.64</v>
      </c>
      <c r="AA91" s="95">
        <f t="shared" si="12"/>
        <v>1909.7399999999998</v>
      </c>
      <c r="AB91" s="95">
        <f t="shared" si="12"/>
        <v>1863.54</v>
      </c>
      <c r="AC91" s="95">
        <f t="shared" si="12"/>
        <v>1841.84</v>
      </c>
      <c r="AD91" s="95">
        <f t="shared" si="12"/>
        <v>1870.34</v>
      </c>
      <c r="AE91" s="95">
        <f t="shared" si="12"/>
        <v>1799.34</v>
      </c>
      <c r="AF91" s="95">
        <f t="shared" si="12"/>
        <v>1703.34</v>
      </c>
      <c r="AG91" s="88">
        <f>AG88+AG84+AG72+AG68+AG50+AG90</f>
        <v>1573.45</v>
      </c>
      <c r="AH91" s="47">
        <f t="shared" si="8"/>
        <v>2049.4399999999996</v>
      </c>
      <c r="AI91" s="48">
        <f t="shared" si="9"/>
        <v>3.54</v>
      </c>
    </row>
    <row r="92" spans="1:40" ht="15.75" thickBot="1" x14ac:dyDescent="0.3">
      <c r="A92" s="73" t="s">
        <v>111</v>
      </c>
      <c r="B92" s="95">
        <f t="shared" ref="B92:AF92" si="13">B91-B99</f>
        <v>1878.94</v>
      </c>
      <c r="C92" s="95">
        <f t="shared" si="13"/>
        <v>1848.74</v>
      </c>
      <c r="D92" s="95">
        <f t="shared" si="13"/>
        <v>1795.6399999999999</v>
      </c>
      <c r="E92" s="95">
        <f t="shared" si="13"/>
        <v>1780.3400000000001</v>
      </c>
      <c r="F92" s="95">
        <f t="shared" si="13"/>
        <v>1818.3400000000001</v>
      </c>
      <c r="G92" s="95">
        <f t="shared" si="13"/>
        <v>1841.04</v>
      </c>
      <c r="H92" s="95">
        <f t="shared" si="13"/>
        <v>1793.74</v>
      </c>
      <c r="I92" s="95">
        <f t="shared" si="13"/>
        <v>1788.04</v>
      </c>
      <c r="J92" s="95">
        <f t="shared" si="13"/>
        <v>1784.2400000000002</v>
      </c>
      <c r="K92" s="95">
        <f t="shared" si="13"/>
        <v>1768.04</v>
      </c>
      <c r="L92" s="95">
        <f t="shared" si="13"/>
        <v>1767.7399999999998</v>
      </c>
      <c r="M92" s="95">
        <f t="shared" si="13"/>
        <v>1880.3399999999997</v>
      </c>
      <c r="N92" s="95">
        <f t="shared" si="13"/>
        <v>1924.6399999999999</v>
      </c>
      <c r="O92" s="95">
        <f t="shared" si="13"/>
        <v>1926.2399999999998</v>
      </c>
      <c r="P92" s="95">
        <f t="shared" si="13"/>
        <v>2049.4399999999996</v>
      </c>
      <c r="Q92" s="95">
        <f t="shared" si="13"/>
        <v>3.54</v>
      </c>
      <c r="R92" s="95">
        <f t="shared" si="13"/>
        <v>1999.0400000000002</v>
      </c>
      <c r="S92" s="95">
        <f t="shared" si="13"/>
        <v>1975.04</v>
      </c>
      <c r="T92" s="95">
        <f t="shared" si="13"/>
        <v>2046.1399999999999</v>
      </c>
      <c r="U92" s="95">
        <f t="shared" si="13"/>
        <v>2002.74</v>
      </c>
      <c r="V92" s="95">
        <f t="shared" si="13"/>
        <v>2005.54</v>
      </c>
      <c r="W92" s="95">
        <f t="shared" si="13"/>
        <v>1952.24</v>
      </c>
      <c r="X92" s="95">
        <f t="shared" si="13"/>
        <v>1893.94</v>
      </c>
      <c r="Y92" s="95">
        <f t="shared" si="13"/>
        <v>1927.14</v>
      </c>
      <c r="Z92" s="95">
        <f t="shared" si="13"/>
        <v>1946.64</v>
      </c>
      <c r="AA92" s="95">
        <f t="shared" si="13"/>
        <v>1909.7399999999998</v>
      </c>
      <c r="AB92" s="95">
        <f t="shared" si="13"/>
        <v>1863.54</v>
      </c>
      <c r="AC92" s="95">
        <f t="shared" si="13"/>
        <v>1841.84</v>
      </c>
      <c r="AD92" s="95">
        <f t="shared" si="13"/>
        <v>1870.34</v>
      </c>
      <c r="AE92" s="95">
        <f t="shared" si="13"/>
        <v>1799.34</v>
      </c>
      <c r="AF92" s="95">
        <f t="shared" si="13"/>
        <v>1703.34</v>
      </c>
      <c r="AG92" s="88"/>
      <c r="AH92" s="47">
        <f t="shared" si="8"/>
        <v>2049.4399999999996</v>
      </c>
      <c r="AI92" s="48">
        <f t="shared" si="9"/>
        <v>3.54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8"/>
        <v>0</v>
      </c>
      <c r="AI99" s="48">
        <f t="shared" si="9"/>
        <v>0</v>
      </c>
      <c r="AK99" s="74"/>
    </row>
    <row r="100" spans="1:37" ht="15.75" thickBot="1" x14ac:dyDescent="0.3">
      <c r="A100" s="73" t="s">
        <v>116</v>
      </c>
      <c r="B100" s="59">
        <f t="shared" ref="B100:AF100" si="14">B84-B99</f>
        <v>72</v>
      </c>
      <c r="C100" s="59">
        <f t="shared" si="14"/>
        <v>66</v>
      </c>
      <c r="D100" s="59">
        <f t="shared" si="14"/>
        <v>69.599999999999994</v>
      </c>
      <c r="E100" s="59">
        <f t="shared" si="14"/>
        <v>69</v>
      </c>
      <c r="F100" s="59">
        <f t="shared" si="14"/>
        <v>67</v>
      </c>
      <c r="G100" s="59">
        <f t="shared" si="14"/>
        <v>65</v>
      </c>
      <c r="H100" s="59">
        <f t="shared" si="14"/>
        <v>51</v>
      </c>
      <c r="I100" s="59">
        <f t="shared" si="14"/>
        <v>48</v>
      </c>
      <c r="J100" s="59">
        <f t="shared" si="14"/>
        <v>44</v>
      </c>
      <c r="K100" s="59">
        <f t="shared" si="14"/>
        <v>42</v>
      </c>
      <c r="L100" s="59">
        <f t="shared" si="14"/>
        <v>34</v>
      </c>
      <c r="M100" s="59">
        <f t="shared" si="14"/>
        <v>30.6</v>
      </c>
      <c r="N100" s="59">
        <f t="shared" si="14"/>
        <v>77</v>
      </c>
      <c r="O100" s="59">
        <f t="shared" si="14"/>
        <v>115.1</v>
      </c>
      <c r="P100" s="59">
        <f t="shared" si="14"/>
        <v>109.6</v>
      </c>
      <c r="Q100" s="59">
        <f t="shared" si="14"/>
        <v>0</v>
      </c>
      <c r="R100" s="59">
        <f t="shared" si="14"/>
        <v>112.2</v>
      </c>
      <c r="S100" s="59">
        <f t="shared" si="14"/>
        <v>109</v>
      </c>
      <c r="T100" s="59">
        <f t="shared" si="14"/>
        <v>142.6</v>
      </c>
      <c r="U100" s="59">
        <f t="shared" si="14"/>
        <v>142</v>
      </c>
      <c r="V100" s="59">
        <f t="shared" si="14"/>
        <v>139.29999999999998</v>
      </c>
      <c r="W100" s="59">
        <f t="shared" si="14"/>
        <v>137.79999999999998</v>
      </c>
      <c r="X100" s="59">
        <f t="shared" si="14"/>
        <v>136.19999999999999</v>
      </c>
      <c r="Y100" s="59">
        <f t="shared" si="14"/>
        <v>133.4</v>
      </c>
      <c r="Z100" s="59">
        <f t="shared" si="14"/>
        <v>122.39999999999999</v>
      </c>
      <c r="AA100" s="59">
        <f t="shared" si="14"/>
        <v>128.60000000000002</v>
      </c>
      <c r="AB100" s="59">
        <f t="shared" si="14"/>
        <v>100.2</v>
      </c>
      <c r="AC100" s="59">
        <f t="shared" si="14"/>
        <v>100.5</v>
      </c>
      <c r="AD100" s="59">
        <f t="shared" si="14"/>
        <v>107</v>
      </c>
      <c r="AE100" s="59">
        <f t="shared" si="14"/>
        <v>116</v>
      </c>
      <c r="AF100" s="59">
        <f t="shared" si="14"/>
        <v>0</v>
      </c>
      <c r="AG100" s="88"/>
      <c r="AH100" s="47">
        <f t="shared" si="8"/>
        <v>142.6</v>
      </c>
      <c r="AI100" s="48">
        <f t="shared" si="9"/>
        <v>0</v>
      </c>
    </row>
    <row r="101" spans="1:37" x14ac:dyDescent="0.25">
      <c r="A101" s="100" t="s">
        <v>117</v>
      </c>
      <c r="B101" s="101">
        <v>50.031999999999996</v>
      </c>
      <c r="C101" s="101">
        <v>50.042000000000002</v>
      </c>
      <c r="D101" s="101">
        <v>50.058999999999997</v>
      </c>
      <c r="E101" s="101">
        <v>50.01</v>
      </c>
      <c r="F101" s="101">
        <v>49.97</v>
      </c>
      <c r="G101" s="101">
        <v>49.97</v>
      </c>
      <c r="H101" s="101">
        <v>49.954000000000001</v>
      </c>
      <c r="I101" s="101">
        <v>50.015000000000001</v>
      </c>
      <c r="J101" s="101">
        <v>50.045000000000002</v>
      </c>
      <c r="K101" s="101">
        <v>50.03</v>
      </c>
      <c r="L101" s="101">
        <v>50.072000000000003</v>
      </c>
      <c r="M101" s="101">
        <v>49.93</v>
      </c>
      <c r="N101" s="101">
        <v>49.997999999999998</v>
      </c>
      <c r="O101" s="101">
        <v>49.957000000000001</v>
      </c>
      <c r="P101" s="101">
        <v>49.981999999999999</v>
      </c>
      <c r="Q101" s="101"/>
      <c r="R101" s="101">
        <v>49.996000000000002</v>
      </c>
      <c r="S101" s="101">
        <v>49.98</v>
      </c>
      <c r="T101" s="101">
        <v>50.055</v>
      </c>
      <c r="U101" s="101">
        <v>50.06</v>
      </c>
      <c r="V101" s="101">
        <v>49.997999999999998</v>
      </c>
      <c r="W101" s="101">
        <v>50.073999999999998</v>
      </c>
      <c r="X101" s="101">
        <v>50.167000000000002</v>
      </c>
      <c r="Y101" s="101">
        <v>50.048000000000002</v>
      </c>
      <c r="Z101" s="101">
        <v>50.024000000000001</v>
      </c>
      <c r="AA101" s="101">
        <v>50.042999999999999</v>
      </c>
      <c r="AB101" s="101">
        <v>49.98</v>
      </c>
      <c r="AC101" s="101">
        <v>49.99</v>
      </c>
      <c r="AD101" s="101">
        <v>49.89</v>
      </c>
      <c r="AE101" s="101">
        <v>50.03</v>
      </c>
      <c r="AF101" s="101"/>
      <c r="AG101" s="102"/>
      <c r="AH101" s="47">
        <f t="shared" si="8"/>
        <v>50.167000000000002</v>
      </c>
      <c r="AI101" s="48">
        <f t="shared" si="9"/>
        <v>49.89</v>
      </c>
    </row>
    <row r="102" spans="1:37" x14ac:dyDescent="0.25">
      <c r="A102" s="103" t="s">
        <v>118</v>
      </c>
      <c r="B102" s="64">
        <v>125.3</v>
      </c>
      <c r="C102" s="64">
        <v>125.6</v>
      </c>
      <c r="D102" s="64">
        <v>124.5</v>
      </c>
      <c r="E102" s="64">
        <v>125.2</v>
      </c>
      <c r="F102" s="64">
        <v>123.7</v>
      </c>
      <c r="G102" s="64">
        <v>123.7</v>
      </c>
      <c r="H102" s="64">
        <v>124.1</v>
      </c>
      <c r="I102" s="64">
        <v>123.7</v>
      </c>
      <c r="J102" s="64">
        <v>121.5</v>
      </c>
      <c r="K102" s="64">
        <v>121.5</v>
      </c>
      <c r="L102" s="64">
        <v>121</v>
      </c>
      <c r="M102" s="64">
        <v>122</v>
      </c>
      <c r="N102" s="64">
        <v>121.9</v>
      </c>
      <c r="O102" s="64">
        <v>121</v>
      </c>
      <c r="P102" s="64">
        <v>120.1</v>
      </c>
      <c r="Q102" s="64"/>
      <c r="R102" s="64">
        <v>122</v>
      </c>
      <c r="S102" s="64">
        <v>123.2</v>
      </c>
      <c r="T102" s="64">
        <v>122.1</v>
      </c>
      <c r="U102" s="64">
        <v>123.3</v>
      </c>
      <c r="V102" s="64">
        <v>123.9</v>
      </c>
      <c r="W102" s="64">
        <v>124.1</v>
      </c>
      <c r="X102" s="64">
        <v>124.9</v>
      </c>
      <c r="Y102" s="64">
        <v>124.1</v>
      </c>
      <c r="Z102" s="64">
        <v>124.3</v>
      </c>
      <c r="AA102" s="64">
        <v>125.1</v>
      </c>
      <c r="AB102" s="64">
        <v>123.7</v>
      </c>
      <c r="AC102" s="64">
        <v>123.4</v>
      </c>
      <c r="AD102" s="64">
        <v>122</v>
      </c>
      <c r="AE102" s="64">
        <v>122</v>
      </c>
      <c r="AF102" s="64"/>
      <c r="AG102" s="104"/>
      <c r="AH102" s="47">
        <f t="shared" si="8"/>
        <v>125.6</v>
      </c>
      <c r="AI102" s="48">
        <f t="shared" si="9"/>
        <v>120.1</v>
      </c>
    </row>
    <row r="103" spans="1:37" x14ac:dyDescent="0.25">
      <c r="A103" s="103" t="s">
        <v>119</v>
      </c>
      <c r="B103" s="64">
        <v>130.5</v>
      </c>
      <c r="C103" s="64">
        <v>130.5</v>
      </c>
      <c r="D103" s="64">
        <v>129.9</v>
      </c>
      <c r="E103" s="64">
        <v>129.69999999999999</v>
      </c>
      <c r="F103" s="64">
        <v>128.9</v>
      </c>
      <c r="G103" s="64">
        <v>128.9</v>
      </c>
      <c r="H103" s="64">
        <v>128.6</v>
      </c>
      <c r="I103" s="64">
        <v>128.5</v>
      </c>
      <c r="J103" s="64">
        <v>123.5</v>
      </c>
      <c r="K103" s="64">
        <v>125.6</v>
      </c>
      <c r="L103" s="64">
        <v>125</v>
      </c>
      <c r="M103" s="64">
        <v>125.9</v>
      </c>
      <c r="N103" s="64">
        <v>125.6</v>
      </c>
      <c r="O103" s="64">
        <v>124.8</v>
      </c>
      <c r="P103" s="64">
        <v>124.2</v>
      </c>
      <c r="Q103" s="64"/>
      <c r="R103" s="64">
        <v>125.6</v>
      </c>
      <c r="S103" s="64">
        <v>126.1</v>
      </c>
      <c r="T103" s="64">
        <v>125.4</v>
      </c>
      <c r="U103" s="64">
        <v>126.1</v>
      </c>
      <c r="V103" s="64">
        <v>126.8</v>
      </c>
      <c r="W103" s="64">
        <v>127.8</v>
      </c>
      <c r="X103" s="64">
        <v>128.19999999999999</v>
      </c>
      <c r="Y103" s="64">
        <v>127.5</v>
      </c>
      <c r="Z103" s="64">
        <v>127.8</v>
      </c>
      <c r="AA103" s="64">
        <v>127.7</v>
      </c>
      <c r="AB103" s="64">
        <v>127.7</v>
      </c>
      <c r="AC103" s="64">
        <v>127.6</v>
      </c>
      <c r="AD103" s="64">
        <v>127</v>
      </c>
      <c r="AE103" s="64">
        <v>127</v>
      </c>
      <c r="AF103" s="64"/>
      <c r="AG103" s="104"/>
      <c r="AH103" s="47">
        <f t="shared" si="8"/>
        <v>130.5</v>
      </c>
      <c r="AI103" s="48">
        <f t="shared" si="9"/>
        <v>123.5</v>
      </c>
    </row>
    <row r="104" spans="1:37" x14ac:dyDescent="0.25">
      <c r="A104" s="103" t="s">
        <v>120</v>
      </c>
      <c r="B104" s="64">
        <v>128.1</v>
      </c>
      <c r="C104" s="64">
        <v>130.1</v>
      </c>
      <c r="D104" s="64">
        <v>127.4</v>
      </c>
      <c r="E104" s="64">
        <v>129.1</v>
      </c>
      <c r="F104" s="64">
        <v>128.30000000000001</v>
      </c>
      <c r="G104" s="64">
        <v>128.30000000000001</v>
      </c>
      <c r="H104" s="64">
        <v>129.30000000000001</v>
      </c>
      <c r="I104" s="64">
        <v>128.69999999999999</v>
      </c>
      <c r="J104" s="64">
        <v>127.6</v>
      </c>
      <c r="K104" s="64">
        <v>128.4</v>
      </c>
      <c r="L104" s="64">
        <v>124.6</v>
      </c>
      <c r="M104" s="64">
        <v>125.7</v>
      </c>
      <c r="N104" s="64">
        <v>127.5</v>
      </c>
      <c r="O104" s="64">
        <v>125.1</v>
      </c>
      <c r="P104" s="64">
        <v>125</v>
      </c>
      <c r="Q104" s="64"/>
      <c r="R104" s="64">
        <v>126.1</v>
      </c>
      <c r="S104" s="64">
        <v>123.9</v>
      </c>
      <c r="T104" s="64">
        <v>125.9</v>
      </c>
      <c r="U104" s="64">
        <v>126.4</v>
      </c>
      <c r="V104" s="64">
        <v>130</v>
      </c>
      <c r="W104" s="64">
        <v>128.69999999999999</v>
      </c>
      <c r="X104" s="64">
        <v>129.1</v>
      </c>
      <c r="Y104" s="64">
        <v>127.7</v>
      </c>
      <c r="Z104" s="64">
        <v>126.4</v>
      </c>
      <c r="AA104" s="64">
        <v>130.19999999999999</v>
      </c>
      <c r="AB104" s="64">
        <v>126.9</v>
      </c>
      <c r="AC104" s="64">
        <v>125.1</v>
      </c>
      <c r="AD104" s="64">
        <v>129.5</v>
      </c>
      <c r="AE104" s="64">
        <v>129.5</v>
      </c>
      <c r="AF104" s="64"/>
      <c r="AG104" s="104"/>
      <c r="AH104" s="47">
        <f t="shared" si="8"/>
        <v>130.19999999999999</v>
      </c>
      <c r="AI104" s="48">
        <f t="shared" si="9"/>
        <v>123.9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122</v>
      </c>
      <c r="B106" s="106">
        <v>135.30000000000001</v>
      </c>
      <c r="C106" s="106">
        <v>130.19999999999999</v>
      </c>
      <c r="D106" s="106">
        <v>131.5</v>
      </c>
      <c r="E106" s="106">
        <v>132.5</v>
      </c>
      <c r="F106" s="106">
        <v>133.6</v>
      </c>
      <c r="G106" s="106">
        <v>133.6</v>
      </c>
      <c r="H106" s="106">
        <v>132.30000000000001</v>
      </c>
      <c r="I106" s="106">
        <v>134.1</v>
      </c>
      <c r="J106" s="106">
        <v>132.4</v>
      </c>
      <c r="K106" s="106">
        <v>130.6</v>
      </c>
      <c r="L106" s="106">
        <v>129.30000000000001</v>
      </c>
      <c r="M106" s="106">
        <v>128.19999999999999</v>
      </c>
      <c r="N106" s="106">
        <v>129.69999999999999</v>
      </c>
      <c r="O106" s="106">
        <v>126.1</v>
      </c>
      <c r="P106" s="106">
        <v>130.30000000000001</v>
      </c>
      <c r="Q106" s="106"/>
      <c r="R106" s="106">
        <v>130.4</v>
      </c>
      <c r="S106" s="106">
        <v>133.6</v>
      </c>
      <c r="T106" s="106">
        <v>132.5</v>
      </c>
      <c r="U106" s="106">
        <v>133.5</v>
      </c>
      <c r="V106" s="106">
        <v>133.1</v>
      </c>
      <c r="W106" s="106">
        <v>129</v>
      </c>
      <c r="X106" s="106">
        <v>133.5</v>
      </c>
      <c r="Y106" s="106">
        <v>132.1</v>
      </c>
      <c r="Z106" s="106">
        <v>134</v>
      </c>
      <c r="AA106" s="106">
        <v>132.6</v>
      </c>
      <c r="AB106" s="106">
        <v>129.6</v>
      </c>
      <c r="AC106" s="106">
        <v>130.5</v>
      </c>
      <c r="AD106" s="106">
        <v>132</v>
      </c>
      <c r="AE106" s="106">
        <v>132</v>
      </c>
      <c r="AF106" s="106"/>
      <c r="AG106" s="107"/>
      <c r="AH106" s="47">
        <f t="shared" si="8"/>
        <v>135.30000000000001</v>
      </c>
      <c r="AI106" s="48">
        <f t="shared" si="9"/>
        <v>126.1</v>
      </c>
    </row>
    <row r="107" spans="1:37" x14ac:dyDescent="0.25">
      <c r="A107" s="103" t="s">
        <v>123</v>
      </c>
      <c r="B107" s="64">
        <v>126.8</v>
      </c>
      <c r="C107" s="64">
        <v>128.6</v>
      </c>
      <c r="D107" s="64">
        <v>130.1</v>
      </c>
      <c r="E107" s="64">
        <v>132.4</v>
      </c>
      <c r="F107" s="64">
        <v>125.6</v>
      </c>
      <c r="G107" s="64">
        <v>125.6</v>
      </c>
      <c r="H107" s="64">
        <v>129.19999999999999</v>
      </c>
      <c r="I107" s="64">
        <v>129.19999999999999</v>
      </c>
      <c r="J107" s="64">
        <v>127.1</v>
      </c>
      <c r="K107" s="64">
        <v>125.2</v>
      </c>
      <c r="L107" s="64">
        <v>124.3</v>
      </c>
      <c r="M107" s="64">
        <v>122.5</v>
      </c>
      <c r="N107" s="64">
        <v>125.7</v>
      </c>
      <c r="O107" s="64">
        <v>125</v>
      </c>
      <c r="P107" s="64">
        <v>120.9</v>
      </c>
      <c r="Q107" s="64"/>
      <c r="R107" s="64">
        <v>128.4</v>
      </c>
      <c r="S107" s="64">
        <v>127.3</v>
      </c>
      <c r="T107" s="64">
        <v>124.9</v>
      </c>
      <c r="U107" s="64"/>
      <c r="V107" s="64">
        <v>126.4</v>
      </c>
      <c r="W107" s="64">
        <v>127</v>
      </c>
      <c r="X107" s="64">
        <v>131.69999999999999</v>
      </c>
      <c r="Y107" s="64">
        <v>129.69999999999999</v>
      </c>
      <c r="Z107" s="64">
        <v>133.4</v>
      </c>
      <c r="AA107" s="64">
        <v>127</v>
      </c>
      <c r="AB107" s="64">
        <v>126.2</v>
      </c>
      <c r="AC107" s="64">
        <v>130.5</v>
      </c>
      <c r="AD107" s="64">
        <v>128</v>
      </c>
      <c r="AE107" s="64">
        <v>128</v>
      </c>
      <c r="AF107" s="64"/>
      <c r="AG107" s="104"/>
      <c r="AH107" s="47">
        <f t="shared" si="8"/>
        <v>133.4</v>
      </c>
      <c r="AI107" s="48">
        <f t="shared" si="9"/>
        <v>120.9</v>
      </c>
    </row>
    <row r="108" spans="1:37" ht="15.75" thickBot="1" x14ac:dyDescent="0.3">
      <c r="A108" s="103" t="s">
        <v>124</v>
      </c>
      <c r="B108" s="92">
        <v>65.5</v>
      </c>
      <c r="C108" s="92">
        <v>65.3</v>
      </c>
      <c r="D108" s="92">
        <v>65.2</v>
      </c>
      <c r="E108" s="92">
        <v>65</v>
      </c>
      <c r="F108" s="92">
        <v>64.739999999999995</v>
      </c>
      <c r="G108" s="92">
        <v>64.739999999999995</v>
      </c>
      <c r="H108" s="92">
        <v>64.400000000000006</v>
      </c>
      <c r="I108" s="92">
        <v>64.3</v>
      </c>
      <c r="J108" s="92">
        <v>63.9</v>
      </c>
      <c r="K108" s="92">
        <v>62.9</v>
      </c>
      <c r="L108" s="92">
        <v>62.2</v>
      </c>
      <c r="M108" s="92">
        <v>62.8</v>
      </c>
      <c r="N108" s="92">
        <v>62.5</v>
      </c>
      <c r="O108" s="92">
        <v>62.1</v>
      </c>
      <c r="P108" s="92">
        <v>61.9</v>
      </c>
      <c r="Q108" s="92"/>
      <c r="R108" s="92">
        <v>62.4</v>
      </c>
      <c r="S108" s="92">
        <v>62.6</v>
      </c>
      <c r="T108" s="92">
        <v>62.6</v>
      </c>
      <c r="U108" s="92">
        <v>62.6</v>
      </c>
      <c r="V108" s="92">
        <v>63</v>
      </c>
      <c r="W108" s="92">
        <v>63.5</v>
      </c>
      <c r="X108" s="92">
        <v>63.8</v>
      </c>
      <c r="Y108" s="92">
        <v>63.4</v>
      </c>
      <c r="Z108" s="92">
        <v>63.5</v>
      </c>
      <c r="AA108" s="92">
        <v>63.7</v>
      </c>
      <c r="AB108" s="92">
        <v>63.9</v>
      </c>
      <c r="AC108" s="92">
        <v>64.2</v>
      </c>
      <c r="AD108" s="92">
        <v>64</v>
      </c>
      <c r="AE108" s="92">
        <v>64</v>
      </c>
      <c r="AF108" s="92"/>
      <c r="AG108" s="108"/>
      <c r="AH108" s="47">
        <f t="shared" si="8"/>
        <v>65.5</v>
      </c>
      <c r="AI108" s="48">
        <f t="shared" si="9"/>
        <v>61.9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126</v>
      </c>
      <c r="B110" s="111">
        <f t="shared" ref="B110:N110" si="15">SUM(B20,B26,B29:B30,B58,B60:B61,B63,B65,B111:B115,B138,B144,B150,B159,B161,B173,B180,B183:B184,B191,B193,B195,B199:B201,B203:B205,B210,B216:B217,B219:B221,B229,B234)</f>
        <v>123.39999999999999</v>
      </c>
      <c r="C110" s="111">
        <f t="shared" si="15"/>
        <v>109.23999999999998</v>
      </c>
      <c r="D110" s="111">
        <f t="shared" si="15"/>
        <v>76.240000000000023</v>
      </c>
      <c r="E110" s="111">
        <f t="shared" si="15"/>
        <v>79.340000000000032</v>
      </c>
      <c r="F110" s="111">
        <f t="shared" si="15"/>
        <v>95.640000000000015</v>
      </c>
      <c r="G110" s="111">
        <f t="shared" si="15"/>
        <v>77.04000000000002</v>
      </c>
      <c r="H110" s="111">
        <f t="shared" si="15"/>
        <v>123.33999999999999</v>
      </c>
      <c r="I110" s="111">
        <f t="shared" si="15"/>
        <v>124.94</v>
      </c>
      <c r="J110" s="111">
        <f t="shared" si="15"/>
        <v>169.84000000000003</v>
      </c>
      <c r="K110" s="111">
        <f t="shared" si="15"/>
        <v>209.14000000000004</v>
      </c>
      <c r="L110" s="111">
        <f t="shared" si="15"/>
        <v>216.83999999999997</v>
      </c>
      <c r="M110" s="111">
        <f t="shared" si="15"/>
        <v>217.84000000000003</v>
      </c>
      <c r="N110" s="111">
        <f t="shared" si="15"/>
        <v>196.84</v>
      </c>
      <c r="O110" s="111">
        <f>SUM(O20,O26,O29:O30,O58,O60:O61,O63,O65,O111:O115,O138,O144,O150,O159,O161,O173,O180,O183:O184,O191,O193,O195,O199:O201,O203:O205,O210,O216:O217,O219:O221,O229,O234)</f>
        <v>205.34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0</v>
      </c>
      <c r="R110" s="111">
        <f t="shared" si="16"/>
        <v>215.2</v>
      </c>
      <c r="S110" s="111">
        <f t="shared" si="16"/>
        <v>236.8</v>
      </c>
      <c r="T110" s="111">
        <f t="shared" si="16"/>
        <v>249.2</v>
      </c>
      <c r="U110" s="111">
        <f t="shared" si="16"/>
        <v>259.90000000000003</v>
      </c>
      <c r="V110" s="111">
        <f t="shared" si="16"/>
        <v>256.7</v>
      </c>
      <c r="W110" s="111">
        <f t="shared" si="16"/>
        <v>264.2</v>
      </c>
      <c r="X110" s="111">
        <f t="shared" si="16"/>
        <v>273.10000000000002</v>
      </c>
      <c r="Y110" s="111">
        <f t="shared" si="16"/>
        <v>290.60000000000002</v>
      </c>
      <c r="Z110" s="111">
        <f t="shared" si="16"/>
        <v>295.60000000000002</v>
      </c>
      <c r="AA110" s="111">
        <f t="shared" si="16"/>
        <v>279</v>
      </c>
      <c r="AB110" s="111">
        <f t="shared" si="16"/>
        <v>338.2</v>
      </c>
      <c r="AC110" s="111">
        <f t="shared" si="16"/>
        <v>213.6</v>
      </c>
      <c r="AD110" s="111"/>
      <c r="AE110" s="111">
        <f t="shared" si="16"/>
        <v>190.89999999999998</v>
      </c>
      <c r="AF110" s="111">
        <f t="shared" si="16"/>
        <v>161.9</v>
      </c>
      <c r="AG110" s="112"/>
      <c r="AH110" s="47">
        <f t="shared" si="8"/>
        <v>338.2</v>
      </c>
      <c r="AI110" s="48">
        <f t="shared" si="9"/>
        <v>0</v>
      </c>
    </row>
    <row r="111" spans="1:37" x14ac:dyDescent="0.25">
      <c r="A111" s="100" t="s">
        <v>127</v>
      </c>
      <c r="B111" s="113">
        <v>40</v>
      </c>
      <c r="C111" s="113">
        <v>20.2</v>
      </c>
      <c r="D111" s="113">
        <v>16.8</v>
      </c>
      <c r="E111" s="113">
        <v>23.6</v>
      </c>
      <c r="F111" s="113">
        <v>32.700000000000003</v>
      </c>
      <c r="G111" s="113">
        <v>26.1</v>
      </c>
      <c r="H111" s="113">
        <v>39.1</v>
      </c>
      <c r="I111" s="113">
        <v>27.6</v>
      </c>
      <c r="J111" s="113">
        <v>33.700000000000003</v>
      </c>
      <c r="K111" s="113">
        <v>46.2</v>
      </c>
      <c r="L111" s="113">
        <v>48.5</v>
      </c>
      <c r="M111" s="113">
        <v>34.6</v>
      </c>
      <c r="N111" s="113">
        <v>36.799999999999997</v>
      </c>
      <c r="O111" s="113">
        <v>32.700000000000003</v>
      </c>
      <c r="P111" s="113">
        <v>31.9</v>
      </c>
      <c r="Q111" s="113"/>
      <c r="R111" s="113">
        <v>34.1</v>
      </c>
      <c r="S111" s="113">
        <v>30</v>
      </c>
      <c r="T111" s="113">
        <v>42.6</v>
      </c>
      <c r="U111" s="113">
        <v>46.2</v>
      </c>
      <c r="V111" s="113">
        <v>47</v>
      </c>
      <c r="W111" s="113">
        <v>43</v>
      </c>
      <c r="X111" s="113">
        <v>52.1</v>
      </c>
      <c r="Y111" s="113">
        <v>56.3</v>
      </c>
      <c r="Z111" s="113">
        <v>57.5</v>
      </c>
      <c r="AA111" s="113">
        <v>52.2</v>
      </c>
      <c r="AB111" s="113">
        <v>37</v>
      </c>
      <c r="AC111" s="113">
        <v>30.1</v>
      </c>
      <c r="AD111" s="113">
        <v>75</v>
      </c>
      <c r="AE111" s="113">
        <v>75</v>
      </c>
      <c r="AF111" s="113"/>
      <c r="AG111" s="114">
        <v>75</v>
      </c>
      <c r="AH111" s="47">
        <f t="shared" si="8"/>
        <v>75</v>
      </c>
      <c r="AI111" s="48">
        <f t="shared" si="9"/>
        <v>16.8</v>
      </c>
    </row>
    <row r="112" spans="1:37" x14ac:dyDescent="0.25">
      <c r="A112" s="103" t="s">
        <v>128</v>
      </c>
      <c r="B112" s="115">
        <v>65.3</v>
      </c>
      <c r="C112" s="115">
        <v>38.799999999999997</v>
      </c>
      <c r="D112" s="115">
        <v>35.5</v>
      </c>
      <c r="E112" s="115">
        <v>49.3</v>
      </c>
      <c r="F112" s="115">
        <v>58.1</v>
      </c>
      <c r="G112" s="115">
        <v>46.4</v>
      </c>
      <c r="H112" s="115">
        <v>63.9</v>
      </c>
      <c r="I112" s="115">
        <v>50.2</v>
      </c>
      <c r="J112" s="115">
        <v>58.8</v>
      </c>
      <c r="K112" s="115">
        <v>68.2</v>
      </c>
      <c r="L112" s="115">
        <v>69.5</v>
      </c>
      <c r="M112" s="115">
        <v>52.1</v>
      </c>
      <c r="N112" s="115">
        <v>52.2</v>
      </c>
      <c r="O112" s="115">
        <v>52.3</v>
      </c>
      <c r="P112" s="115">
        <v>50.6</v>
      </c>
      <c r="Q112" s="115"/>
      <c r="R112" s="115">
        <v>52.7</v>
      </c>
      <c r="S112" s="115">
        <v>49</v>
      </c>
      <c r="T112" s="115">
        <v>66</v>
      </c>
      <c r="U112" s="115">
        <v>70.8</v>
      </c>
      <c r="V112" s="115">
        <v>71.3</v>
      </c>
      <c r="W112" s="115">
        <v>64.3</v>
      </c>
      <c r="X112" s="115">
        <v>71.099999999999994</v>
      </c>
      <c r="Y112" s="115">
        <v>76.400000000000006</v>
      </c>
      <c r="Z112" s="115">
        <v>75.2</v>
      </c>
      <c r="AA112" s="115">
        <v>74.2</v>
      </c>
      <c r="AB112" s="115">
        <v>62.5</v>
      </c>
      <c r="AC112" s="115">
        <v>53.5</v>
      </c>
      <c r="AD112" s="115">
        <v>44</v>
      </c>
      <c r="AE112" s="115">
        <v>44</v>
      </c>
      <c r="AF112" s="115"/>
      <c r="AG112" s="114">
        <v>240</v>
      </c>
      <c r="AH112" s="47">
        <f t="shared" si="8"/>
        <v>76.400000000000006</v>
      </c>
      <c r="AI112" s="48">
        <f t="shared" si="9"/>
        <v>35.5</v>
      </c>
    </row>
    <row r="113" spans="1:37" x14ac:dyDescent="0.25">
      <c r="A113" s="103" t="s">
        <v>129</v>
      </c>
      <c r="B113" s="115">
        <f>-83-89.5</f>
        <v>-172.5</v>
      </c>
      <c r="C113" s="115">
        <v>-140</v>
      </c>
      <c r="D113" s="115">
        <v>-140</v>
      </c>
      <c r="E113" s="115">
        <v>-152</v>
      </c>
      <c r="F113" s="115">
        <v>-148</v>
      </c>
      <c r="G113" s="115">
        <v>-167</v>
      </c>
      <c r="H113" s="115">
        <v>-159</v>
      </c>
      <c r="I113" s="115">
        <v>-137</v>
      </c>
      <c r="J113" s="115">
        <v>-135.80000000000001</v>
      </c>
      <c r="K113" s="115">
        <v>-130.6</v>
      </c>
      <c r="L113" s="115">
        <v>-106.2</v>
      </c>
      <c r="M113" s="115">
        <v>-82</v>
      </c>
      <c r="N113" s="115">
        <v>-82</v>
      </c>
      <c r="O113" s="115">
        <v>-78</v>
      </c>
      <c r="P113" s="115">
        <v>-70</v>
      </c>
      <c r="Q113" s="115"/>
      <c r="R113" s="115">
        <v>-76</v>
      </c>
      <c r="S113" s="115">
        <v>-56</v>
      </c>
      <c r="T113" s="115">
        <v>-57</v>
      </c>
      <c r="U113" s="115">
        <v>-57</v>
      </c>
      <c r="V113" s="115">
        <v>-58</v>
      </c>
      <c r="W113" s="115">
        <v>-44</v>
      </c>
      <c r="X113" s="115">
        <v>-46</v>
      </c>
      <c r="Y113" s="115">
        <v>-38</v>
      </c>
      <c r="Z113" s="115">
        <v>-19</v>
      </c>
      <c r="AA113" s="115">
        <v>-40</v>
      </c>
      <c r="AB113" s="115">
        <v>5.6</v>
      </c>
      <c r="AC113" s="115">
        <f>-51.3-54.8</f>
        <v>-106.1</v>
      </c>
      <c r="AD113" s="115">
        <v>-150</v>
      </c>
      <c r="AE113" s="115">
        <v>-150</v>
      </c>
      <c r="AF113" s="115"/>
      <c r="AG113" s="114">
        <v>240</v>
      </c>
      <c r="AH113" s="47">
        <f t="shared" si="8"/>
        <v>5.6</v>
      </c>
      <c r="AI113" s="48">
        <f t="shared" si="9"/>
        <v>-172.5</v>
      </c>
    </row>
    <row r="114" spans="1:37" x14ac:dyDescent="0.25">
      <c r="A114" s="103" t="s">
        <v>130</v>
      </c>
      <c r="B114" s="115">
        <v>-8.3000000000000007</v>
      </c>
      <c r="C114" s="115">
        <v>-4.0999999999999996</v>
      </c>
      <c r="D114" s="115">
        <v>-8.1999999999999993</v>
      </c>
      <c r="E114" s="115">
        <v>-16.100000000000001</v>
      </c>
      <c r="F114" s="115">
        <v>-14.4</v>
      </c>
      <c r="G114" s="115">
        <v>-8.6</v>
      </c>
      <c r="H114" s="115">
        <v>-7.2</v>
      </c>
      <c r="I114" s="115">
        <v>-3</v>
      </c>
      <c r="J114" s="115">
        <v>0</v>
      </c>
      <c r="K114" s="115">
        <v>3.5</v>
      </c>
      <c r="L114" s="115">
        <v>5</v>
      </c>
      <c r="M114" s="115">
        <v>13.1</v>
      </c>
      <c r="N114" s="115">
        <v>15.1</v>
      </c>
      <c r="O114" s="115">
        <v>24.5</v>
      </c>
      <c r="P114" s="115">
        <v>29.7</v>
      </c>
      <c r="Q114" s="115"/>
      <c r="R114" s="115">
        <v>23.7</v>
      </c>
      <c r="S114" s="115">
        <v>26</v>
      </c>
      <c r="T114" s="115">
        <v>15</v>
      </c>
      <c r="U114" s="115">
        <v>17.3</v>
      </c>
      <c r="V114" s="115">
        <v>20</v>
      </c>
      <c r="W114" s="115">
        <v>21</v>
      </c>
      <c r="X114" s="115">
        <v>16</v>
      </c>
      <c r="Y114" s="115">
        <v>17</v>
      </c>
      <c r="Z114" s="115">
        <v>20</v>
      </c>
      <c r="AA114" s="115">
        <v>18</v>
      </c>
      <c r="AB114" s="115">
        <v>3.4</v>
      </c>
      <c r="AC114" s="115">
        <v>3.2</v>
      </c>
      <c r="AD114" s="115">
        <v>-7</v>
      </c>
      <c r="AE114" s="115">
        <v>-7</v>
      </c>
      <c r="AF114" s="115"/>
      <c r="AG114" s="114">
        <v>60</v>
      </c>
      <c r="AH114" s="47">
        <f t="shared" si="8"/>
        <v>29.7</v>
      </c>
      <c r="AI114" s="48">
        <f t="shared" si="9"/>
        <v>-16.100000000000001</v>
      </c>
    </row>
    <row r="115" spans="1:37" x14ac:dyDescent="0.25">
      <c r="A115" s="116" t="s">
        <v>131</v>
      </c>
      <c r="B115" s="117">
        <v>19</v>
      </c>
      <c r="C115" s="117">
        <v>13.5</v>
      </c>
      <c r="D115" s="117">
        <v>10.5</v>
      </c>
      <c r="E115" s="117">
        <v>12.9</v>
      </c>
      <c r="F115" s="117">
        <v>12.6</v>
      </c>
      <c r="G115" s="117">
        <v>12.5</v>
      </c>
      <c r="H115" s="117">
        <v>11.9</v>
      </c>
      <c r="I115" s="117">
        <v>12.5</v>
      </c>
      <c r="J115" s="117">
        <v>38.5</v>
      </c>
      <c r="K115" s="117">
        <v>47.2</v>
      </c>
      <c r="L115" s="117">
        <v>17.7</v>
      </c>
      <c r="M115" s="117">
        <v>17.399999999999999</v>
      </c>
      <c r="N115" s="117">
        <v>17.8</v>
      </c>
      <c r="O115" s="117">
        <v>16.899999999999999</v>
      </c>
      <c r="P115" s="117">
        <v>17.5</v>
      </c>
      <c r="Q115" s="117"/>
      <c r="R115" s="117">
        <v>17</v>
      </c>
      <c r="S115" s="117">
        <v>14</v>
      </c>
      <c r="T115" s="117">
        <v>14</v>
      </c>
      <c r="U115" s="117">
        <v>14</v>
      </c>
      <c r="V115" s="117">
        <v>14</v>
      </c>
      <c r="W115" s="117">
        <v>18</v>
      </c>
      <c r="X115" s="117">
        <v>18</v>
      </c>
      <c r="Y115" s="117">
        <v>17</v>
      </c>
      <c r="Z115" s="117">
        <v>0</v>
      </c>
      <c r="AA115" s="117">
        <v>12.7</v>
      </c>
      <c r="AB115" s="117">
        <v>67.8</v>
      </c>
      <c r="AC115" s="117">
        <v>71</v>
      </c>
      <c r="AD115" s="117">
        <v>67</v>
      </c>
      <c r="AE115" s="117">
        <v>67</v>
      </c>
      <c r="AF115" s="117"/>
      <c r="AG115" s="118">
        <v>120</v>
      </c>
      <c r="AH115" s="47">
        <f t="shared" si="8"/>
        <v>71</v>
      </c>
      <c r="AI115" s="48">
        <f t="shared" si="9"/>
        <v>0</v>
      </c>
    </row>
    <row r="116" spans="1:37" x14ac:dyDescent="0.25">
      <c r="A116" s="116" t="s">
        <v>132</v>
      </c>
      <c r="B116" s="117">
        <v>43</v>
      </c>
      <c r="C116" s="117">
        <v>67</v>
      </c>
      <c r="D116" s="117">
        <v>63.4</v>
      </c>
      <c r="E116" s="117">
        <v>52</v>
      </c>
      <c r="F116" s="117">
        <v>53</v>
      </c>
      <c r="G116" s="117">
        <v>70.099999999999994</v>
      </c>
      <c r="H116" s="117">
        <v>50.9</v>
      </c>
      <c r="I116" s="117">
        <v>58</v>
      </c>
      <c r="J116" s="117">
        <v>62.6</v>
      </c>
      <c r="K116" s="117">
        <v>63.5</v>
      </c>
      <c r="L116" s="117">
        <v>81</v>
      </c>
      <c r="M116" s="117">
        <v>75.2</v>
      </c>
      <c r="N116" s="117">
        <v>83.5</v>
      </c>
      <c r="O116" s="117">
        <v>87.7</v>
      </c>
      <c r="P116" s="117">
        <v>101.7</v>
      </c>
      <c r="Q116" s="117"/>
      <c r="R116" s="117">
        <v>80.599999999999994</v>
      </c>
      <c r="S116" s="117">
        <v>76</v>
      </c>
      <c r="T116" s="117">
        <v>82</v>
      </c>
      <c r="U116" s="117">
        <v>76</v>
      </c>
      <c r="V116" s="117">
        <v>63</v>
      </c>
      <c r="W116" s="117">
        <v>61</v>
      </c>
      <c r="X116" s="117">
        <v>53</v>
      </c>
      <c r="Y116" s="117">
        <v>49</v>
      </c>
      <c r="Z116" s="117">
        <v>67</v>
      </c>
      <c r="AA116" s="117">
        <v>68</v>
      </c>
      <c r="AB116" s="117">
        <v>70.099999999999994</v>
      </c>
      <c r="AC116" s="117">
        <v>71.5</v>
      </c>
      <c r="AD116" s="117">
        <v>76</v>
      </c>
      <c r="AE116" s="117">
        <v>76</v>
      </c>
      <c r="AF116" s="117"/>
      <c r="AG116" s="118"/>
      <c r="AH116" s="47">
        <f t="shared" si="8"/>
        <v>101.7</v>
      </c>
      <c r="AI116" s="48">
        <f t="shared" si="9"/>
        <v>43</v>
      </c>
    </row>
    <row r="117" spans="1:37" x14ac:dyDescent="0.25">
      <c r="A117" s="116" t="s">
        <v>133</v>
      </c>
      <c r="B117" s="117">
        <v>24.6</v>
      </c>
      <c r="C117" s="117">
        <v>40.5</v>
      </c>
      <c r="D117" s="117">
        <v>50</v>
      </c>
      <c r="E117" s="117">
        <v>46.7</v>
      </c>
      <c r="F117" s="117">
        <v>43.3</v>
      </c>
      <c r="G117" s="117">
        <v>35.200000000000003</v>
      </c>
      <c r="H117" s="117">
        <v>28</v>
      </c>
      <c r="I117" s="117">
        <v>29.2</v>
      </c>
      <c r="J117" s="117">
        <v>50.4</v>
      </c>
      <c r="K117" s="117">
        <v>31.8</v>
      </c>
      <c r="L117" s="117">
        <v>24</v>
      </c>
      <c r="M117" s="117">
        <v>27</v>
      </c>
      <c r="N117" s="117">
        <v>11.9</v>
      </c>
      <c r="O117" s="117">
        <v>-6.1</v>
      </c>
      <c r="P117" s="117">
        <v>-7.4</v>
      </c>
      <c r="Q117" s="117"/>
      <c r="R117" s="117">
        <v>-9.9</v>
      </c>
      <c r="S117" s="117">
        <v>8</v>
      </c>
      <c r="T117" s="117">
        <v>-2</v>
      </c>
      <c r="U117" s="117"/>
      <c r="V117" s="117">
        <v>-15</v>
      </c>
      <c r="W117" s="117">
        <v>-12</v>
      </c>
      <c r="X117" s="117">
        <v>-17</v>
      </c>
      <c r="Y117" s="117">
        <v>-30</v>
      </c>
      <c r="Z117" s="117">
        <v>-26</v>
      </c>
      <c r="AA117" s="117">
        <v>0</v>
      </c>
      <c r="AB117" s="117">
        <v>19.2</v>
      </c>
      <c r="AC117" s="117">
        <v>25.5</v>
      </c>
      <c r="AD117" s="117">
        <v>40</v>
      </c>
      <c r="AE117" s="117">
        <v>40</v>
      </c>
      <c r="AF117" s="117"/>
      <c r="AG117" s="119"/>
      <c r="AH117" s="47">
        <f t="shared" si="8"/>
        <v>50.4</v>
      </c>
      <c r="AI117" s="48">
        <f t="shared" si="9"/>
        <v>-30</v>
      </c>
    </row>
    <row r="118" spans="1:37" x14ac:dyDescent="0.25">
      <c r="A118" s="120" t="s">
        <v>134</v>
      </c>
      <c r="B118" s="106">
        <v>26.2</v>
      </c>
      <c r="C118" s="106">
        <v>35.1</v>
      </c>
      <c r="D118" s="106">
        <v>-12.3</v>
      </c>
      <c r="E118" s="106">
        <v>-9.1999999999999993</v>
      </c>
      <c r="F118" s="106">
        <v>-12.7</v>
      </c>
      <c r="G118" s="106">
        <v>2.2000000000000002</v>
      </c>
      <c r="H118" s="106">
        <v>8.3000000000000007</v>
      </c>
      <c r="I118" s="106">
        <v>11.6</v>
      </c>
      <c r="J118" s="106">
        <v>13</v>
      </c>
      <c r="K118" s="106">
        <v>8.4</v>
      </c>
      <c r="L118" s="106">
        <v>0.6</v>
      </c>
      <c r="M118" s="106">
        <v>5.2</v>
      </c>
      <c r="N118" s="106">
        <v>-8.6999999999999993</v>
      </c>
      <c r="O118" s="106">
        <v>19.7</v>
      </c>
      <c r="P118" s="106">
        <v>17.3</v>
      </c>
      <c r="Q118" s="106"/>
      <c r="R118" s="106">
        <v>34.5</v>
      </c>
      <c r="S118" s="106">
        <v>41</v>
      </c>
      <c r="T118" s="106">
        <v>43</v>
      </c>
      <c r="U118" s="106">
        <v>38</v>
      </c>
      <c r="V118" s="106">
        <v>34</v>
      </c>
      <c r="W118" s="106">
        <v>33</v>
      </c>
      <c r="X118" s="106">
        <v>35</v>
      </c>
      <c r="Y118" s="106">
        <v>28</v>
      </c>
      <c r="Z118" s="106">
        <v>27</v>
      </c>
      <c r="AA118" s="106">
        <v>26</v>
      </c>
      <c r="AB118" s="106">
        <v>-36.1</v>
      </c>
      <c r="AC118" s="106">
        <v>-39</v>
      </c>
      <c r="AD118" s="106">
        <v>-40</v>
      </c>
      <c r="AE118" s="106">
        <v>-40</v>
      </c>
      <c r="AF118" s="106"/>
      <c r="AG118" s="119"/>
      <c r="AH118" s="47">
        <f t="shared" si="8"/>
        <v>43</v>
      </c>
      <c r="AI118" s="48">
        <f t="shared" si="9"/>
        <v>-40</v>
      </c>
    </row>
    <row r="119" spans="1:37" x14ac:dyDescent="0.25">
      <c r="A119" s="121" t="s">
        <v>135</v>
      </c>
      <c r="B119" s="106">
        <v>83.4</v>
      </c>
      <c r="C119" s="106">
        <v>62.8</v>
      </c>
      <c r="D119" s="106">
        <v>75.099999999999994</v>
      </c>
      <c r="E119" s="106">
        <v>72.8</v>
      </c>
      <c r="F119" s="106">
        <v>85</v>
      </c>
      <c r="G119" s="106">
        <v>63</v>
      </c>
      <c r="H119" s="106">
        <v>76.900000000000006</v>
      </c>
      <c r="I119" s="106">
        <v>65.099999999999994</v>
      </c>
      <c r="J119" s="106">
        <v>60</v>
      </c>
      <c r="K119" s="106">
        <v>60.2</v>
      </c>
      <c r="L119" s="106">
        <v>0</v>
      </c>
      <c r="M119" s="106">
        <v>0</v>
      </c>
      <c r="N119" s="106">
        <v>0</v>
      </c>
      <c r="O119" s="106">
        <v>0</v>
      </c>
      <c r="P119" s="106">
        <v>0</v>
      </c>
      <c r="Q119" s="106"/>
      <c r="R119" s="106">
        <v>0</v>
      </c>
      <c r="S119" s="106">
        <v>0</v>
      </c>
      <c r="T119" s="106">
        <v>0</v>
      </c>
      <c r="U119" s="106">
        <v>0</v>
      </c>
      <c r="V119" s="106">
        <v>0</v>
      </c>
      <c r="W119" s="106">
        <v>0</v>
      </c>
      <c r="X119" s="106">
        <v>50</v>
      </c>
      <c r="Y119" s="106">
        <v>48.2</v>
      </c>
      <c r="Z119" s="106">
        <v>38</v>
      </c>
      <c r="AA119" s="106">
        <v>45</v>
      </c>
      <c r="AB119" s="106">
        <v>66.7</v>
      </c>
      <c r="AC119" s="106">
        <v>64.900000000000006</v>
      </c>
      <c r="AD119" s="106">
        <v>67</v>
      </c>
      <c r="AE119" s="106">
        <v>67</v>
      </c>
      <c r="AF119" s="106"/>
      <c r="AG119" s="119"/>
      <c r="AH119" s="47">
        <f t="shared" si="8"/>
        <v>85</v>
      </c>
      <c r="AI119" s="48">
        <f t="shared" si="9"/>
        <v>0</v>
      </c>
    </row>
    <row r="120" spans="1:37" ht="15.75" thickBot="1" x14ac:dyDescent="0.3">
      <c r="A120" s="120" t="s">
        <v>136</v>
      </c>
      <c r="B120" s="106">
        <v>73.099999999999994</v>
      </c>
      <c r="C120" s="106">
        <v>48.6</v>
      </c>
      <c r="D120" s="106">
        <v>81</v>
      </c>
      <c r="E120" s="106">
        <v>69</v>
      </c>
      <c r="F120" s="106">
        <v>60.2</v>
      </c>
      <c r="G120" s="106">
        <v>42</v>
      </c>
      <c r="H120" s="106">
        <v>43.3</v>
      </c>
      <c r="I120" s="106">
        <v>44.6</v>
      </c>
      <c r="J120" s="106">
        <v>39.9</v>
      </c>
      <c r="K120" s="106">
        <v>48.5</v>
      </c>
      <c r="L120" s="106">
        <v>59.9</v>
      </c>
      <c r="M120" s="106">
        <v>68.2</v>
      </c>
      <c r="N120" s="106">
        <v>60.9</v>
      </c>
      <c r="O120" s="106">
        <v>44.4</v>
      </c>
      <c r="P120" s="106">
        <v>58</v>
      </c>
      <c r="Q120" s="106"/>
      <c r="R120" s="106">
        <v>45</v>
      </c>
      <c r="S120" s="106">
        <v>49</v>
      </c>
      <c r="T120" s="106">
        <v>52</v>
      </c>
      <c r="U120" s="106"/>
      <c r="V120" s="106">
        <v>43</v>
      </c>
      <c r="W120" s="106">
        <v>43</v>
      </c>
      <c r="X120" s="106">
        <v>37</v>
      </c>
      <c r="Y120" s="106">
        <v>45</v>
      </c>
      <c r="Z120" s="106">
        <v>42</v>
      </c>
      <c r="AA120" s="106">
        <v>43</v>
      </c>
      <c r="AB120" s="106">
        <v>51.5</v>
      </c>
      <c r="AC120" s="106">
        <v>51.3</v>
      </c>
      <c r="AD120" s="106">
        <v>49</v>
      </c>
      <c r="AE120" s="106">
        <v>49</v>
      </c>
      <c r="AF120" s="106"/>
      <c r="AG120" s="119"/>
      <c r="AH120" s="47">
        <f t="shared" si="8"/>
        <v>81</v>
      </c>
      <c r="AI120" s="48">
        <f t="shared" si="9"/>
        <v>37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17">SUM(B122:B226)</f>
        <v>0</v>
      </c>
      <c r="C227" s="137">
        <f t="shared" si="17"/>
        <v>0</v>
      </c>
      <c r="D227" s="137">
        <f t="shared" si="17"/>
        <v>0</v>
      </c>
      <c r="E227" s="137">
        <f t="shared" si="17"/>
        <v>0</v>
      </c>
      <c r="F227" s="137">
        <f t="shared" si="17"/>
        <v>0</v>
      </c>
      <c r="G227" s="137">
        <f t="shared" si="17"/>
        <v>0</v>
      </c>
      <c r="H227" s="137">
        <f t="shared" si="17"/>
        <v>0</v>
      </c>
      <c r="I227" s="137">
        <f t="shared" si="17"/>
        <v>0</v>
      </c>
      <c r="J227" s="137">
        <f t="shared" si="17"/>
        <v>0</v>
      </c>
      <c r="K227" s="137">
        <f t="shared" si="17"/>
        <v>0</v>
      </c>
      <c r="L227" s="137">
        <f t="shared" si="17"/>
        <v>0</v>
      </c>
      <c r="M227" s="137">
        <f t="shared" si="17"/>
        <v>0</v>
      </c>
      <c r="N227" s="137">
        <f t="shared" si="17"/>
        <v>0</v>
      </c>
      <c r="O227" s="137">
        <f t="shared" si="17"/>
        <v>0</v>
      </c>
      <c r="P227" s="137">
        <f t="shared" si="17"/>
        <v>0</v>
      </c>
      <c r="Q227" s="137">
        <f t="shared" si="17"/>
        <v>0</v>
      </c>
      <c r="R227" s="137">
        <f t="shared" si="17"/>
        <v>0</v>
      </c>
      <c r="S227" s="137">
        <f t="shared" si="17"/>
        <v>0</v>
      </c>
      <c r="T227" s="137">
        <f t="shared" si="17"/>
        <v>0</v>
      </c>
      <c r="U227" s="137">
        <f t="shared" si="17"/>
        <v>0</v>
      </c>
      <c r="V227" s="137">
        <f t="shared" si="17"/>
        <v>0</v>
      </c>
      <c r="W227" s="137">
        <f t="shared" si="17"/>
        <v>0</v>
      </c>
      <c r="X227" s="137">
        <f t="shared" si="17"/>
        <v>0</v>
      </c>
      <c r="Y227" s="137">
        <f t="shared" si="17"/>
        <v>0</v>
      </c>
      <c r="Z227" s="137">
        <f t="shared" si="17"/>
        <v>0</v>
      </c>
      <c r="AA227" s="137">
        <f t="shared" si="17"/>
        <v>0</v>
      </c>
      <c r="AB227" s="137">
        <f t="shared" si="17"/>
        <v>0</v>
      </c>
      <c r="AC227" s="137">
        <f t="shared" si="17"/>
        <v>0</v>
      </c>
      <c r="AD227" s="137">
        <f t="shared" si="17"/>
        <v>0</v>
      </c>
      <c r="AE227" s="137">
        <f t="shared" si="17"/>
        <v>0</v>
      </c>
      <c r="AF227" s="138">
        <f t="shared" si="17"/>
        <v>0</v>
      </c>
      <c r="AG227" s="139">
        <f t="shared" si="17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18">AF229</f>
        <v>0</v>
      </c>
      <c r="C229" s="141">
        <v>0.3</v>
      </c>
      <c r="D229" s="141">
        <f t="shared" ref="D229:P234" si="19">C229</f>
        <v>0.3</v>
      </c>
      <c r="E229" s="141">
        <f t="shared" si="19"/>
        <v>0.3</v>
      </c>
      <c r="F229" s="141">
        <f t="shared" si="19"/>
        <v>0.3</v>
      </c>
      <c r="G229" s="141">
        <f t="shared" si="19"/>
        <v>0.3</v>
      </c>
      <c r="H229" s="141">
        <f t="shared" si="19"/>
        <v>0.3</v>
      </c>
      <c r="I229" s="141">
        <f t="shared" si="19"/>
        <v>0.3</v>
      </c>
      <c r="J229" s="141">
        <f t="shared" si="19"/>
        <v>0.3</v>
      </c>
      <c r="K229" s="141">
        <f t="shared" si="19"/>
        <v>0.3</v>
      </c>
      <c r="L229" s="141">
        <f t="shared" si="19"/>
        <v>0.3</v>
      </c>
      <c r="M229" s="141">
        <f t="shared" si="19"/>
        <v>0.3</v>
      </c>
      <c r="N229" s="141">
        <f t="shared" si="19"/>
        <v>0.3</v>
      </c>
      <c r="O229" s="141">
        <f t="shared" si="19"/>
        <v>0.3</v>
      </c>
      <c r="P229" s="141">
        <f t="shared" si="19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18"/>
        <v>0</v>
      </c>
      <c r="C230" s="129">
        <v>0.4</v>
      </c>
      <c r="D230" s="129">
        <f t="shared" si="19"/>
        <v>0.4</v>
      </c>
      <c r="E230" s="129">
        <f t="shared" si="19"/>
        <v>0.4</v>
      </c>
      <c r="F230" s="129">
        <f t="shared" si="19"/>
        <v>0.4</v>
      </c>
      <c r="G230" s="129">
        <f t="shared" si="19"/>
        <v>0.4</v>
      </c>
      <c r="H230" s="129">
        <f t="shared" si="19"/>
        <v>0.4</v>
      </c>
      <c r="I230" s="129">
        <f t="shared" si="19"/>
        <v>0.4</v>
      </c>
      <c r="J230" s="129">
        <f t="shared" si="19"/>
        <v>0.4</v>
      </c>
      <c r="K230" s="129">
        <f t="shared" si="19"/>
        <v>0.4</v>
      </c>
      <c r="L230" s="129">
        <f t="shared" si="19"/>
        <v>0.4</v>
      </c>
      <c r="M230" s="129">
        <f t="shared" si="19"/>
        <v>0.4</v>
      </c>
      <c r="N230" s="129">
        <f t="shared" si="19"/>
        <v>0.4</v>
      </c>
      <c r="O230" s="129">
        <f t="shared" si="19"/>
        <v>0.4</v>
      </c>
      <c r="P230" s="129">
        <f t="shared" si="19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18"/>
        <v>0</v>
      </c>
      <c r="C231" s="129">
        <v>1.5</v>
      </c>
      <c r="D231" s="129">
        <f t="shared" si="19"/>
        <v>1.5</v>
      </c>
      <c r="E231" s="129">
        <f t="shared" si="19"/>
        <v>1.5</v>
      </c>
      <c r="F231" s="129">
        <f t="shared" si="19"/>
        <v>1.5</v>
      </c>
      <c r="G231" s="129">
        <f t="shared" si="19"/>
        <v>1.5</v>
      </c>
      <c r="H231" s="129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19"/>
        <v>123.21900000000009</v>
      </c>
      <c r="K231" s="129">
        <f t="shared" ca="1" si="19"/>
        <v>123.21900000000009</v>
      </c>
      <c r="L231" s="129">
        <f t="shared" ca="1" si="19"/>
        <v>123.21900000000009</v>
      </c>
      <c r="M231" s="129">
        <f t="shared" ca="1" si="19"/>
        <v>119.19900000000008</v>
      </c>
      <c r="N231" s="129">
        <f t="shared" ca="1" si="19"/>
        <v>119.19900000000008</v>
      </c>
      <c r="O231" s="129">
        <f t="shared" ca="1" si="19"/>
        <v>119.19900000000008</v>
      </c>
      <c r="P231" s="129">
        <f t="shared" ca="1" si="19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18"/>
        <v>0</v>
      </c>
      <c r="C232" s="129">
        <v>0.3</v>
      </c>
      <c r="D232" s="129">
        <f t="shared" si="19"/>
        <v>0.3</v>
      </c>
      <c r="E232" s="129">
        <f t="shared" si="19"/>
        <v>0.3</v>
      </c>
      <c r="F232" s="129">
        <f t="shared" si="19"/>
        <v>0.3</v>
      </c>
      <c r="G232" s="129">
        <f t="shared" si="19"/>
        <v>0.3</v>
      </c>
      <c r="H232" s="129">
        <f t="shared" si="19"/>
        <v>0.3</v>
      </c>
      <c r="I232" s="129">
        <f t="shared" si="19"/>
        <v>0.3</v>
      </c>
      <c r="J232" s="129">
        <f t="shared" si="19"/>
        <v>0.3</v>
      </c>
      <c r="K232" s="129">
        <f t="shared" si="19"/>
        <v>0.3</v>
      </c>
      <c r="L232" s="129">
        <f t="shared" si="19"/>
        <v>0.3</v>
      </c>
      <c r="M232" s="129">
        <f t="shared" si="19"/>
        <v>0.3</v>
      </c>
      <c r="N232" s="129">
        <f t="shared" si="19"/>
        <v>0.3</v>
      </c>
      <c r="O232" s="129">
        <f t="shared" si="19"/>
        <v>0.3</v>
      </c>
      <c r="P232" s="129">
        <f t="shared" si="19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18"/>
        <v>0</v>
      </c>
      <c r="C233" s="129">
        <v>0.4</v>
      </c>
      <c r="D233" s="129">
        <f t="shared" si="19"/>
        <v>0.4</v>
      </c>
      <c r="E233" s="129">
        <f t="shared" si="19"/>
        <v>0.4</v>
      </c>
      <c r="F233" s="129">
        <f t="shared" si="19"/>
        <v>0.4</v>
      </c>
      <c r="G233" s="129">
        <f t="shared" si="19"/>
        <v>0.4</v>
      </c>
      <c r="H233" s="129">
        <f t="shared" si="19"/>
        <v>0.4</v>
      </c>
      <c r="I233" s="129">
        <f t="shared" si="19"/>
        <v>0.4</v>
      </c>
      <c r="J233" s="129">
        <f t="shared" si="19"/>
        <v>0.4</v>
      </c>
      <c r="K233" s="129">
        <f t="shared" si="19"/>
        <v>0.4</v>
      </c>
      <c r="L233" s="129">
        <f t="shared" si="19"/>
        <v>0.4</v>
      </c>
      <c r="M233" s="129">
        <f t="shared" si="19"/>
        <v>0.4</v>
      </c>
      <c r="N233" s="129">
        <f t="shared" si="19"/>
        <v>0.4</v>
      </c>
      <c r="O233" s="129">
        <f t="shared" si="19"/>
        <v>0.4</v>
      </c>
      <c r="P233" s="129">
        <f t="shared" si="19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18"/>
        <v>0</v>
      </c>
      <c r="C234" s="133">
        <v>0.64</v>
      </c>
      <c r="D234" s="133">
        <f t="shared" si="19"/>
        <v>0.64</v>
      </c>
      <c r="E234" s="133">
        <f t="shared" si="19"/>
        <v>0.64</v>
      </c>
      <c r="F234" s="133">
        <f t="shared" si="19"/>
        <v>0.64</v>
      </c>
      <c r="G234" s="133">
        <f t="shared" si="19"/>
        <v>0.64</v>
      </c>
      <c r="H234" s="133">
        <f t="shared" si="19"/>
        <v>0.64</v>
      </c>
      <c r="I234" s="133">
        <f t="shared" si="19"/>
        <v>0.64</v>
      </c>
      <c r="J234" s="133">
        <f t="shared" si="19"/>
        <v>0.64</v>
      </c>
      <c r="K234" s="133">
        <f t="shared" si="19"/>
        <v>0.64</v>
      </c>
      <c r="L234" s="133">
        <f t="shared" si="19"/>
        <v>0.64</v>
      </c>
      <c r="M234" s="133">
        <f t="shared" si="19"/>
        <v>0.64</v>
      </c>
      <c r="N234" s="133">
        <f t="shared" si="19"/>
        <v>0.64</v>
      </c>
      <c r="O234" s="133">
        <f t="shared" si="19"/>
        <v>0.64</v>
      </c>
      <c r="P234" s="133">
        <f t="shared" si="19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0">SUM(B229:B234)</f>
        <v>0</v>
      </c>
      <c r="C235" s="137">
        <f t="shared" si="20"/>
        <v>3.54</v>
      </c>
      <c r="D235" s="137">
        <f t="shared" si="20"/>
        <v>3.54</v>
      </c>
      <c r="E235" s="137">
        <f t="shared" si="20"/>
        <v>3.54</v>
      </c>
      <c r="F235" s="137">
        <f t="shared" si="20"/>
        <v>3.54</v>
      </c>
      <c r="G235" s="137">
        <f t="shared" si="20"/>
        <v>3.54</v>
      </c>
      <c r="H235" s="137">
        <f t="shared" si="20"/>
        <v>3.54</v>
      </c>
      <c r="I235" s="137">
        <f t="shared" ca="1" si="20"/>
        <v>121.23900000000009</v>
      </c>
      <c r="J235" s="137">
        <f t="shared" ca="1" si="20"/>
        <v>121.23900000000009</v>
      </c>
      <c r="K235" s="137">
        <f t="shared" ca="1" si="20"/>
        <v>121.23900000000009</v>
      </c>
      <c r="L235" s="137">
        <f t="shared" ca="1" si="20"/>
        <v>125.2590000000001</v>
      </c>
      <c r="M235" s="137">
        <f t="shared" ca="1" si="20"/>
        <v>121.23900000000009</v>
      </c>
      <c r="N235" s="137">
        <f t="shared" ca="1" si="20"/>
        <v>121.23900000000009</v>
      </c>
      <c r="O235" s="137">
        <f t="shared" ca="1" si="20"/>
        <v>121.23900000000009</v>
      </c>
      <c r="P235" s="137">
        <f t="shared" ca="1" si="20"/>
        <v>121.23900000000009</v>
      </c>
      <c r="Q235" s="137">
        <f t="shared" si="20"/>
        <v>0</v>
      </c>
      <c r="R235" s="137">
        <f t="shared" si="20"/>
        <v>0</v>
      </c>
      <c r="S235" s="137">
        <f t="shared" si="20"/>
        <v>0</v>
      </c>
      <c r="T235" s="137">
        <f t="shared" si="20"/>
        <v>0</v>
      </c>
      <c r="U235" s="137">
        <f t="shared" si="20"/>
        <v>0</v>
      </c>
      <c r="V235" s="137">
        <f t="shared" si="20"/>
        <v>0</v>
      </c>
      <c r="W235" s="137">
        <f t="shared" si="20"/>
        <v>0</v>
      </c>
      <c r="X235" s="137">
        <f t="shared" si="20"/>
        <v>0</v>
      </c>
      <c r="Y235" s="137">
        <f t="shared" si="20"/>
        <v>0</v>
      </c>
      <c r="Z235" s="137">
        <f t="shared" si="20"/>
        <v>0</v>
      </c>
      <c r="AA235" s="137">
        <f t="shared" si="20"/>
        <v>0</v>
      </c>
      <c r="AB235" s="137">
        <f t="shared" si="20"/>
        <v>0</v>
      </c>
      <c r="AC235" s="137">
        <f t="shared" si="20"/>
        <v>0</v>
      </c>
      <c r="AD235" s="137">
        <f t="shared" si="20"/>
        <v>0</v>
      </c>
      <c r="AE235" s="137">
        <f t="shared" si="20"/>
        <v>0</v>
      </c>
      <c r="AF235" s="137">
        <f t="shared" si="20"/>
        <v>0</v>
      </c>
      <c r="AG235" s="146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1924.6399999999999</v>
      </c>
      <c r="C244" s="162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03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2080/03/3)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2080/03/3)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1">B91</f>
        <v>1878.94</v>
      </c>
      <c r="U249" s="171">
        <f t="shared" si="21"/>
        <v>1848.74</v>
      </c>
      <c r="V249" s="171">
        <f t="shared" si="21"/>
        <v>1795.6399999999999</v>
      </c>
      <c r="W249" s="171">
        <f t="shared" si="21"/>
        <v>1780.3400000000001</v>
      </c>
      <c r="X249" s="171">
        <f t="shared" si="21"/>
        <v>1818.3400000000001</v>
      </c>
      <c r="Y249" s="171">
        <f t="shared" si="21"/>
        <v>1841.04</v>
      </c>
      <c r="Z249" s="171">
        <f t="shared" si="21"/>
        <v>1793.74</v>
      </c>
      <c r="AA249" s="171">
        <f t="shared" si="21"/>
        <v>1788.04</v>
      </c>
      <c r="AB249" s="171">
        <f t="shared" si="21"/>
        <v>1784.2400000000002</v>
      </c>
      <c r="AC249" s="171">
        <f t="shared" si="21"/>
        <v>1768.04</v>
      </c>
      <c r="AD249" s="171">
        <f t="shared" si="21"/>
        <v>1767.7399999999998</v>
      </c>
      <c r="AE249" s="171">
        <f t="shared" si="21"/>
        <v>1880.3399999999997</v>
      </c>
      <c r="AF249" s="171">
        <f t="shared" si="21"/>
        <v>1924.6399999999999</v>
      </c>
      <c r="AG249" s="171">
        <f t="shared" si="21"/>
        <v>1926.2399999999998</v>
      </c>
      <c r="AH249" s="171">
        <f t="shared" si="21"/>
        <v>2049.4399999999996</v>
      </c>
      <c r="AI249" s="171">
        <f t="shared" si="21"/>
        <v>3.54</v>
      </c>
      <c r="AJ249" s="171">
        <f t="shared" si="21"/>
        <v>1999.0400000000002</v>
      </c>
      <c r="AK249" s="171">
        <f t="shared" si="21"/>
        <v>1975.04</v>
      </c>
      <c r="AL249" s="171">
        <f t="shared" si="21"/>
        <v>2046.1399999999999</v>
      </c>
      <c r="AM249" s="171">
        <f t="shared" si="21"/>
        <v>2002.74</v>
      </c>
      <c r="AN249" s="171">
        <f t="shared" si="21"/>
        <v>2005.54</v>
      </c>
      <c r="AO249" s="171">
        <f t="shared" si="21"/>
        <v>1952.24</v>
      </c>
      <c r="AP249" s="171">
        <f t="shared" si="21"/>
        <v>1893.94</v>
      </c>
      <c r="AQ249" s="171">
        <f t="shared" si="21"/>
        <v>1927.14</v>
      </c>
      <c r="AR249" s="171">
        <f t="shared" si="21"/>
        <v>1946.64</v>
      </c>
      <c r="AS249" s="171">
        <f t="shared" si="21"/>
        <v>1909.7399999999998</v>
      </c>
      <c r="AT249" s="171">
        <f t="shared" si="21"/>
        <v>1863.54</v>
      </c>
      <c r="AU249" s="171">
        <f t="shared" si="21"/>
        <v>1841.84</v>
      </c>
      <c r="AV249" s="171">
        <f t="shared" si="21"/>
        <v>1870.34</v>
      </c>
      <c r="AW249" s="171">
        <f t="shared" si="21"/>
        <v>1799.34</v>
      </c>
      <c r="AX249" s="171">
        <f t="shared" si="21"/>
        <v>1703.34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22">C234</f>
        <v>0.64</v>
      </c>
      <c r="C270" s="174">
        <f t="shared" si="22"/>
        <v>0.64</v>
      </c>
      <c r="D270" s="174">
        <f t="shared" si="22"/>
        <v>0.64</v>
      </c>
      <c r="E270" s="174">
        <f t="shared" si="22"/>
        <v>0.64</v>
      </c>
      <c r="F270" s="174">
        <f t="shared" si="22"/>
        <v>0.64</v>
      </c>
      <c r="G270" s="174">
        <f t="shared" si="22"/>
        <v>0.64</v>
      </c>
      <c r="H270" s="174">
        <f t="shared" si="22"/>
        <v>0.64</v>
      </c>
      <c r="I270" s="174">
        <f t="shared" si="22"/>
        <v>0.64</v>
      </c>
      <c r="J270" s="174">
        <f t="shared" si="22"/>
        <v>0.64</v>
      </c>
      <c r="K270" s="174">
        <f t="shared" si="22"/>
        <v>0.64</v>
      </c>
      <c r="L270" s="174">
        <f t="shared" si="22"/>
        <v>0.64</v>
      </c>
      <c r="M270" s="174">
        <f t="shared" si="22"/>
        <v>0.64</v>
      </c>
      <c r="N270" s="174">
        <f t="shared" si="22"/>
        <v>0.64</v>
      </c>
      <c r="O270" s="174">
        <f t="shared" si="22"/>
        <v>0.64</v>
      </c>
      <c r="P270" s="174">
        <f t="shared" si="22"/>
        <v>0</v>
      </c>
      <c r="Q270" s="174">
        <f t="shared" si="22"/>
        <v>0</v>
      </c>
      <c r="R270" s="174">
        <f t="shared" si="22"/>
        <v>0</v>
      </c>
      <c r="S270" s="174">
        <f t="shared" si="22"/>
        <v>0</v>
      </c>
      <c r="T270" s="174">
        <f t="shared" si="22"/>
        <v>0</v>
      </c>
      <c r="U270" s="174">
        <f t="shared" si="22"/>
        <v>0</v>
      </c>
      <c r="V270" s="174">
        <f t="shared" si="22"/>
        <v>0</v>
      </c>
      <c r="W270" s="174">
        <f t="shared" si="22"/>
        <v>0</v>
      </c>
      <c r="X270" s="174">
        <f t="shared" si="22"/>
        <v>0</v>
      </c>
      <c r="Y270" s="174">
        <f t="shared" si="22"/>
        <v>0</v>
      </c>
      <c r="Z270" s="174">
        <f t="shared" si="22"/>
        <v>0</v>
      </c>
      <c r="AA270" s="174">
        <f t="shared" si="22"/>
        <v>0</v>
      </c>
      <c r="AB270" s="174">
        <f t="shared" si="22"/>
        <v>0</v>
      </c>
      <c r="AC270" s="174">
        <f t="shared" si="22"/>
        <v>0</v>
      </c>
      <c r="AD270" s="174">
        <f t="shared" si="22"/>
        <v>0</v>
      </c>
      <c r="AE270" s="174">
        <f t="shared" si="22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23">IF(B238&lt;100,"",B238-520)</f>
        <v/>
      </c>
      <c r="C271" s="175" t="str">
        <f t="shared" si="23"/>
        <v/>
      </c>
      <c r="D271" s="175" t="str">
        <f t="shared" si="23"/>
        <v/>
      </c>
      <c r="E271" s="175" t="str">
        <f t="shared" si="23"/>
        <v/>
      </c>
      <c r="F271" s="175" t="str">
        <f t="shared" si="23"/>
        <v/>
      </c>
      <c r="G271" s="175" t="str">
        <f t="shared" si="23"/>
        <v/>
      </c>
      <c r="H271" s="175" t="str">
        <f t="shared" si="23"/>
        <v/>
      </c>
      <c r="I271" s="175" t="str">
        <f t="shared" si="23"/>
        <v/>
      </c>
      <c r="J271" s="175" t="str">
        <f t="shared" si="23"/>
        <v/>
      </c>
      <c r="K271" s="175" t="str">
        <f t="shared" si="23"/>
        <v/>
      </c>
      <c r="L271" s="175" t="str">
        <f t="shared" si="23"/>
        <v/>
      </c>
      <c r="M271" s="175" t="str">
        <f t="shared" si="23"/>
        <v/>
      </c>
      <c r="N271" s="175" t="str">
        <f t="shared" si="23"/>
        <v/>
      </c>
      <c r="O271" s="175" t="str">
        <f t="shared" si="23"/>
        <v/>
      </c>
      <c r="P271" s="175" t="str">
        <f t="shared" si="23"/>
        <v/>
      </c>
      <c r="Q271" s="175" t="str">
        <f t="shared" si="23"/>
        <v/>
      </c>
      <c r="R271" s="175" t="str">
        <f t="shared" si="23"/>
        <v/>
      </c>
      <c r="S271" s="175" t="str">
        <f t="shared" si="23"/>
        <v/>
      </c>
      <c r="T271" s="175" t="str">
        <f t="shared" si="23"/>
        <v/>
      </c>
      <c r="U271" s="175" t="str">
        <f t="shared" si="23"/>
        <v/>
      </c>
      <c r="V271" s="175" t="str">
        <f t="shared" si="23"/>
        <v/>
      </c>
      <c r="W271" s="175" t="str">
        <f t="shared" si="23"/>
        <v/>
      </c>
      <c r="X271" s="175" t="str">
        <f t="shared" si="23"/>
        <v/>
      </c>
      <c r="Y271" s="175" t="str">
        <f t="shared" si="23"/>
        <v/>
      </c>
      <c r="Z271" s="175" t="str">
        <f t="shared" si="23"/>
        <v/>
      </c>
      <c r="AA271" s="175" t="str">
        <f t="shared" si="23"/>
        <v/>
      </c>
      <c r="AB271" s="175" t="str">
        <f t="shared" si="23"/>
        <v/>
      </c>
      <c r="AC271" s="175" t="str">
        <f t="shared" si="23"/>
        <v/>
      </c>
      <c r="AD271" s="175" t="str">
        <f t="shared" si="23"/>
        <v/>
      </c>
      <c r="AE271" s="175" t="str">
        <f t="shared" si="23"/>
        <v/>
      </c>
      <c r="AF271" s="175" t="str">
        <f t="shared" si="23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24">IF(B239&lt;100,"",B239-620)</f>
        <v/>
      </c>
      <c r="C272" s="175" t="str">
        <f t="shared" si="24"/>
        <v/>
      </c>
      <c r="D272" s="175" t="str">
        <f t="shared" si="24"/>
        <v/>
      </c>
      <c r="E272" s="175" t="str">
        <f t="shared" si="24"/>
        <v/>
      </c>
      <c r="F272" s="175" t="str">
        <f t="shared" si="24"/>
        <v/>
      </c>
      <c r="G272" s="175" t="str">
        <f t="shared" si="24"/>
        <v/>
      </c>
      <c r="H272" s="175" t="str">
        <f t="shared" si="24"/>
        <v/>
      </c>
      <c r="I272" s="175" t="str">
        <f t="shared" si="24"/>
        <v/>
      </c>
      <c r="J272" s="175" t="str">
        <f t="shared" si="24"/>
        <v/>
      </c>
      <c r="K272" s="175" t="str">
        <f t="shared" si="24"/>
        <v/>
      </c>
      <c r="L272" s="175" t="str">
        <f t="shared" si="24"/>
        <v/>
      </c>
      <c r="M272" s="175" t="str">
        <f t="shared" si="24"/>
        <v/>
      </c>
      <c r="N272" s="175" t="str">
        <f t="shared" si="24"/>
        <v/>
      </c>
      <c r="O272" s="175" t="str">
        <f t="shared" si="24"/>
        <v/>
      </c>
      <c r="P272" s="175" t="str">
        <f t="shared" si="24"/>
        <v/>
      </c>
      <c r="Q272" s="175" t="str">
        <f t="shared" si="24"/>
        <v/>
      </c>
      <c r="R272" s="175" t="str">
        <f t="shared" si="24"/>
        <v/>
      </c>
      <c r="S272" s="175" t="str">
        <f t="shared" si="24"/>
        <v/>
      </c>
      <c r="T272" s="175" t="str">
        <f t="shared" si="24"/>
        <v/>
      </c>
      <c r="U272" s="175" t="str">
        <f t="shared" si="24"/>
        <v/>
      </c>
      <c r="V272" s="175" t="str">
        <f t="shared" si="24"/>
        <v/>
      </c>
      <c r="W272" s="175" t="str">
        <f t="shared" si="24"/>
        <v/>
      </c>
      <c r="X272" s="175" t="str">
        <f t="shared" si="24"/>
        <v/>
      </c>
      <c r="Y272" s="175" t="str">
        <f t="shared" si="24"/>
        <v/>
      </c>
      <c r="Z272" s="175" t="str">
        <f t="shared" si="24"/>
        <v/>
      </c>
      <c r="AA272" s="175" t="str">
        <f t="shared" si="24"/>
        <v/>
      </c>
      <c r="AB272" s="175" t="str">
        <f t="shared" si="24"/>
        <v/>
      </c>
      <c r="AC272" s="175" t="str">
        <f t="shared" si="24"/>
        <v/>
      </c>
      <c r="AD272" s="175" t="str">
        <f t="shared" si="24"/>
        <v/>
      </c>
      <c r="AE272" s="175" t="str">
        <f t="shared" si="24"/>
        <v/>
      </c>
      <c r="AF272" s="175" t="str">
        <f t="shared" si="24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25">IF(B240&lt;100,"",B240-330)</f>
        <v/>
      </c>
      <c r="C273" s="175" t="str">
        <f t="shared" si="25"/>
        <v/>
      </c>
      <c r="D273" s="175" t="str">
        <f t="shared" si="25"/>
        <v/>
      </c>
      <c r="E273" s="175" t="str">
        <f t="shared" si="25"/>
        <v/>
      </c>
      <c r="F273" s="175" t="str">
        <f t="shared" si="25"/>
        <v/>
      </c>
      <c r="G273" s="175" t="str">
        <f t="shared" si="25"/>
        <v/>
      </c>
      <c r="H273" s="175" t="str">
        <f t="shared" si="25"/>
        <v/>
      </c>
      <c r="I273" s="175" t="str">
        <f t="shared" si="25"/>
        <v/>
      </c>
      <c r="J273" s="175" t="str">
        <f t="shared" si="25"/>
        <v/>
      </c>
      <c r="K273" s="175" t="str">
        <f t="shared" si="25"/>
        <v/>
      </c>
      <c r="L273" s="175" t="str">
        <f t="shared" si="25"/>
        <v/>
      </c>
      <c r="M273" s="175" t="str">
        <f t="shared" si="25"/>
        <v/>
      </c>
      <c r="N273" s="175" t="str">
        <f t="shared" si="25"/>
        <v/>
      </c>
      <c r="O273" s="175" t="str">
        <f t="shared" si="25"/>
        <v/>
      </c>
      <c r="P273" s="175" t="str">
        <f t="shared" si="25"/>
        <v/>
      </c>
      <c r="Q273" s="175" t="str">
        <f t="shared" si="25"/>
        <v/>
      </c>
      <c r="R273" s="175" t="str">
        <f t="shared" si="25"/>
        <v/>
      </c>
      <c r="S273" s="175" t="str">
        <f t="shared" si="25"/>
        <v/>
      </c>
      <c r="T273" s="175" t="str">
        <f t="shared" si="25"/>
        <v/>
      </c>
      <c r="U273" s="175" t="str">
        <f t="shared" si="25"/>
        <v/>
      </c>
      <c r="V273" s="175" t="str">
        <f t="shared" si="25"/>
        <v/>
      </c>
      <c r="W273" s="175" t="str">
        <f t="shared" si="25"/>
        <v/>
      </c>
      <c r="X273" s="175" t="str">
        <f t="shared" si="25"/>
        <v/>
      </c>
      <c r="Y273" s="175" t="str">
        <f t="shared" si="25"/>
        <v/>
      </c>
      <c r="Z273" s="175" t="str">
        <f t="shared" si="25"/>
        <v/>
      </c>
      <c r="AA273" s="175" t="str">
        <f t="shared" si="25"/>
        <v/>
      </c>
      <c r="AB273" s="175" t="str">
        <f t="shared" si="25"/>
        <v/>
      </c>
      <c r="AC273" s="175" t="str">
        <f t="shared" si="25"/>
        <v/>
      </c>
      <c r="AD273" s="175" t="str">
        <f t="shared" si="25"/>
        <v/>
      </c>
      <c r="AE273" s="175" t="str">
        <f t="shared" si="25"/>
        <v/>
      </c>
      <c r="AF273" s="175" t="str">
        <f t="shared" si="25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26">IF(B241&lt;100,"",B241-1500)</f>
        <v/>
      </c>
      <c r="C274" s="175" t="str">
        <f t="shared" si="26"/>
        <v/>
      </c>
      <c r="D274" s="175" t="str">
        <f t="shared" si="26"/>
        <v/>
      </c>
      <c r="E274" s="175" t="str">
        <f t="shared" si="26"/>
        <v/>
      </c>
      <c r="F274" s="175" t="str">
        <f t="shared" si="26"/>
        <v/>
      </c>
      <c r="G274" s="175" t="str">
        <f t="shared" si="26"/>
        <v/>
      </c>
      <c r="H274" s="175" t="str">
        <f t="shared" si="26"/>
        <v/>
      </c>
      <c r="I274" s="175" t="str">
        <f t="shared" si="26"/>
        <v/>
      </c>
      <c r="J274" s="175" t="str">
        <f t="shared" si="26"/>
        <v/>
      </c>
      <c r="K274" s="175" t="str">
        <f t="shared" si="26"/>
        <v/>
      </c>
      <c r="L274" s="175" t="str">
        <f t="shared" si="26"/>
        <v/>
      </c>
      <c r="M274" s="175" t="str">
        <f t="shared" si="26"/>
        <v/>
      </c>
      <c r="N274" s="175" t="str">
        <f t="shared" si="26"/>
        <v/>
      </c>
      <c r="O274" s="175" t="str">
        <f t="shared" si="26"/>
        <v/>
      </c>
      <c r="P274" s="175" t="str">
        <f t="shared" si="26"/>
        <v/>
      </c>
      <c r="Q274" s="175" t="str">
        <f t="shared" si="26"/>
        <v/>
      </c>
      <c r="R274" s="175" t="str">
        <f t="shared" si="26"/>
        <v/>
      </c>
      <c r="S274" s="175" t="str">
        <f t="shared" si="26"/>
        <v/>
      </c>
      <c r="T274" s="175" t="str">
        <f t="shared" si="26"/>
        <v/>
      </c>
      <c r="U274" s="175" t="str">
        <f t="shared" si="26"/>
        <v/>
      </c>
      <c r="V274" s="175" t="str">
        <f t="shared" si="26"/>
        <v/>
      </c>
      <c r="W274" s="175" t="str">
        <f t="shared" si="26"/>
        <v/>
      </c>
      <c r="X274" s="175" t="str">
        <f t="shared" si="26"/>
        <v/>
      </c>
      <c r="Y274" s="175" t="str">
        <f t="shared" si="26"/>
        <v/>
      </c>
      <c r="Z274" s="175" t="str">
        <f t="shared" si="26"/>
        <v/>
      </c>
      <c r="AA274" s="175" t="str">
        <f t="shared" si="26"/>
        <v/>
      </c>
      <c r="AB274" s="175" t="str">
        <f t="shared" si="26"/>
        <v/>
      </c>
      <c r="AC274" s="175" t="str">
        <f t="shared" si="26"/>
        <v/>
      </c>
      <c r="AD274" s="175" t="str">
        <f t="shared" si="26"/>
        <v/>
      </c>
      <c r="AE274" s="175" t="str">
        <f t="shared" si="26"/>
        <v/>
      </c>
      <c r="AF274" s="175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2709" priority="156">
      <formula>$AH11=0</formula>
    </cfRule>
  </conditionalFormatting>
  <conditionalFormatting sqref="B8 M8 S8 AB8">
    <cfRule type="expression" dxfId="2708" priority="409">
      <formula>AND(C$9&gt;=8/24,C$9&lt;14/24)</formula>
    </cfRule>
    <cfRule type="expression" dxfId="2707" priority="408">
      <formula>AND(C$9&gt;=14/24,C$9&lt;20/24)</formula>
    </cfRule>
    <cfRule type="expression" dxfId="2706" priority="410">
      <formula>C$9&lt;8/24</formula>
    </cfRule>
  </conditionalFormatting>
  <conditionalFormatting sqref="B77:D83">
    <cfRule type="expression" dxfId="2705" priority="89">
      <formula>B$9&lt;8/24</formula>
    </cfRule>
    <cfRule type="expression" dxfId="2704" priority="88">
      <formula>AND(B$9&gt;=8/24,B$9&lt;14/24)</formula>
    </cfRule>
    <cfRule type="expression" dxfId="2703" priority="86">
      <formula>B$9&gt;=20/24</formula>
    </cfRule>
    <cfRule type="expression" dxfId="2702" priority="87">
      <formula>AND(B$9&gt;=14/24,B$9&lt;20/24)</formula>
    </cfRule>
  </conditionalFormatting>
  <conditionalFormatting sqref="B9:AF45">
    <cfRule type="expression" dxfId="2701" priority="37">
      <formula>B$9&gt;=20/24</formula>
    </cfRule>
    <cfRule type="expression" dxfId="2700" priority="40">
      <formula>B$9&lt;8/24</formula>
    </cfRule>
    <cfRule type="expression" dxfId="2699" priority="39">
      <formula>AND(B$9&gt;=8/24,B$9&lt;14/24)</formula>
    </cfRule>
    <cfRule type="expression" dxfId="2698" priority="38">
      <formula>AND(B$9&gt;=14/24,B$9&lt;20/24)</formula>
    </cfRule>
  </conditionalFormatting>
  <conditionalFormatting sqref="B11:AF53">
    <cfRule type="expression" dxfId="2697" priority="35">
      <formula>B11&gt;$AG11</formula>
    </cfRule>
  </conditionalFormatting>
  <conditionalFormatting sqref="B46:AF47">
    <cfRule type="expression" dxfId="2696" priority="33">
      <formula>AND(B$9&gt;=8/24,B$9&lt;14/24)</formula>
    </cfRule>
    <cfRule type="expression" dxfId="2695" priority="31">
      <formula>B$9&gt;=20/24</formula>
    </cfRule>
    <cfRule type="expression" dxfId="2694" priority="32">
      <formula>AND(B$9&gt;=14/24,B$9&lt;20/24)</formula>
    </cfRule>
    <cfRule type="expression" dxfId="2693" priority="34">
      <formula>B$9&lt;8/24</formula>
    </cfRule>
  </conditionalFormatting>
  <conditionalFormatting sqref="B48:AF49">
    <cfRule type="expression" dxfId="2692" priority="53">
      <formula>B$9&gt;=20/24</formula>
    </cfRule>
    <cfRule type="expression" dxfId="2691" priority="54">
      <formula>AND(B$9&gt;=14/24,B$9&lt;20/24)</formula>
    </cfRule>
    <cfRule type="expression" dxfId="2690" priority="55">
      <formula>AND(B$9&gt;=8/24,B$9&lt;14/24)</formula>
    </cfRule>
    <cfRule type="expression" dxfId="2689" priority="56">
      <formula>B$9&lt;8/24</formula>
    </cfRule>
  </conditionalFormatting>
  <conditionalFormatting sqref="B51:AF53">
    <cfRule type="expression" dxfId="2688" priority="104">
      <formula>B$9&gt;=20/24</formula>
    </cfRule>
    <cfRule type="expression" dxfId="2687" priority="107">
      <formula>B$9&lt;8/24</formula>
    </cfRule>
    <cfRule type="expression" dxfId="2686" priority="106">
      <formula>AND(B$9&gt;=8/24,B$9&lt;14/24)</formula>
    </cfRule>
    <cfRule type="expression" dxfId="2685" priority="105">
      <formula>AND(B$9&gt;=14/24,B$9&lt;20/24)</formula>
    </cfRule>
  </conditionalFormatting>
  <conditionalFormatting sqref="B55:AF66">
    <cfRule type="expression" dxfId="2684" priority="70">
      <formula>AND(B$9&gt;=8/24,B$9&lt;14/24)</formula>
    </cfRule>
    <cfRule type="expression" dxfId="2683" priority="67">
      <formula>B55&gt;$AG55</formula>
    </cfRule>
    <cfRule type="expression" dxfId="2682" priority="68">
      <formula>B$9&gt;=20/24</formula>
    </cfRule>
    <cfRule type="expression" dxfId="2681" priority="69">
      <formula>AND(B$9&gt;=14/24,B$9&lt;20/24)</formula>
    </cfRule>
    <cfRule type="expression" dxfId="2680" priority="71">
      <formula>B$9&lt;8/24</formula>
    </cfRule>
  </conditionalFormatting>
  <conditionalFormatting sqref="B69:AF71 B73:AF75 B76:R76">
    <cfRule type="expression" dxfId="2679" priority="122">
      <formula>B$9&gt;=20/24</formula>
    </cfRule>
    <cfRule type="expression" dxfId="2678" priority="123">
      <formula>AND(B$9&gt;=14/24,B$9&lt;20/24)</formula>
    </cfRule>
    <cfRule type="expression" dxfId="2677" priority="124">
      <formula>AND(B$9&gt;=8/24,B$9&lt;14/24)</formula>
    </cfRule>
    <cfRule type="expression" dxfId="2676" priority="125">
      <formula>B$9&lt;8/24</formula>
    </cfRule>
  </conditionalFormatting>
  <conditionalFormatting sqref="B69:AF71">
    <cfRule type="expression" dxfId="2675" priority="121">
      <formula>B69&gt;$AG69</formula>
    </cfRule>
  </conditionalFormatting>
  <conditionalFormatting sqref="B84:AF91">
    <cfRule type="expression" dxfId="2674" priority="77">
      <formula>B$9&gt;=20/24</formula>
    </cfRule>
    <cfRule type="expression" dxfId="2673" priority="78">
      <formula>AND(B$9&gt;=14/24,B$9&lt;20/24)</formula>
    </cfRule>
    <cfRule type="expression" dxfId="2672" priority="79">
      <formula>AND(B$9&gt;=8/24,B$9&lt;14/24)</formula>
    </cfRule>
    <cfRule type="expression" dxfId="2671" priority="80">
      <formula>B$9&lt;8/24</formula>
    </cfRule>
  </conditionalFormatting>
  <conditionalFormatting sqref="B111:AF120">
    <cfRule type="expression" dxfId="2670" priority="27">
      <formula>B$9&gt;=20/24</formula>
    </cfRule>
    <cfRule type="expression" dxfId="2669" priority="28">
      <formula>AND(B$9&gt;=14/24,B$9&lt;20/24)</formula>
    </cfRule>
    <cfRule type="expression" dxfId="2668" priority="29">
      <formula>AND(B$9&gt;=8/24,B$9&lt;14/24)</formula>
    </cfRule>
    <cfRule type="expression" dxfId="2667" priority="30">
      <formula>B$9&lt;8/24</formula>
    </cfRule>
  </conditionalFormatting>
  <conditionalFormatting sqref="B227:AF227 D229:AF230 B229:B235 D231:H231 J231:AF231 D232:AF235 U248:AF248">
    <cfRule type="expression" dxfId="2666" priority="401">
      <formula>B$9&gt;=20/24</formula>
    </cfRule>
    <cfRule type="expression" dxfId="2665" priority="404">
      <formula>B$9&lt;8/24</formula>
    </cfRule>
    <cfRule type="expression" dxfId="2664" priority="403">
      <formula>AND(B$9&gt;=8/24,B$9&lt;14/24)</formula>
    </cfRule>
    <cfRule type="expression" dxfId="2663" priority="402">
      <formula>AND(B$9&gt;=14/24,B$9&lt;20/24)</formula>
    </cfRule>
  </conditionalFormatting>
  <conditionalFormatting sqref="B54:AG54">
    <cfRule type="expression" dxfId="2662" priority="74">
      <formula>AND(B$9&gt;=14/24,B$9&lt;20/24)</formula>
    </cfRule>
    <cfRule type="expression" dxfId="2661" priority="72">
      <formula>B54&gt;$AG54</formula>
    </cfRule>
    <cfRule type="expression" dxfId="2660" priority="73">
      <formula>B$9&gt;=20/24</formula>
    </cfRule>
    <cfRule type="expression" dxfId="2659" priority="76">
      <formula>B$9&lt;8/24</formula>
    </cfRule>
    <cfRule type="expression" dxfId="2658" priority="75">
      <formula>AND(B$9&gt;=8/24,B$9&lt;14/24)</formula>
    </cfRule>
  </conditionalFormatting>
  <conditionalFormatting sqref="B67:AG68 B72:AG72">
    <cfRule type="expression" dxfId="2657" priority="81">
      <formula>B67&gt;$AG67</formula>
    </cfRule>
  </conditionalFormatting>
  <conditionalFormatting sqref="B72:AG72 B93:AF109">
    <cfRule type="expression" dxfId="2656" priority="83">
      <formula>AND(B$9&gt;=14/24,B$9&lt;20/24)</formula>
    </cfRule>
    <cfRule type="expression" dxfId="2655" priority="85">
      <formula>B$9&lt;8/24</formula>
    </cfRule>
    <cfRule type="expression" dxfId="2654" priority="84">
      <formula>AND(B$9&gt;=8/24,B$9&lt;14/24)</formula>
    </cfRule>
    <cfRule type="expression" dxfId="2653" priority="82">
      <formula>B$9&gt;=20/24</formula>
    </cfRule>
  </conditionalFormatting>
  <conditionalFormatting sqref="E77:R78">
    <cfRule type="expression" dxfId="2652" priority="271">
      <formula>E$9&gt;=20/24</formula>
    </cfRule>
    <cfRule type="expression" dxfId="2651" priority="272">
      <formula>AND(E$9&gt;=14/24,E$9&lt;20/24)</formula>
    </cfRule>
    <cfRule type="expression" dxfId="2650" priority="273">
      <formula>AND(E$9&gt;=8/24,E$9&lt;14/24)</formula>
    </cfRule>
    <cfRule type="expression" dxfId="2649" priority="274">
      <formula>E$9&lt;8/24</formula>
    </cfRule>
  </conditionalFormatting>
  <conditionalFormatting sqref="E79:AF83">
    <cfRule type="expression" dxfId="2648" priority="3">
      <formula>AND(E$9&gt;=8/24,E$9&lt;14/24)</formula>
    </cfRule>
    <cfRule type="expression" dxfId="2647" priority="4">
      <formula>E$9&lt;8/24</formula>
    </cfRule>
    <cfRule type="expression" dxfId="2646" priority="1">
      <formula>E$9&gt;=20/24</formula>
    </cfRule>
    <cfRule type="expression" dxfId="2645" priority="2">
      <formula>AND(E$9&gt;=14/24,E$9&lt;20/24)</formula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644" priority="407">
      <formula>C$9&gt;=20/24</formula>
    </cfRule>
  </conditionalFormatting>
  <conditionalFormatting sqref="S8">
    <cfRule type="expression" dxfId="2643" priority="381">
      <formula>AND(U$9&gt;=14/24,U$9&lt;20/24)</formula>
    </cfRule>
    <cfRule type="expression" dxfId="2642" priority="382">
      <formula>AND(U$9&gt;=8/24,U$9&lt;14/24)</formula>
    </cfRule>
    <cfRule type="expression" dxfId="2641" priority="383">
      <formula>U$9&lt;8/24</formula>
    </cfRule>
    <cfRule type="expression" dxfId="2640" priority="380">
      <formula>U$9&gt;=20/24</formula>
    </cfRule>
  </conditionalFormatting>
  <conditionalFormatting sqref="S76:AF78">
    <cfRule type="expression" dxfId="2639" priority="5">
      <formula>S$9&gt;=20/24</formula>
    </cfRule>
    <cfRule type="expression" dxfId="2638" priority="6">
      <formula>AND(S$9&gt;=14/24,S$9&lt;20/24)</formula>
    </cfRule>
    <cfRule type="expression" dxfId="2637" priority="8">
      <formula>S$9&lt;8/24</formula>
    </cfRule>
    <cfRule type="expression" dxfId="2636" priority="7">
      <formula>AND(S$9&gt;=8/24,S$9&lt;14/24)</formula>
    </cfRule>
  </conditionalFormatting>
  <conditionalFormatting sqref="T248">
    <cfRule type="expression" dxfId="2635" priority="423">
      <formula>AX$9&lt;8/24</formula>
    </cfRule>
    <cfRule type="expression" dxfId="2634" priority="420">
      <formula>AX$9&gt;=20/24</formula>
    </cfRule>
    <cfRule type="expression" dxfId="2633" priority="421">
      <formula>AND(AX$9&gt;=14/24,AX$9&lt;20/24)</formula>
    </cfRule>
    <cfRule type="expression" dxfId="2632" priority="422">
      <formula>AND(AX$9&gt;=8/24,AX$9&lt;14/24)</formula>
    </cfRule>
  </conditionalFormatting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631" priority="377">
      <formula>AND(AD$9&gt;=14/24,AD$9&lt;20/24)</formula>
    </cfRule>
    <cfRule type="expression" dxfId="2630" priority="378">
      <formula>AND(AD$9&gt;=8/24,AD$9&lt;14/24)</formula>
    </cfRule>
    <cfRule type="expression" dxfId="2629" priority="376">
      <formula>AD$9&gt;=20/24</formula>
    </cfRule>
    <cfRule type="expression" dxfId="2628" priority="379">
      <formula>AD$9&lt;8/24</formula>
    </cfRule>
  </conditionalFormatting>
  <conditionalFormatting sqref="AG50">
    <cfRule type="expression" dxfId="2627" priority="333">
      <formula>AG50&gt;$AG50</formula>
    </cfRule>
  </conditionalFormatting>
  <conditionalFormatting sqref="AG89">
    <cfRule type="expression" dxfId="2626" priority="337">
      <formula>AG$9&lt;8/24</formula>
    </cfRule>
    <cfRule type="expression" dxfId="2625" priority="336">
      <formula>AND(AG$9&gt;=8/24,AG$9&lt;14/24)</formula>
    </cfRule>
    <cfRule type="expression" dxfId="2624" priority="335">
      <formula>AND(AG$9&gt;=14/24,AG$9&lt;20/24)</formula>
    </cfRule>
    <cfRule type="expression" dxfId="2623" priority="334">
      <formula>AG$9&gt;=20/24</formula>
    </cfRule>
  </conditionalFormatting>
  <conditionalFormatting sqref="AG248">
    <cfRule type="expression" dxfId="2622" priority="414">
      <formula>AND(B$9&gt;=8/24,B$9&lt;14/24)</formula>
    </cfRule>
    <cfRule type="expression" dxfId="2621" priority="412">
      <formula>B$9&gt;=20/24</formula>
    </cfRule>
    <cfRule type="expression" dxfId="2620" priority="413">
      <formula>AND(B$9&gt;=14/24,B$9&lt;20/24)</formula>
    </cfRule>
    <cfRule type="expression" dxfId="2619" priority="415">
      <formula>B$9&lt;8/24</formula>
    </cfRule>
  </conditionalFormatting>
  <conditionalFormatting sqref="AH248:AX248">
    <cfRule type="expression" dxfId="2618" priority="417">
      <formula>AND(AG$9&gt;=14/24,AG$9&lt;20/24)</formula>
    </cfRule>
    <cfRule type="expression" dxfId="2617" priority="418">
      <formula>AND(AG$9&gt;=8/24,AG$9&lt;14/24)</formula>
    </cfRule>
    <cfRule type="expression" dxfId="2616" priority="419">
      <formula>AG$9&lt;8/24</formula>
    </cfRule>
    <cfRule type="expression" dxfId="2615" priority="416">
      <formula>AG$9&gt;=20/24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614" priority="425">
      <formula>AJ$9&gt;=20/24</formula>
    </cfRule>
    <cfRule type="expression" dxfId="2613" priority="426">
      <formula>AND(AJ$9&gt;=14/24,AJ$9&lt;20/24)</formula>
    </cfRule>
    <cfRule type="expression" dxfId="2612" priority="427">
      <formula>AND(AJ$9&gt;=8/24,AJ$9&lt;14/24)</formula>
    </cfRule>
    <cfRule type="expression" dxfId="2611" priority="428">
      <formula>AJ$9&lt;8/24</formula>
    </cfRule>
  </conditionalFormatting>
  <conditionalFormatting sqref="AL80:AN80 AL86:AN86">
    <cfRule type="expression" dxfId="2610" priority="227">
      <formula>AND(AL$9&gt;=8/24,AL$9&lt;14/24)</formula>
    </cfRule>
    <cfRule type="expression" dxfId="2609" priority="228">
      <formula>AL$9&lt;8/24</formula>
    </cfRule>
    <cfRule type="expression" dxfId="2608" priority="225">
      <formula>AL$9&gt;=20/24</formula>
    </cfRule>
    <cfRule type="expression" dxfId="2607" priority="226">
      <formula>AND(AL$9&gt;=14/24,AL$9&lt;20/24)</formula>
    </cfRule>
  </conditionalFormatting>
  <conditionalFormatting sqref="AN81:AN84">
    <cfRule type="expression" dxfId="2606" priority="221">
      <formula>AN$9&gt;=20/24</formula>
    </cfRule>
    <cfRule type="expression" dxfId="2605" priority="222">
      <formula>AND(AN$9&gt;=14/24,AN$9&lt;20/24)</formula>
    </cfRule>
    <cfRule type="expression" dxfId="2604" priority="223">
      <formula>AND(AN$9&gt;=8/24,AN$9&lt;14/24)</formula>
    </cfRule>
    <cfRule type="expression" dxfId="2603" priority="224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BA70-7A29-4878-8163-22B569032977}">
  <dimension ref="A1:CJ281"/>
  <sheetViews>
    <sheetView zoomScaleNormal="100" workbookViewId="0">
      <pane xSplit="1" ySplit="10" topLeftCell="B64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F75" sqref="AF7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2080/03/4</v>
      </c>
      <c r="C4" s="187"/>
      <c r="D4" s="187"/>
      <c r="E4" s="188" t="str">
        <f ca="1">"2079/"&amp;"12/"&amp;INT(MID(CELL("filename",G6),FIND("]",CELL("filename",G6))+1,200))</f>
        <v>2079/12/4</v>
      </c>
      <c r="F4" s="188"/>
      <c r="G4" s="188"/>
      <c r="H4" s="188" t="str">
        <f ca="1">TEXT(E4,"dddd")</f>
        <v>Monday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>C84</f>
        <v>110</v>
      </c>
      <c r="C5" s="30">
        <f t="shared" ref="C5:AE5" si="0">D84</f>
        <v>110</v>
      </c>
      <c r="D5" s="30">
        <f t="shared" si="0"/>
        <v>110</v>
      </c>
      <c r="E5" s="30">
        <f t="shared" si="0"/>
        <v>110</v>
      </c>
      <c r="F5" s="30">
        <f t="shared" si="0"/>
        <v>110</v>
      </c>
      <c r="G5" s="30">
        <f t="shared" si="0"/>
        <v>110</v>
      </c>
      <c r="H5" s="30">
        <f t="shared" si="0"/>
        <v>99.5</v>
      </c>
      <c r="I5" s="30">
        <f t="shared" si="0"/>
        <v>108.6</v>
      </c>
      <c r="J5" s="30">
        <f t="shared" si="0"/>
        <v>108.6</v>
      </c>
      <c r="K5" s="30">
        <f t="shared" si="0"/>
        <v>108.6</v>
      </c>
      <c r="L5" s="30">
        <f t="shared" si="0"/>
        <v>104.4</v>
      </c>
      <c r="M5" s="30">
        <f t="shared" si="0"/>
        <v>105</v>
      </c>
      <c r="N5" s="30">
        <f t="shared" si="0"/>
        <v>103.3</v>
      </c>
      <c r="O5" s="30">
        <f t="shared" si="0"/>
        <v>100.80000000000001</v>
      </c>
      <c r="P5" s="30">
        <f t="shared" si="0"/>
        <v>100.9</v>
      </c>
      <c r="Q5" s="30">
        <f t="shared" si="0"/>
        <v>110.5</v>
      </c>
      <c r="R5" s="30">
        <f t="shared" si="0"/>
        <v>85.4</v>
      </c>
      <c r="S5" s="30">
        <f t="shared" si="0"/>
        <v>96.4</v>
      </c>
      <c r="T5" s="30">
        <f t="shared" si="0"/>
        <v>96.4</v>
      </c>
      <c r="U5" s="30">
        <f t="shared" si="0"/>
        <v>88</v>
      </c>
      <c r="V5" s="30">
        <f t="shared" si="0"/>
        <v>73.5</v>
      </c>
      <c r="W5" s="30">
        <f t="shared" si="0"/>
        <v>72.5</v>
      </c>
      <c r="X5" s="30">
        <f t="shared" si="0"/>
        <v>90.6</v>
      </c>
      <c r="Y5" s="30">
        <f t="shared" si="0"/>
        <v>89.3</v>
      </c>
      <c r="Z5" s="30">
        <f t="shared" si="0"/>
        <v>52</v>
      </c>
      <c r="AA5" s="30">
        <f t="shared" si="0"/>
        <v>67.400000000000006</v>
      </c>
      <c r="AB5" s="30">
        <f t="shared" si="0"/>
        <v>66.8</v>
      </c>
      <c r="AC5" s="30">
        <f t="shared" si="0"/>
        <v>73.2</v>
      </c>
      <c r="AD5" s="30">
        <f t="shared" si="0"/>
        <v>72.400000000000006</v>
      </c>
      <c r="AE5" s="30">
        <f t="shared" si="0"/>
        <v>95.5</v>
      </c>
      <c r="AF5" s="30">
        <f>B84</f>
        <v>116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1920MW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Load=1777</v>
      </c>
      <c r="B7" s="35">
        <f t="shared" ref="B7:AF7" si="1">B91</f>
        <v>1799.34</v>
      </c>
      <c r="C7" s="35">
        <f t="shared" si="1"/>
        <v>1898.34</v>
      </c>
      <c r="D7" s="35">
        <f t="shared" si="1"/>
        <v>1898.34</v>
      </c>
      <c r="E7" s="35">
        <f t="shared" si="1"/>
        <v>1848.34</v>
      </c>
      <c r="F7" s="35">
        <f t="shared" si="1"/>
        <v>1848.34</v>
      </c>
      <c r="G7" s="35">
        <f t="shared" si="1"/>
        <v>1848.34</v>
      </c>
      <c r="H7" s="35">
        <f t="shared" si="1"/>
        <v>1848.34</v>
      </c>
      <c r="I7" s="35">
        <f t="shared" si="1"/>
        <v>1837.84</v>
      </c>
      <c r="J7" s="35">
        <f t="shared" si="1"/>
        <v>1846.9399999999998</v>
      </c>
      <c r="K7" s="35">
        <f t="shared" si="1"/>
        <v>1846.9399999999998</v>
      </c>
      <c r="L7" s="35">
        <f t="shared" si="1"/>
        <v>1848.9399999999998</v>
      </c>
      <c r="M7" s="35">
        <f t="shared" si="1"/>
        <v>1819.74</v>
      </c>
      <c r="N7" s="35">
        <f>N91</f>
        <v>1920.24</v>
      </c>
      <c r="O7" s="35">
        <f t="shared" si="1"/>
        <v>1933.1399999999996</v>
      </c>
      <c r="P7" s="35">
        <f t="shared" si="1"/>
        <v>1954.3399999999997</v>
      </c>
      <c r="Q7" s="35">
        <f t="shared" si="1"/>
        <v>1990.54</v>
      </c>
      <c r="R7" s="35">
        <f t="shared" si="1"/>
        <v>1937.34</v>
      </c>
      <c r="S7" s="35">
        <f t="shared" si="1"/>
        <v>1787.94</v>
      </c>
      <c r="T7" s="35">
        <f t="shared" si="1"/>
        <v>1939.54</v>
      </c>
      <c r="U7" s="35">
        <f t="shared" si="1"/>
        <v>1932.24</v>
      </c>
      <c r="V7" s="35">
        <f t="shared" si="1"/>
        <v>1776.84</v>
      </c>
      <c r="W7" s="35">
        <f t="shared" si="1"/>
        <v>1844.1399999999999</v>
      </c>
      <c r="X7" s="35">
        <f t="shared" si="1"/>
        <v>1826.54</v>
      </c>
      <c r="Y7" s="35">
        <f t="shared" si="1"/>
        <v>1873.1399999999999</v>
      </c>
      <c r="Z7" s="35">
        <f t="shared" si="1"/>
        <v>1858.0399999999997</v>
      </c>
      <c r="AA7" s="35">
        <f t="shared" si="1"/>
        <v>1845.6399999999999</v>
      </c>
      <c r="AB7" s="35">
        <f t="shared" si="1"/>
        <v>1828.7399999999998</v>
      </c>
      <c r="AC7" s="35">
        <f t="shared" si="1"/>
        <v>1809.24</v>
      </c>
      <c r="AD7" s="35">
        <f t="shared" si="1"/>
        <v>1890.9399999999998</v>
      </c>
      <c r="AE7" s="35">
        <f t="shared" si="1"/>
        <v>1885.7400000000002</v>
      </c>
      <c r="AF7" s="35">
        <f t="shared" si="1"/>
        <v>1814.64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60.6</v>
      </c>
      <c r="C11" s="45">
        <v>60.6</v>
      </c>
      <c r="D11" s="45">
        <v>60.6</v>
      </c>
      <c r="E11" s="45">
        <v>60.6</v>
      </c>
      <c r="F11" s="45">
        <v>60.6</v>
      </c>
      <c r="G11" s="45">
        <v>60.6</v>
      </c>
      <c r="H11" s="45">
        <v>60.6</v>
      </c>
      <c r="I11" s="45">
        <v>60.6</v>
      </c>
      <c r="J11" s="45">
        <v>60.6</v>
      </c>
      <c r="K11" s="45">
        <v>60.6</v>
      </c>
      <c r="L11" s="45">
        <v>60.6</v>
      </c>
      <c r="M11" s="45">
        <v>60.6</v>
      </c>
      <c r="N11" s="45">
        <v>60.6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6">
        <v>86</v>
      </c>
      <c r="AH11" s="47">
        <f t="shared" ref="AH11:AH76" si="2">MAX(B11:AF11)</f>
        <v>60.6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9">
        <v>54</v>
      </c>
      <c r="AH12" s="47">
        <f t="shared" si="2"/>
        <v>0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28.2</v>
      </c>
      <c r="C13" s="45">
        <v>28.2</v>
      </c>
      <c r="D13" s="45">
        <v>28.2</v>
      </c>
      <c r="E13" s="45">
        <v>28.2</v>
      </c>
      <c r="F13" s="45">
        <v>28.2</v>
      </c>
      <c r="G13" s="45">
        <v>28.2</v>
      </c>
      <c r="H13" s="45">
        <v>28.2</v>
      </c>
      <c r="I13" s="45">
        <v>28.2</v>
      </c>
      <c r="J13" s="45">
        <v>28.2</v>
      </c>
      <c r="K13" s="45">
        <v>28.2</v>
      </c>
      <c r="L13" s="45">
        <v>28.2</v>
      </c>
      <c r="M13" s="45">
        <v>28.2</v>
      </c>
      <c r="N13" s="45">
        <v>52</v>
      </c>
      <c r="O13" s="45">
        <v>54</v>
      </c>
      <c r="P13" s="45">
        <v>54</v>
      </c>
      <c r="Q13" s="45">
        <v>54</v>
      </c>
      <c r="R13" s="45">
        <v>54</v>
      </c>
      <c r="S13" s="45">
        <v>54</v>
      </c>
      <c r="T13" s="45">
        <v>54</v>
      </c>
      <c r="U13" s="45">
        <v>52.5</v>
      </c>
      <c r="V13" s="45">
        <v>52.5</v>
      </c>
      <c r="W13" s="45">
        <v>53</v>
      </c>
      <c r="X13" s="45">
        <v>53</v>
      </c>
      <c r="Y13" s="45">
        <v>53</v>
      </c>
      <c r="Z13" s="45">
        <v>53</v>
      </c>
      <c r="AA13" s="45">
        <v>53</v>
      </c>
      <c r="AB13" s="45">
        <v>53</v>
      </c>
      <c r="AC13" s="45">
        <v>53</v>
      </c>
      <c r="AD13" s="45">
        <v>53</v>
      </c>
      <c r="AE13" s="45">
        <v>54.1</v>
      </c>
      <c r="AF13" s="45">
        <v>54.3</v>
      </c>
      <c r="AG13" s="46">
        <v>52.4</v>
      </c>
      <c r="AH13" s="47">
        <f t="shared" si="2"/>
        <v>54.3</v>
      </c>
      <c r="AI13" s="48">
        <f t="shared" si="3"/>
        <v>28.2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50.7</v>
      </c>
      <c r="C14" s="50">
        <v>50.7</v>
      </c>
      <c r="D14" s="50">
        <v>50.7</v>
      </c>
      <c r="E14" s="50">
        <v>50.7</v>
      </c>
      <c r="F14" s="50">
        <v>50.7</v>
      </c>
      <c r="G14" s="50">
        <v>50.7</v>
      </c>
      <c r="H14" s="50">
        <v>50.7</v>
      </c>
      <c r="I14" s="50">
        <v>50.7</v>
      </c>
      <c r="J14" s="50">
        <v>50.7</v>
      </c>
      <c r="K14" s="50">
        <v>50.7</v>
      </c>
      <c r="L14" s="50">
        <v>50.7</v>
      </c>
      <c r="M14" s="50">
        <v>41</v>
      </c>
      <c r="N14" s="50">
        <v>50</v>
      </c>
      <c r="O14" s="50">
        <v>50.4</v>
      </c>
      <c r="P14" s="50">
        <v>50.4</v>
      </c>
      <c r="Q14" s="50">
        <v>50.4</v>
      </c>
      <c r="R14" s="50">
        <v>50.4</v>
      </c>
      <c r="S14" s="50">
        <v>50.4</v>
      </c>
      <c r="T14" s="50">
        <v>50.4</v>
      </c>
      <c r="U14" s="50">
        <v>50.4</v>
      </c>
      <c r="V14" s="50">
        <v>50.4</v>
      </c>
      <c r="W14" s="50">
        <v>50.3</v>
      </c>
      <c r="X14" s="50">
        <v>50.3</v>
      </c>
      <c r="Y14" s="50">
        <v>50.3</v>
      </c>
      <c r="Z14" s="50">
        <v>0</v>
      </c>
      <c r="AA14" s="45">
        <v>50.6</v>
      </c>
      <c r="AB14" s="45">
        <v>50.6</v>
      </c>
      <c r="AC14" s="45">
        <v>50.6</v>
      </c>
      <c r="AD14" s="45">
        <v>50.6</v>
      </c>
      <c r="AE14" s="45">
        <v>50.3</v>
      </c>
      <c r="AF14" s="45">
        <v>50.2</v>
      </c>
      <c r="AG14" s="49">
        <v>50</v>
      </c>
      <c r="AH14" s="47">
        <f t="shared" si="2"/>
        <v>50.7</v>
      </c>
      <c r="AI14" s="48">
        <f t="shared" si="3"/>
        <v>0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45.9</v>
      </c>
      <c r="C15" s="45">
        <v>45.9</v>
      </c>
      <c r="D15" s="45">
        <v>45.9</v>
      </c>
      <c r="E15" s="45">
        <v>45.9</v>
      </c>
      <c r="F15" s="45">
        <v>45.9</v>
      </c>
      <c r="G15" s="45">
        <v>45.9</v>
      </c>
      <c r="H15" s="45">
        <v>45.9</v>
      </c>
      <c r="I15" s="45">
        <v>45.9</v>
      </c>
      <c r="J15" s="45">
        <v>45.9</v>
      </c>
      <c r="K15" s="45">
        <v>45.9</v>
      </c>
      <c r="L15" s="45">
        <v>45.9</v>
      </c>
      <c r="M15" s="45">
        <v>41</v>
      </c>
      <c r="N15" s="45">
        <v>41</v>
      </c>
      <c r="O15" s="45">
        <v>40</v>
      </c>
      <c r="P15" s="45">
        <v>40</v>
      </c>
      <c r="Q15" s="45">
        <v>40</v>
      </c>
      <c r="R15" s="45">
        <v>40</v>
      </c>
      <c r="S15" s="45">
        <v>40</v>
      </c>
      <c r="T15" s="45">
        <v>40</v>
      </c>
      <c r="U15" s="45">
        <v>40</v>
      </c>
      <c r="V15" s="45">
        <v>40</v>
      </c>
      <c r="W15" s="45">
        <v>40.799999999999997</v>
      </c>
      <c r="X15" s="45">
        <v>40.799999999999997</v>
      </c>
      <c r="Y15" s="45">
        <v>40.799999999999997</v>
      </c>
      <c r="Z15" s="45">
        <v>40.799999999999997</v>
      </c>
      <c r="AA15" s="45">
        <v>40.799999999999997</v>
      </c>
      <c r="AB15" s="45">
        <v>40.799999999999997</v>
      </c>
      <c r="AC15" s="45">
        <v>40.799999999999997</v>
      </c>
      <c r="AD15" s="45">
        <v>40.799999999999997</v>
      </c>
      <c r="AE15" s="45">
        <v>45.8</v>
      </c>
      <c r="AF15" s="45">
        <v>45.8</v>
      </c>
      <c r="AG15" s="49">
        <v>45</v>
      </c>
      <c r="AH15" s="47">
        <f t="shared" si="2"/>
        <v>45.9</v>
      </c>
      <c r="AI15" s="48">
        <f t="shared" si="3"/>
        <v>40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42</v>
      </c>
      <c r="C16" s="45">
        <v>42</v>
      </c>
      <c r="D16" s="45">
        <v>42</v>
      </c>
      <c r="E16" s="45">
        <v>42</v>
      </c>
      <c r="F16" s="45">
        <v>42</v>
      </c>
      <c r="G16" s="45">
        <v>42</v>
      </c>
      <c r="H16" s="45">
        <v>42</v>
      </c>
      <c r="I16" s="45">
        <v>42</v>
      </c>
      <c r="J16" s="45">
        <v>42</v>
      </c>
      <c r="K16" s="45">
        <v>42</v>
      </c>
      <c r="L16" s="45">
        <v>42</v>
      </c>
      <c r="M16" s="45">
        <v>0</v>
      </c>
      <c r="N16" s="45">
        <v>42</v>
      </c>
      <c r="O16" s="45">
        <v>42</v>
      </c>
      <c r="P16" s="45">
        <v>42</v>
      </c>
      <c r="Q16" s="45">
        <v>42</v>
      </c>
      <c r="R16" s="45">
        <v>42</v>
      </c>
      <c r="S16" s="45">
        <v>42</v>
      </c>
      <c r="T16" s="45">
        <v>42</v>
      </c>
      <c r="U16" s="45">
        <v>42</v>
      </c>
      <c r="V16" s="45">
        <v>42</v>
      </c>
      <c r="W16" s="45">
        <v>42</v>
      </c>
      <c r="X16" s="45">
        <v>42</v>
      </c>
      <c r="Y16" s="45">
        <v>42</v>
      </c>
      <c r="Z16" s="45">
        <v>42</v>
      </c>
      <c r="AA16" s="45">
        <v>42</v>
      </c>
      <c r="AB16" s="45">
        <v>42</v>
      </c>
      <c r="AC16" s="45">
        <v>42</v>
      </c>
      <c r="AD16" s="45">
        <v>42</v>
      </c>
      <c r="AE16" s="45">
        <v>42</v>
      </c>
      <c r="AF16" s="45">
        <v>42</v>
      </c>
      <c r="AG16" s="49">
        <v>44</v>
      </c>
      <c r="AH16" s="47">
        <f>MAX(B16:AG16)</f>
        <v>44</v>
      </c>
      <c r="AI16" s="48">
        <f>MIN(B16:AG16)</f>
        <v>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29</v>
      </c>
      <c r="C17" s="45">
        <v>29</v>
      </c>
      <c r="D17" s="45">
        <v>29</v>
      </c>
      <c r="E17" s="45">
        <v>29</v>
      </c>
      <c r="F17" s="45">
        <v>29</v>
      </c>
      <c r="G17" s="45">
        <v>29</v>
      </c>
      <c r="H17" s="45">
        <v>29</v>
      </c>
      <c r="I17" s="45">
        <v>29</v>
      </c>
      <c r="J17" s="45">
        <v>29</v>
      </c>
      <c r="K17" s="45">
        <v>29</v>
      </c>
      <c r="L17" s="45">
        <v>29</v>
      </c>
      <c r="M17" s="45">
        <v>0</v>
      </c>
      <c r="N17" s="45">
        <v>30</v>
      </c>
      <c r="O17" s="45">
        <v>30</v>
      </c>
      <c r="P17" s="45">
        <v>30</v>
      </c>
      <c r="Q17" s="45">
        <v>30</v>
      </c>
      <c r="R17" s="45">
        <v>30</v>
      </c>
      <c r="S17" s="45">
        <v>30</v>
      </c>
      <c r="T17" s="45">
        <v>30</v>
      </c>
      <c r="U17" s="45">
        <v>30</v>
      </c>
      <c r="V17" s="45">
        <v>30</v>
      </c>
      <c r="W17" s="45">
        <v>31.8</v>
      </c>
      <c r="X17" s="45">
        <v>31.8</v>
      </c>
      <c r="Y17" s="45">
        <v>31.8</v>
      </c>
      <c r="Z17" s="45">
        <v>31.8</v>
      </c>
      <c r="AA17" s="45">
        <v>34</v>
      </c>
      <c r="AB17" s="45">
        <v>29</v>
      </c>
      <c r="AC17" s="45">
        <v>29</v>
      </c>
      <c r="AD17" s="45">
        <v>29</v>
      </c>
      <c r="AE17" s="45">
        <v>29</v>
      </c>
      <c r="AF17" s="45">
        <v>29</v>
      </c>
      <c r="AG17" s="49">
        <v>42</v>
      </c>
      <c r="AH17" s="47">
        <f t="shared" si="2"/>
        <v>34</v>
      </c>
      <c r="AI17" s="48">
        <f t="shared" si="3"/>
        <v>0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36</v>
      </c>
      <c r="C18" s="45">
        <v>36</v>
      </c>
      <c r="D18" s="45">
        <v>36</v>
      </c>
      <c r="E18" s="45">
        <v>36</v>
      </c>
      <c r="F18" s="45">
        <v>36</v>
      </c>
      <c r="G18" s="45">
        <v>36</v>
      </c>
      <c r="H18" s="45">
        <v>36</v>
      </c>
      <c r="I18" s="45">
        <v>36</v>
      </c>
      <c r="J18" s="45">
        <v>36</v>
      </c>
      <c r="K18" s="45">
        <v>36</v>
      </c>
      <c r="L18" s="45">
        <v>36</v>
      </c>
      <c r="M18" s="45">
        <v>36</v>
      </c>
      <c r="N18" s="45">
        <v>36</v>
      </c>
      <c r="O18" s="45">
        <v>36</v>
      </c>
      <c r="P18" s="45">
        <v>36</v>
      </c>
      <c r="Q18" s="45">
        <v>36</v>
      </c>
      <c r="R18" s="45">
        <v>36</v>
      </c>
      <c r="S18" s="45">
        <v>36</v>
      </c>
      <c r="T18" s="45">
        <v>36</v>
      </c>
      <c r="U18" s="45">
        <v>36</v>
      </c>
      <c r="V18" s="45">
        <v>36</v>
      </c>
      <c r="W18" s="45">
        <v>36</v>
      </c>
      <c r="X18" s="45">
        <v>36</v>
      </c>
      <c r="Y18" s="45">
        <v>36</v>
      </c>
      <c r="Z18" s="45">
        <v>36</v>
      </c>
      <c r="AA18" s="45">
        <v>36</v>
      </c>
      <c r="AB18" s="45">
        <v>36</v>
      </c>
      <c r="AC18" s="45">
        <v>36</v>
      </c>
      <c r="AD18" s="45">
        <v>36</v>
      </c>
      <c r="AE18" s="45">
        <v>36</v>
      </c>
      <c r="AF18" s="45">
        <v>36</v>
      </c>
      <c r="AG18" s="49">
        <v>38.46</v>
      </c>
      <c r="AH18" s="47">
        <f t="shared" si="2"/>
        <v>36</v>
      </c>
      <c r="AI18" s="48">
        <f t="shared" si="3"/>
        <v>36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49">
        <v>36</v>
      </c>
      <c r="AH19" s="47">
        <f t="shared" si="2"/>
        <v>25</v>
      </c>
      <c r="AI19" s="48">
        <f t="shared" si="3"/>
        <v>25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18</v>
      </c>
      <c r="C20" s="45">
        <v>18</v>
      </c>
      <c r="D20" s="45">
        <v>18</v>
      </c>
      <c r="E20" s="45">
        <v>18</v>
      </c>
      <c r="F20" s="45">
        <v>18</v>
      </c>
      <c r="G20" s="45">
        <v>18</v>
      </c>
      <c r="H20" s="45">
        <v>18</v>
      </c>
      <c r="I20" s="45">
        <v>18</v>
      </c>
      <c r="J20" s="45">
        <v>18</v>
      </c>
      <c r="K20" s="45">
        <v>18</v>
      </c>
      <c r="L20" s="45">
        <v>18</v>
      </c>
      <c r="M20" s="45">
        <v>18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5</v>
      </c>
      <c r="T20" s="45">
        <v>5</v>
      </c>
      <c r="U20" s="45">
        <v>5</v>
      </c>
      <c r="V20" s="45">
        <v>5</v>
      </c>
      <c r="W20" s="45">
        <v>10.199999999999999</v>
      </c>
      <c r="X20" s="45">
        <v>10.199999999999999</v>
      </c>
      <c r="Y20" s="45">
        <v>10.199999999999999</v>
      </c>
      <c r="Z20" s="45">
        <v>10.199999999999999</v>
      </c>
      <c r="AA20" s="45">
        <v>15</v>
      </c>
      <c r="AB20" s="45">
        <v>5</v>
      </c>
      <c r="AC20" s="45">
        <v>5</v>
      </c>
      <c r="AD20" s="45">
        <v>5</v>
      </c>
      <c r="AE20" s="45">
        <v>5</v>
      </c>
      <c r="AF20" s="45">
        <v>5.3</v>
      </c>
      <c r="AG20" s="51">
        <v>30</v>
      </c>
      <c r="AH20" s="47">
        <f t="shared" si="2"/>
        <v>18</v>
      </c>
      <c r="AI20" s="48">
        <f t="shared" si="3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20.9</v>
      </c>
      <c r="C21" s="45">
        <v>20.9</v>
      </c>
      <c r="D21" s="45">
        <v>20.9</v>
      </c>
      <c r="E21" s="45">
        <v>20.9</v>
      </c>
      <c r="F21" s="45">
        <v>20.9</v>
      </c>
      <c r="G21" s="45">
        <v>20.9</v>
      </c>
      <c r="H21" s="45">
        <v>20.9</v>
      </c>
      <c r="I21" s="45">
        <v>20.9</v>
      </c>
      <c r="J21" s="45">
        <v>20.9</v>
      </c>
      <c r="K21" s="45">
        <v>20.9</v>
      </c>
      <c r="L21" s="45">
        <v>20.9</v>
      </c>
      <c r="M21" s="45">
        <v>20.9</v>
      </c>
      <c r="N21" s="45">
        <v>20.7</v>
      </c>
      <c r="O21" s="45">
        <v>20.7</v>
      </c>
      <c r="P21" s="45">
        <v>20.7</v>
      </c>
      <c r="Q21" s="45">
        <v>20.7</v>
      </c>
      <c r="R21" s="45">
        <v>20.7</v>
      </c>
      <c r="S21" s="45">
        <v>20.7</v>
      </c>
      <c r="T21" s="45">
        <v>20.7</v>
      </c>
      <c r="U21" s="45">
        <v>20.7</v>
      </c>
      <c r="V21" s="45">
        <v>20.7</v>
      </c>
      <c r="W21" s="45">
        <v>20.6</v>
      </c>
      <c r="X21" s="45">
        <v>20.6</v>
      </c>
      <c r="Y21" s="45">
        <v>20.6</v>
      </c>
      <c r="Z21" s="45">
        <v>20.6</v>
      </c>
      <c r="AA21" s="45">
        <v>20.6</v>
      </c>
      <c r="AB21" s="45">
        <v>20.6</v>
      </c>
      <c r="AC21" s="45">
        <v>20.6</v>
      </c>
      <c r="AD21" s="45">
        <v>20.6</v>
      </c>
      <c r="AE21" s="45">
        <v>20.6</v>
      </c>
      <c r="AF21" s="45">
        <v>20.6</v>
      </c>
      <c r="AG21" s="49">
        <v>24.2</v>
      </c>
      <c r="AH21" s="47">
        <f t="shared" si="2"/>
        <v>20.9</v>
      </c>
      <c r="AI21" s="48">
        <f t="shared" si="3"/>
        <v>20.6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21</v>
      </c>
      <c r="C22" s="45">
        <v>21</v>
      </c>
      <c r="D22" s="45">
        <v>21</v>
      </c>
      <c r="E22" s="45">
        <v>21</v>
      </c>
      <c r="F22" s="45">
        <v>21</v>
      </c>
      <c r="G22" s="45">
        <v>21</v>
      </c>
      <c r="H22" s="45">
        <v>21</v>
      </c>
      <c r="I22" s="45">
        <v>21</v>
      </c>
      <c r="J22" s="45">
        <v>21</v>
      </c>
      <c r="K22" s="45">
        <v>21</v>
      </c>
      <c r="L22" s="45">
        <v>21</v>
      </c>
      <c r="M22" s="45">
        <v>21</v>
      </c>
      <c r="N22" s="45">
        <v>21</v>
      </c>
      <c r="O22" s="45">
        <v>21</v>
      </c>
      <c r="P22" s="45">
        <v>21</v>
      </c>
      <c r="Q22" s="45">
        <v>21</v>
      </c>
      <c r="R22" s="45">
        <v>21</v>
      </c>
      <c r="S22" s="45">
        <v>21</v>
      </c>
      <c r="T22" s="45">
        <v>21</v>
      </c>
      <c r="U22" s="45">
        <v>21</v>
      </c>
      <c r="V22" s="45">
        <v>21</v>
      </c>
      <c r="W22" s="45">
        <v>21</v>
      </c>
      <c r="X22" s="45">
        <v>21</v>
      </c>
      <c r="Y22" s="45">
        <v>21</v>
      </c>
      <c r="Z22" s="45">
        <v>21</v>
      </c>
      <c r="AA22" s="45">
        <v>21</v>
      </c>
      <c r="AB22" s="45">
        <v>21</v>
      </c>
      <c r="AC22" s="45">
        <v>21</v>
      </c>
      <c r="AD22" s="45">
        <v>21</v>
      </c>
      <c r="AE22" s="45">
        <v>20.6</v>
      </c>
      <c r="AF22" s="45">
        <v>20.6</v>
      </c>
      <c r="AG22" s="49">
        <v>28</v>
      </c>
      <c r="AH22" s="47">
        <f t="shared" si="2"/>
        <v>21</v>
      </c>
      <c r="AI22" s="48">
        <f t="shared" si="3"/>
        <v>20.6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4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</v>
      </c>
      <c r="C24" s="45">
        <v>26</v>
      </c>
      <c r="D24" s="45">
        <v>26</v>
      </c>
      <c r="E24" s="45">
        <v>26</v>
      </c>
      <c r="F24" s="45">
        <v>26</v>
      </c>
      <c r="G24" s="45">
        <v>26</v>
      </c>
      <c r="H24" s="45">
        <v>26</v>
      </c>
      <c r="I24" s="45">
        <v>26</v>
      </c>
      <c r="J24" s="45">
        <v>26</v>
      </c>
      <c r="K24" s="45">
        <v>26</v>
      </c>
      <c r="L24" s="45">
        <v>26</v>
      </c>
      <c r="M24" s="45">
        <v>0</v>
      </c>
      <c r="N24" s="45">
        <v>26</v>
      </c>
      <c r="O24" s="45">
        <v>26</v>
      </c>
      <c r="P24" s="45">
        <v>26</v>
      </c>
      <c r="Q24" s="45">
        <v>26</v>
      </c>
      <c r="R24" s="45">
        <v>26</v>
      </c>
      <c r="S24" s="45">
        <v>26</v>
      </c>
      <c r="T24" s="45">
        <v>26</v>
      </c>
      <c r="U24" s="45">
        <v>26</v>
      </c>
      <c r="V24" s="45">
        <v>26</v>
      </c>
      <c r="W24" s="45">
        <v>26.1</v>
      </c>
      <c r="X24" s="45">
        <v>26.1</v>
      </c>
      <c r="Y24" s="45">
        <v>26.1</v>
      </c>
      <c r="Z24" s="45">
        <v>26.1</v>
      </c>
      <c r="AA24" s="45">
        <v>26.1</v>
      </c>
      <c r="AB24" s="45">
        <v>26.1</v>
      </c>
      <c r="AC24" s="45">
        <v>26.1</v>
      </c>
      <c r="AD24" s="45">
        <v>26.1</v>
      </c>
      <c r="AE24" s="45">
        <v>26.2</v>
      </c>
      <c r="AF24" s="45">
        <v>26.4</v>
      </c>
      <c r="AG24" s="49">
        <v>25</v>
      </c>
      <c r="AH24" s="47">
        <f t="shared" si="2"/>
        <v>26.4</v>
      </c>
      <c r="AI24" s="48">
        <f t="shared" si="3"/>
        <v>0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27</v>
      </c>
      <c r="C27" s="45">
        <v>27</v>
      </c>
      <c r="D27" s="45">
        <v>27</v>
      </c>
      <c r="E27" s="45">
        <v>27</v>
      </c>
      <c r="F27" s="45">
        <v>27</v>
      </c>
      <c r="G27" s="45">
        <v>27</v>
      </c>
      <c r="H27" s="45">
        <v>27</v>
      </c>
      <c r="I27" s="45">
        <v>27</v>
      </c>
      <c r="J27" s="45">
        <v>27</v>
      </c>
      <c r="K27" s="45">
        <v>27</v>
      </c>
      <c r="L27" s="45">
        <v>27</v>
      </c>
      <c r="M27" s="45">
        <v>27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5</v>
      </c>
      <c r="T27" s="45">
        <v>5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4</v>
      </c>
      <c r="AA27" s="45">
        <v>4</v>
      </c>
      <c r="AB27" s="45">
        <v>4</v>
      </c>
      <c r="AC27" s="45">
        <v>4</v>
      </c>
      <c r="AD27" s="45">
        <v>4</v>
      </c>
      <c r="AE27" s="45">
        <v>4</v>
      </c>
      <c r="AF27" s="45">
        <v>4</v>
      </c>
      <c r="AG27" s="49">
        <v>25</v>
      </c>
      <c r="AH27" s="47">
        <f t="shared" si="2"/>
        <v>27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24.2</v>
      </c>
      <c r="C28" s="45">
        <v>24.2</v>
      </c>
      <c r="D28" s="45">
        <v>24.2</v>
      </c>
      <c r="E28" s="45">
        <v>24.2</v>
      </c>
      <c r="F28" s="45">
        <v>24.2</v>
      </c>
      <c r="G28" s="45">
        <v>24.2</v>
      </c>
      <c r="H28" s="45">
        <v>24.2</v>
      </c>
      <c r="I28" s="45">
        <v>24.2</v>
      </c>
      <c r="J28" s="45">
        <v>24.2</v>
      </c>
      <c r="K28" s="45">
        <v>24.2</v>
      </c>
      <c r="L28" s="45">
        <v>24.2</v>
      </c>
      <c r="M28" s="45">
        <v>24.2</v>
      </c>
      <c r="N28" s="45">
        <v>17</v>
      </c>
      <c r="O28" s="45">
        <v>17</v>
      </c>
      <c r="P28" s="45">
        <v>17</v>
      </c>
      <c r="Q28" s="45">
        <v>17</v>
      </c>
      <c r="R28" s="45">
        <v>17</v>
      </c>
      <c r="S28" s="45">
        <v>17</v>
      </c>
      <c r="T28" s="45">
        <v>17</v>
      </c>
      <c r="U28" s="45">
        <v>0</v>
      </c>
      <c r="V28" s="45">
        <v>0</v>
      </c>
      <c r="W28" s="45">
        <v>0</v>
      </c>
      <c r="X28" s="45">
        <v>0</v>
      </c>
      <c r="Y28" s="45">
        <v>18.5</v>
      </c>
      <c r="Z28" s="45">
        <v>18.5</v>
      </c>
      <c r="AA28" s="45">
        <v>18.5</v>
      </c>
      <c r="AB28" s="45">
        <v>18.5</v>
      </c>
      <c r="AC28" s="45">
        <v>18.5</v>
      </c>
      <c r="AD28" s="45">
        <v>18.5</v>
      </c>
      <c r="AE28" s="45">
        <v>15.8</v>
      </c>
      <c r="AF28" s="45">
        <v>15.2</v>
      </c>
      <c r="AG28" s="49">
        <v>23.5</v>
      </c>
      <c r="AH28" s="47">
        <f t="shared" si="2"/>
        <v>24.2</v>
      </c>
      <c r="AI28" s="48">
        <f t="shared" si="3"/>
        <v>0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20</v>
      </c>
      <c r="C29" s="45">
        <v>20</v>
      </c>
      <c r="D29" s="45">
        <v>20</v>
      </c>
      <c r="E29" s="45">
        <v>20</v>
      </c>
      <c r="F29" s="45">
        <v>20</v>
      </c>
      <c r="G29" s="45">
        <v>20</v>
      </c>
      <c r="H29" s="45">
        <v>20</v>
      </c>
      <c r="I29" s="45">
        <v>20</v>
      </c>
      <c r="J29" s="45">
        <v>20</v>
      </c>
      <c r="K29" s="45">
        <v>20</v>
      </c>
      <c r="L29" s="45">
        <v>20</v>
      </c>
      <c r="M29" s="45">
        <v>20</v>
      </c>
      <c r="N29" s="45">
        <v>20</v>
      </c>
      <c r="O29" s="45">
        <v>20</v>
      </c>
      <c r="P29" s="45">
        <v>20</v>
      </c>
      <c r="Q29" s="45">
        <v>20</v>
      </c>
      <c r="R29" s="45">
        <v>20</v>
      </c>
      <c r="S29" s="45">
        <v>20</v>
      </c>
      <c r="T29" s="45">
        <v>20</v>
      </c>
      <c r="U29" s="45">
        <v>20</v>
      </c>
      <c r="V29" s="45">
        <v>20</v>
      </c>
      <c r="W29" s="45">
        <v>20</v>
      </c>
      <c r="X29" s="45">
        <v>20</v>
      </c>
      <c r="Y29" s="45">
        <v>20</v>
      </c>
      <c r="Z29" s="45">
        <v>20</v>
      </c>
      <c r="AA29" s="45">
        <v>20</v>
      </c>
      <c r="AB29" s="45">
        <v>20</v>
      </c>
      <c r="AC29" s="45">
        <v>20</v>
      </c>
      <c r="AD29" s="45">
        <v>20</v>
      </c>
      <c r="AE29" s="45">
        <v>20</v>
      </c>
      <c r="AF29" s="45">
        <v>20</v>
      </c>
      <c r="AG29" s="49">
        <v>22.2</v>
      </c>
      <c r="AH29" s="47">
        <f t="shared" si="2"/>
        <v>20</v>
      </c>
      <c r="AI29" s="48">
        <f t="shared" si="3"/>
        <v>20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0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0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19</v>
      </c>
      <c r="C32" s="45">
        <v>19</v>
      </c>
      <c r="D32" s="45">
        <v>19</v>
      </c>
      <c r="E32" s="45">
        <v>19</v>
      </c>
      <c r="F32" s="45">
        <v>19</v>
      </c>
      <c r="G32" s="45">
        <v>19</v>
      </c>
      <c r="H32" s="45">
        <v>19</v>
      </c>
      <c r="I32" s="45">
        <v>19</v>
      </c>
      <c r="J32" s="45">
        <v>19</v>
      </c>
      <c r="K32" s="45">
        <v>19</v>
      </c>
      <c r="L32" s="45">
        <v>19</v>
      </c>
      <c r="M32" s="45">
        <v>19</v>
      </c>
      <c r="N32" s="45">
        <v>19</v>
      </c>
      <c r="O32" s="45">
        <v>19</v>
      </c>
      <c r="P32" s="45">
        <v>19</v>
      </c>
      <c r="Q32" s="45">
        <v>19</v>
      </c>
      <c r="R32" s="45">
        <v>19</v>
      </c>
      <c r="S32" s="45">
        <v>19</v>
      </c>
      <c r="T32" s="45">
        <v>19</v>
      </c>
      <c r="U32" s="45">
        <v>19</v>
      </c>
      <c r="V32" s="45">
        <v>19</v>
      </c>
      <c r="W32" s="45">
        <v>19</v>
      </c>
      <c r="X32" s="45">
        <v>19</v>
      </c>
      <c r="Y32" s="45">
        <v>19</v>
      </c>
      <c r="Z32" s="45">
        <v>19</v>
      </c>
      <c r="AA32" s="45">
        <v>19</v>
      </c>
      <c r="AB32" s="45">
        <v>19</v>
      </c>
      <c r="AC32" s="45">
        <v>19</v>
      </c>
      <c r="AD32" s="45">
        <v>19</v>
      </c>
      <c r="AE32" s="45">
        <v>23.5</v>
      </c>
      <c r="AF32" s="45">
        <v>22.4</v>
      </c>
      <c r="AG32" s="49">
        <v>22</v>
      </c>
      <c r="AH32" s="47">
        <f t="shared" si="2"/>
        <v>23.5</v>
      </c>
      <c r="AI32" s="48">
        <f t="shared" si="3"/>
        <v>19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10</v>
      </c>
      <c r="O33" s="45">
        <v>10</v>
      </c>
      <c r="P33" s="45">
        <v>10</v>
      </c>
      <c r="Q33" s="45">
        <v>10</v>
      </c>
      <c r="R33" s="45">
        <v>10</v>
      </c>
      <c r="S33" s="45">
        <v>6</v>
      </c>
      <c r="T33" s="45">
        <v>4</v>
      </c>
      <c r="U33" s="45">
        <v>4</v>
      </c>
      <c r="V33" s="45">
        <v>4</v>
      </c>
      <c r="W33" s="45">
        <v>4</v>
      </c>
      <c r="X33" s="45">
        <v>4</v>
      </c>
      <c r="Y33" s="45">
        <v>4</v>
      </c>
      <c r="Z33" s="45">
        <v>4</v>
      </c>
      <c r="AA33" s="45">
        <v>4</v>
      </c>
      <c r="AB33" s="45">
        <v>4</v>
      </c>
      <c r="AC33" s="45">
        <v>4</v>
      </c>
      <c r="AD33" s="45">
        <v>4</v>
      </c>
      <c r="AE33" s="45">
        <v>4</v>
      </c>
      <c r="AF33" s="45">
        <v>4</v>
      </c>
      <c r="AG33" s="49">
        <v>20</v>
      </c>
      <c r="AH33" s="47">
        <f t="shared" si="2"/>
        <v>10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10</v>
      </c>
      <c r="C34" s="45">
        <v>10</v>
      </c>
      <c r="D34" s="45">
        <v>10</v>
      </c>
      <c r="E34" s="45">
        <v>10</v>
      </c>
      <c r="F34" s="45">
        <v>10</v>
      </c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10</v>
      </c>
      <c r="R34" s="45">
        <v>10</v>
      </c>
      <c r="S34" s="45">
        <v>10</v>
      </c>
      <c r="T34" s="45">
        <v>10</v>
      </c>
      <c r="U34" s="45">
        <v>10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49">
        <v>18</v>
      </c>
      <c r="AH34" s="47">
        <f t="shared" si="2"/>
        <v>10</v>
      </c>
      <c r="AI34" s="48">
        <f t="shared" si="3"/>
        <v>10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49">
        <v>13.6</v>
      </c>
      <c r="AH37" s="47">
        <f t="shared" si="2"/>
        <v>4</v>
      </c>
      <c r="AI37" s="48">
        <f t="shared" si="3"/>
        <v>4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6</v>
      </c>
      <c r="C39" s="45">
        <v>6</v>
      </c>
      <c r="D39" s="45">
        <v>6</v>
      </c>
      <c r="E39" s="45">
        <v>6</v>
      </c>
      <c r="F39" s="45">
        <v>6</v>
      </c>
      <c r="G39" s="45">
        <v>6</v>
      </c>
      <c r="H39" s="45">
        <v>6</v>
      </c>
      <c r="I39" s="45">
        <v>6</v>
      </c>
      <c r="J39" s="45">
        <v>6</v>
      </c>
      <c r="K39" s="45">
        <v>6</v>
      </c>
      <c r="L39" s="45">
        <v>6</v>
      </c>
      <c r="M39" s="45">
        <v>6</v>
      </c>
      <c r="N39" s="45">
        <v>6</v>
      </c>
      <c r="O39" s="45">
        <v>6</v>
      </c>
      <c r="P39" s="45">
        <v>6</v>
      </c>
      <c r="Q39" s="45">
        <v>6</v>
      </c>
      <c r="R39" s="45">
        <v>6</v>
      </c>
      <c r="S39" s="45">
        <v>6</v>
      </c>
      <c r="T39" s="45">
        <v>6</v>
      </c>
      <c r="U39" s="45">
        <v>6</v>
      </c>
      <c r="V39" s="45">
        <v>6</v>
      </c>
      <c r="W39" s="45">
        <v>6</v>
      </c>
      <c r="X39" s="45">
        <v>6</v>
      </c>
      <c r="Y39" s="45">
        <v>6</v>
      </c>
      <c r="Z39" s="45">
        <v>6</v>
      </c>
      <c r="AA39" s="45">
        <v>6</v>
      </c>
      <c r="AB39" s="45">
        <v>6</v>
      </c>
      <c r="AC39" s="45">
        <v>6</v>
      </c>
      <c r="AD39" s="45">
        <v>6</v>
      </c>
      <c r="AE39" s="45">
        <v>6</v>
      </c>
      <c r="AF39" s="45">
        <v>6</v>
      </c>
      <c r="AG39" s="49">
        <v>12</v>
      </c>
      <c r="AH39" s="47">
        <f t="shared" si="2"/>
        <v>6</v>
      </c>
      <c r="AI39" s="48">
        <f t="shared" si="3"/>
        <v>6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2</v>
      </c>
      <c r="C40" s="45">
        <v>2</v>
      </c>
      <c r="D40" s="45">
        <v>2</v>
      </c>
      <c r="E40" s="45">
        <v>2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>
        <v>2</v>
      </c>
      <c r="AB40" s="45">
        <v>2</v>
      </c>
      <c r="AC40" s="45">
        <v>2</v>
      </c>
      <c r="AD40" s="45">
        <v>2</v>
      </c>
      <c r="AE40" s="45">
        <v>2</v>
      </c>
      <c r="AF40" s="45">
        <v>2</v>
      </c>
      <c r="AG40" s="49">
        <v>12</v>
      </c>
      <c r="AH40" s="47">
        <f t="shared" si="2"/>
        <v>2</v>
      </c>
      <c r="AI40" s="48">
        <f t="shared" si="3"/>
        <v>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49">
        <v>12</v>
      </c>
      <c r="AH41" s="47">
        <f t="shared" si="2"/>
        <v>8</v>
      </c>
      <c r="AI41" s="48">
        <f t="shared" si="3"/>
        <v>8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9.6</v>
      </c>
      <c r="C45" s="45">
        <v>9.6</v>
      </c>
      <c r="D45" s="45">
        <v>9.6</v>
      </c>
      <c r="E45" s="45">
        <v>9.6</v>
      </c>
      <c r="F45" s="45">
        <v>9.6</v>
      </c>
      <c r="G45" s="45">
        <v>9.6</v>
      </c>
      <c r="H45" s="45">
        <v>9.6</v>
      </c>
      <c r="I45" s="45">
        <v>9.6</v>
      </c>
      <c r="J45" s="45">
        <v>9.6</v>
      </c>
      <c r="K45" s="45">
        <v>9.6</v>
      </c>
      <c r="L45" s="45">
        <v>9.6</v>
      </c>
      <c r="M45" s="45">
        <v>9.6</v>
      </c>
      <c r="N45" s="45">
        <v>9.6</v>
      </c>
      <c r="O45" s="45">
        <v>9.6</v>
      </c>
      <c r="P45" s="45">
        <v>9.6</v>
      </c>
      <c r="Q45" s="45">
        <v>9.6</v>
      </c>
      <c r="R45" s="45">
        <v>9.6</v>
      </c>
      <c r="S45" s="45">
        <v>9.6</v>
      </c>
      <c r="T45" s="45">
        <v>9.6</v>
      </c>
      <c r="U45" s="45">
        <v>9.6</v>
      </c>
      <c r="V45" s="45">
        <v>9.6</v>
      </c>
      <c r="W45" s="45">
        <v>9.6</v>
      </c>
      <c r="X45" s="45">
        <v>9.6</v>
      </c>
      <c r="Y45" s="45">
        <v>9.6</v>
      </c>
      <c r="Z45" s="45">
        <v>9.6</v>
      </c>
      <c r="AA45" s="45">
        <v>9.6</v>
      </c>
      <c r="AB45" s="45">
        <v>9.6</v>
      </c>
      <c r="AC45" s="45">
        <v>9.6</v>
      </c>
      <c r="AD45" s="45">
        <v>9.6</v>
      </c>
      <c r="AE45" s="45">
        <v>9.6</v>
      </c>
      <c r="AF45" s="45">
        <v>9.6</v>
      </c>
      <c r="AG45" s="54">
        <v>10</v>
      </c>
      <c r="AH45" s="47">
        <f t="shared" si="2"/>
        <v>9.6</v>
      </c>
      <c r="AI45" s="48">
        <f t="shared" si="3"/>
        <v>9.6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2</v>
      </c>
      <c r="M47" s="45">
        <v>4</v>
      </c>
      <c r="N47" s="45">
        <v>4</v>
      </c>
      <c r="O47" s="45">
        <v>4</v>
      </c>
      <c r="P47" s="45">
        <v>4</v>
      </c>
      <c r="Q47" s="45">
        <v>4</v>
      </c>
      <c r="R47" s="45">
        <v>4</v>
      </c>
      <c r="S47" s="45">
        <v>4</v>
      </c>
      <c r="T47" s="45">
        <v>4</v>
      </c>
      <c r="U47" s="45">
        <v>4</v>
      </c>
      <c r="V47" s="45">
        <v>2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4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AD50" si="4">SUM(B11:B48)</f>
        <v>866.6</v>
      </c>
      <c r="C50" s="59">
        <f t="shared" si="4"/>
        <v>866.6</v>
      </c>
      <c r="D50" s="59">
        <f t="shared" si="4"/>
        <v>866.6</v>
      </c>
      <c r="E50" s="59">
        <f t="shared" si="4"/>
        <v>866.6</v>
      </c>
      <c r="F50" s="59">
        <f t="shared" si="4"/>
        <v>866.6</v>
      </c>
      <c r="G50" s="59">
        <f t="shared" si="4"/>
        <v>866.6</v>
      </c>
      <c r="H50" s="59">
        <f t="shared" si="4"/>
        <v>866.6</v>
      </c>
      <c r="I50" s="59">
        <f t="shared" si="4"/>
        <v>866.6</v>
      </c>
      <c r="J50" s="59">
        <f t="shared" si="4"/>
        <v>866.6</v>
      </c>
      <c r="K50" s="59">
        <f t="shared" ref="K50:L50" si="5">SUM(K11:K48)</f>
        <v>866.6</v>
      </c>
      <c r="L50" s="59">
        <f t="shared" si="5"/>
        <v>868.6</v>
      </c>
      <c r="M50" s="59">
        <f t="shared" si="4"/>
        <v>759</v>
      </c>
      <c r="N50" s="59">
        <f t="shared" si="4"/>
        <v>838.4</v>
      </c>
      <c r="O50" s="59">
        <f t="shared" si="4"/>
        <v>779.19999999999993</v>
      </c>
      <c r="P50" s="59">
        <f t="shared" si="4"/>
        <v>779.19999999999993</v>
      </c>
      <c r="Q50" s="59">
        <f t="shared" si="4"/>
        <v>779.19999999999993</v>
      </c>
      <c r="R50" s="59">
        <f t="shared" si="4"/>
        <v>779.19999999999993</v>
      </c>
      <c r="S50" s="59">
        <f t="shared" si="4"/>
        <v>794.19999999999993</v>
      </c>
      <c r="T50" s="59">
        <f t="shared" si="4"/>
        <v>792.19999999999993</v>
      </c>
      <c r="U50" s="59">
        <f t="shared" si="4"/>
        <v>773.7</v>
      </c>
      <c r="V50" s="59">
        <f t="shared" si="4"/>
        <v>771.7</v>
      </c>
      <c r="W50" s="59">
        <f t="shared" si="4"/>
        <v>777.9</v>
      </c>
      <c r="X50" s="59">
        <f t="shared" si="4"/>
        <v>777.9</v>
      </c>
      <c r="Y50" s="59">
        <f t="shared" si="4"/>
        <v>796.4</v>
      </c>
      <c r="Z50" s="59">
        <f t="shared" si="4"/>
        <v>740.10000000000014</v>
      </c>
      <c r="AA50" s="59">
        <f t="shared" si="4"/>
        <v>802.7</v>
      </c>
      <c r="AB50" s="59">
        <f t="shared" si="4"/>
        <v>809.7</v>
      </c>
      <c r="AC50" s="59">
        <f t="shared" si="4"/>
        <v>809.7</v>
      </c>
      <c r="AD50" s="59">
        <f t="shared" si="4"/>
        <v>809.7</v>
      </c>
      <c r="AE50" s="59">
        <f t="shared" ref="AE50:AF50" si="6">SUM(AE11:AE48)</f>
        <v>817.00000000000011</v>
      </c>
      <c r="AF50" s="59">
        <f t="shared" si="6"/>
        <v>815.9</v>
      </c>
      <c r="AG50" s="60">
        <f>SUM(AG13:AG48)</f>
        <v>922.14</v>
      </c>
      <c r="AH50" s="47">
        <f t="shared" si="2"/>
        <v>868.6</v>
      </c>
      <c r="AI50" s="48">
        <f t="shared" si="3"/>
        <v>740.10000000000014</v>
      </c>
      <c r="AK50" s="74"/>
    </row>
    <row r="51" spans="1:41" x14ac:dyDescent="0.25">
      <c r="A51" s="61" t="s">
        <v>67</v>
      </c>
      <c r="B51" s="45">
        <v>300</v>
      </c>
      <c r="C51" s="45">
        <v>440</v>
      </c>
      <c r="D51" s="45">
        <v>440</v>
      </c>
      <c r="E51" s="45">
        <v>390</v>
      </c>
      <c r="F51" s="45">
        <v>390</v>
      </c>
      <c r="G51" s="45">
        <v>390</v>
      </c>
      <c r="H51" s="45">
        <v>390</v>
      </c>
      <c r="I51" s="45">
        <v>390</v>
      </c>
      <c r="J51" s="45">
        <v>390</v>
      </c>
      <c r="K51" s="45">
        <v>390</v>
      </c>
      <c r="L51" s="45">
        <v>390</v>
      </c>
      <c r="M51" s="45">
        <v>390</v>
      </c>
      <c r="N51" s="45">
        <v>390</v>
      </c>
      <c r="O51" s="62">
        <v>390</v>
      </c>
      <c r="P51" s="62">
        <v>420</v>
      </c>
      <c r="Q51" s="62">
        <v>456</v>
      </c>
      <c r="R51" s="62">
        <v>456</v>
      </c>
      <c r="S51" s="62">
        <v>415</v>
      </c>
      <c r="T51" s="62">
        <v>456</v>
      </c>
      <c r="U51" s="62">
        <v>456</v>
      </c>
      <c r="V51" s="62">
        <v>456</v>
      </c>
      <c r="W51" s="45">
        <v>430</v>
      </c>
      <c r="X51" s="45">
        <v>380</v>
      </c>
      <c r="Y51" s="45">
        <v>380</v>
      </c>
      <c r="Z51" s="45">
        <v>400</v>
      </c>
      <c r="AA51" s="45">
        <v>400</v>
      </c>
      <c r="AB51" s="45">
        <v>370</v>
      </c>
      <c r="AC51" s="45">
        <v>330</v>
      </c>
      <c r="AD51" s="45">
        <v>400</v>
      </c>
      <c r="AE51" s="45">
        <v>400</v>
      </c>
      <c r="AF51" s="45">
        <v>400</v>
      </c>
      <c r="AG51" s="51">
        <v>456</v>
      </c>
      <c r="AH51" s="47">
        <f t="shared" si="2"/>
        <v>456</v>
      </c>
      <c r="AI51" s="48">
        <f t="shared" si="3"/>
        <v>300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22.4</v>
      </c>
      <c r="C53" s="66">
        <v>22.4</v>
      </c>
      <c r="D53" s="66">
        <v>22.4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22.4</v>
      </c>
      <c r="M53" s="66">
        <v>22</v>
      </c>
      <c r="N53" s="66">
        <v>22</v>
      </c>
      <c r="O53" s="66">
        <v>22</v>
      </c>
      <c r="P53" s="66">
        <v>22</v>
      </c>
      <c r="Q53" s="66">
        <v>22</v>
      </c>
      <c r="R53" s="66">
        <v>22</v>
      </c>
      <c r="S53" s="66">
        <v>22</v>
      </c>
      <c r="T53" s="66">
        <v>22</v>
      </c>
      <c r="U53" s="66">
        <v>22</v>
      </c>
      <c r="V53" s="66">
        <v>22</v>
      </c>
      <c r="W53" s="66">
        <v>22.4</v>
      </c>
      <c r="X53" s="66">
        <v>22.4</v>
      </c>
      <c r="Y53" s="66">
        <v>22.4</v>
      </c>
      <c r="Z53" s="66">
        <v>22.4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22.4</v>
      </c>
      <c r="AG53" s="67">
        <v>22.1</v>
      </c>
      <c r="AH53" s="47">
        <f t="shared" si="2"/>
        <v>22.4</v>
      </c>
      <c r="AI53" s="48">
        <f t="shared" si="3"/>
        <v>22</v>
      </c>
      <c r="AK53" s="74"/>
    </row>
    <row r="54" spans="1:41" ht="15.75" thickBot="1" x14ac:dyDescent="0.3">
      <c r="A54" s="68" t="s">
        <v>70</v>
      </c>
      <c r="B54" s="59">
        <f t="shared" ref="B54:AG54" si="7">SUM(B51:B53)</f>
        <v>377.4</v>
      </c>
      <c r="C54" s="59">
        <f t="shared" si="7"/>
        <v>517.4</v>
      </c>
      <c r="D54" s="59">
        <f t="shared" si="7"/>
        <v>517.4</v>
      </c>
      <c r="E54" s="59">
        <f t="shared" si="7"/>
        <v>467.4</v>
      </c>
      <c r="F54" s="59">
        <f t="shared" si="7"/>
        <v>467.4</v>
      </c>
      <c r="G54" s="59">
        <f t="shared" si="7"/>
        <v>467.4</v>
      </c>
      <c r="H54" s="59">
        <f t="shared" si="7"/>
        <v>467.4</v>
      </c>
      <c r="I54" s="59">
        <f t="shared" si="7"/>
        <v>467.4</v>
      </c>
      <c r="J54" s="59">
        <f t="shared" si="7"/>
        <v>467.4</v>
      </c>
      <c r="K54" s="59">
        <f t="shared" ref="K54:L54" si="8">SUM(K51:K53)</f>
        <v>467.4</v>
      </c>
      <c r="L54" s="59">
        <f t="shared" si="8"/>
        <v>467.4</v>
      </c>
      <c r="M54" s="59">
        <f t="shared" si="7"/>
        <v>467</v>
      </c>
      <c r="N54" s="59">
        <f t="shared" si="7"/>
        <v>467</v>
      </c>
      <c r="O54" s="59">
        <f t="shared" si="7"/>
        <v>467</v>
      </c>
      <c r="P54" s="59">
        <f t="shared" si="7"/>
        <v>497</v>
      </c>
      <c r="Q54" s="59">
        <f t="shared" si="7"/>
        <v>533</v>
      </c>
      <c r="R54" s="59">
        <f t="shared" si="7"/>
        <v>533</v>
      </c>
      <c r="S54" s="59">
        <f t="shared" si="7"/>
        <v>492</v>
      </c>
      <c r="T54" s="59">
        <f t="shared" si="7"/>
        <v>533</v>
      </c>
      <c r="U54" s="59">
        <f t="shared" si="7"/>
        <v>533</v>
      </c>
      <c r="V54" s="59">
        <f t="shared" si="7"/>
        <v>533</v>
      </c>
      <c r="W54" s="59">
        <f t="shared" si="7"/>
        <v>507.4</v>
      </c>
      <c r="X54" s="59">
        <f t="shared" si="7"/>
        <v>457.4</v>
      </c>
      <c r="Y54" s="59">
        <f t="shared" si="7"/>
        <v>457.4</v>
      </c>
      <c r="Z54" s="59">
        <f t="shared" si="7"/>
        <v>477.4</v>
      </c>
      <c r="AA54" s="59">
        <f t="shared" si="7"/>
        <v>477.4</v>
      </c>
      <c r="AB54" s="59">
        <f t="shared" si="7"/>
        <v>447.4</v>
      </c>
      <c r="AC54" s="59">
        <f t="shared" si="7"/>
        <v>407.4</v>
      </c>
      <c r="AD54" s="59">
        <f t="shared" si="7"/>
        <v>477.4</v>
      </c>
      <c r="AE54" s="59">
        <f t="shared" ref="AE54" si="9">SUM(AE51:AE53)</f>
        <v>477.4</v>
      </c>
      <c r="AF54" s="59">
        <f t="shared" si="7"/>
        <v>477.4</v>
      </c>
      <c r="AG54" s="60">
        <f t="shared" si="7"/>
        <v>538.1</v>
      </c>
      <c r="AH54" s="47">
        <f t="shared" si="2"/>
        <v>533</v>
      </c>
      <c r="AI54" s="48">
        <f t="shared" si="3"/>
        <v>377.4</v>
      </c>
      <c r="AK54" s="74"/>
    </row>
    <row r="55" spans="1:41" x14ac:dyDescent="0.25">
      <c r="A55" s="44" t="s">
        <v>71</v>
      </c>
      <c r="B55" s="45">
        <v>144</v>
      </c>
      <c r="C55" s="45">
        <v>144</v>
      </c>
      <c r="D55" s="45">
        <v>144</v>
      </c>
      <c r="E55" s="45">
        <v>144</v>
      </c>
      <c r="F55" s="45">
        <v>144</v>
      </c>
      <c r="G55" s="45">
        <v>144</v>
      </c>
      <c r="H55" s="45">
        <v>144</v>
      </c>
      <c r="I55" s="45">
        <v>144</v>
      </c>
      <c r="J55" s="45">
        <v>144</v>
      </c>
      <c r="K55" s="45">
        <v>144</v>
      </c>
      <c r="L55" s="45">
        <v>144</v>
      </c>
      <c r="M55" s="45">
        <v>0</v>
      </c>
      <c r="N55" s="45">
        <v>144</v>
      </c>
      <c r="O55" s="45">
        <v>142</v>
      </c>
      <c r="P55" s="45">
        <v>141.6</v>
      </c>
      <c r="Q55" s="45">
        <v>140</v>
      </c>
      <c r="R55" s="45">
        <v>140</v>
      </c>
      <c r="S55" s="45">
        <v>0</v>
      </c>
      <c r="T55" s="45">
        <v>145</v>
      </c>
      <c r="U55" s="45">
        <v>145</v>
      </c>
      <c r="V55" s="45">
        <v>0</v>
      </c>
      <c r="W55" s="45">
        <v>115.5</v>
      </c>
      <c r="X55" s="45">
        <v>144</v>
      </c>
      <c r="Y55" s="45">
        <v>144</v>
      </c>
      <c r="Z55" s="45">
        <v>144</v>
      </c>
      <c r="AA55" s="45">
        <v>144</v>
      </c>
      <c r="AB55" s="45">
        <v>144</v>
      </c>
      <c r="AC55" s="45">
        <v>144</v>
      </c>
      <c r="AD55" s="45">
        <v>144</v>
      </c>
      <c r="AE55" s="45">
        <v>143.9</v>
      </c>
      <c r="AF55" s="45">
        <v>144.6</v>
      </c>
      <c r="AG55" s="51">
        <v>144</v>
      </c>
      <c r="AH55" s="47">
        <f t="shared" si="2"/>
        <v>145</v>
      </c>
      <c r="AI55" s="48">
        <f t="shared" si="3"/>
        <v>0</v>
      </c>
      <c r="AK55" s="74"/>
    </row>
    <row r="56" spans="1:41" x14ac:dyDescent="0.25">
      <c r="A56" s="53" t="s">
        <v>72</v>
      </c>
      <c r="B56" s="64">
        <v>70</v>
      </c>
      <c r="C56" s="64">
        <v>55</v>
      </c>
      <c r="D56" s="64">
        <v>55</v>
      </c>
      <c r="E56" s="64">
        <v>55</v>
      </c>
      <c r="F56" s="64">
        <v>55</v>
      </c>
      <c r="G56" s="64">
        <v>55</v>
      </c>
      <c r="H56" s="64">
        <v>55</v>
      </c>
      <c r="I56" s="64">
        <v>55</v>
      </c>
      <c r="J56" s="64">
        <v>55</v>
      </c>
      <c r="K56" s="64">
        <v>55</v>
      </c>
      <c r="L56" s="64">
        <v>55</v>
      </c>
      <c r="M56" s="64">
        <v>40</v>
      </c>
      <c r="N56" s="64">
        <v>51</v>
      </c>
      <c r="O56" s="64">
        <v>39.299999999999997</v>
      </c>
      <c r="P56" s="64">
        <v>44</v>
      </c>
      <c r="Q56" s="64">
        <v>45.6</v>
      </c>
      <c r="R56" s="64">
        <v>45.6</v>
      </c>
      <c r="S56" s="64">
        <v>71</v>
      </c>
      <c r="T56" s="64">
        <v>69</v>
      </c>
      <c r="U56" s="64">
        <v>69</v>
      </c>
      <c r="V56" s="64">
        <v>69</v>
      </c>
      <c r="W56" s="45">
        <v>69.5</v>
      </c>
      <c r="X56" s="45">
        <v>69</v>
      </c>
      <c r="Y56" s="45">
        <v>69</v>
      </c>
      <c r="Z56" s="45">
        <v>69</v>
      </c>
      <c r="AA56" s="45">
        <v>68</v>
      </c>
      <c r="AB56" s="45">
        <v>68</v>
      </c>
      <c r="AC56" s="45">
        <v>68</v>
      </c>
      <c r="AD56" s="45">
        <v>68</v>
      </c>
      <c r="AE56" s="45">
        <v>69.3</v>
      </c>
      <c r="AF56" s="45">
        <v>71.7</v>
      </c>
      <c r="AG56" s="54">
        <v>70</v>
      </c>
      <c r="AH56" s="47">
        <f t="shared" si="2"/>
        <v>71.7</v>
      </c>
      <c r="AI56" s="48">
        <f t="shared" si="3"/>
        <v>39.299999999999997</v>
      </c>
      <c r="AK56" s="74"/>
    </row>
    <row r="57" spans="1:41" x14ac:dyDescent="0.25">
      <c r="A57" s="53" t="s">
        <v>73</v>
      </c>
      <c r="B57" s="64">
        <v>69.599999999999994</v>
      </c>
      <c r="C57" s="64">
        <v>69.599999999999994</v>
      </c>
      <c r="D57" s="64">
        <v>69.599999999999994</v>
      </c>
      <c r="E57" s="64">
        <v>69.599999999999994</v>
      </c>
      <c r="F57" s="64">
        <v>69.599999999999994</v>
      </c>
      <c r="G57" s="64">
        <v>69.599999999999994</v>
      </c>
      <c r="H57" s="64">
        <v>69.599999999999994</v>
      </c>
      <c r="I57" s="64">
        <v>69.599999999999994</v>
      </c>
      <c r="J57" s="64">
        <v>69.599999999999994</v>
      </c>
      <c r="K57" s="64">
        <v>69.599999999999994</v>
      </c>
      <c r="L57" s="64">
        <v>69.599999999999994</v>
      </c>
      <c r="M57" s="64">
        <v>51</v>
      </c>
      <c r="N57" s="64">
        <v>51</v>
      </c>
      <c r="O57" s="64">
        <v>55.9</v>
      </c>
      <c r="P57" s="64">
        <v>51.8</v>
      </c>
      <c r="Q57" s="64">
        <v>53</v>
      </c>
      <c r="R57" s="64">
        <v>53</v>
      </c>
      <c r="S57" s="64">
        <v>53</v>
      </c>
      <c r="T57" s="64">
        <v>48</v>
      </c>
      <c r="U57" s="64">
        <v>60</v>
      </c>
      <c r="V57" s="64">
        <v>60</v>
      </c>
      <c r="W57" s="45">
        <v>50.9</v>
      </c>
      <c r="X57" s="45">
        <v>59</v>
      </c>
      <c r="Y57" s="45">
        <v>50</v>
      </c>
      <c r="Z57" s="45">
        <v>69</v>
      </c>
      <c r="AA57" s="45">
        <v>66</v>
      </c>
      <c r="AB57" s="45">
        <v>66</v>
      </c>
      <c r="AC57" s="45">
        <v>66</v>
      </c>
      <c r="AD57" s="45">
        <v>66</v>
      </c>
      <c r="AE57" s="45">
        <v>68.900000000000006</v>
      </c>
      <c r="AF57" s="45">
        <v>60.1</v>
      </c>
      <c r="AG57" s="54">
        <v>69</v>
      </c>
      <c r="AH57" s="47">
        <f t="shared" si="2"/>
        <v>69.599999999999994</v>
      </c>
      <c r="AI57" s="48">
        <f t="shared" si="3"/>
        <v>48</v>
      </c>
      <c r="AK57" s="74"/>
    </row>
    <row r="58" spans="1:41" x14ac:dyDescent="0.25">
      <c r="A58" s="53" t="s">
        <v>74</v>
      </c>
      <c r="B58" s="64">
        <v>61</v>
      </c>
      <c r="C58" s="64">
        <v>61</v>
      </c>
      <c r="D58" s="64">
        <v>61</v>
      </c>
      <c r="E58" s="64">
        <v>61</v>
      </c>
      <c r="F58" s="64">
        <v>61</v>
      </c>
      <c r="G58" s="64">
        <v>61</v>
      </c>
      <c r="H58" s="64">
        <v>61</v>
      </c>
      <c r="I58" s="64">
        <v>61</v>
      </c>
      <c r="J58" s="64">
        <v>61</v>
      </c>
      <c r="K58" s="64">
        <v>61</v>
      </c>
      <c r="L58" s="64">
        <v>61</v>
      </c>
      <c r="M58" s="64">
        <v>61</v>
      </c>
      <c r="N58" s="64">
        <v>51</v>
      </c>
      <c r="O58" s="64">
        <v>51</v>
      </c>
      <c r="P58" s="64">
        <v>44</v>
      </c>
      <c r="Q58" s="64">
        <v>44</v>
      </c>
      <c r="R58" s="64">
        <v>44</v>
      </c>
      <c r="S58" s="64">
        <v>44</v>
      </c>
      <c r="T58" s="64">
        <v>60</v>
      </c>
      <c r="U58" s="64">
        <v>60</v>
      </c>
      <c r="V58" s="64">
        <v>60</v>
      </c>
      <c r="W58" s="45">
        <v>60.7</v>
      </c>
      <c r="X58" s="45">
        <v>60.7</v>
      </c>
      <c r="Y58" s="45">
        <v>60.7</v>
      </c>
      <c r="Z58" s="45">
        <v>60.7</v>
      </c>
      <c r="AA58" s="45">
        <v>60.7</v>
      </c>
      <c r="AB58" s="45">
        <v>60.7</v>
      </c>
      <c r="AC58" s="45">
        <v>60.7</v>
      </c>
      <c r="AD58" s="45">
        <v>60.7</v>
      </c>
      <c r="AE58" s="45">
        <v>60.7</v>
      </c>
      <c r="AF58" s="45">
        <v>60.7</v>
      </c>
      <c r="AG58" s="54">
        <v>60</v>
      </c>
      <c r="AH58" s="47">
        <f t="shared" si="2"/>
        <v>61</v>
      </c>
      <c r="AI58" s="48">
        <f t="shared" si="3"/>
        <v>44</v>
      </c>
      <c r="AK58" s="74"/>
    </row>
    <row r="59" spans="1:41" x14ac:dyDescent="0.25">
      <c r="A59" s="53" t="s">
        <v>75</v>
      </c>
      <c r="B59" s="64">
        <v>15</v>
      </c>
      <c r="C59" s="64">
        <v>15</v>
      </c>
      <c r="D59" s="64">
        <v>15</v>
      </c>
      <c r="E59" s="64">
        <v>15</v>
      </c>
      <c r="F59" s="64">
        <v>15</v>
      </c>
      <c r="G59" s="64">
        <v>15</v>
      </c>
      <c r="H59" s="64">
        <v>15</v>
      </c>
      <c r="I59" s="64">
        <v>15</v>
      </c>
      <c r="J59" s="64">
        <v>15</v>
      </c>
      <c r="K59" s="64">
        <v>15</v>
      </c>
      <c r="L59" s="64">
        <v>15</v>
      </c>
      <c r="M59" s="64">
        <v>29</v>
      </c>
      <c r="N59" s="64">
        <v>29</v>
      </c>
      <c r="O59" s="64">
        <v>29</v>
      </c>
      <c r="P59" s="64">
        <v>29</v>
      </c>
      <c r="Q59" s="64">
        <v>29</v>
      </c>
      <c r="R59" s="64">
        <v>29</v>
      </c>
      <c r="S59" s="64">
        <v>29</v>
      </c>
      <c r="T59" s="64">
        <v>10</v>
      </c>
      <c r="U59" s="64">
        <v>10</v>
      </c>
      <c r="V59" s="64">
        <v>10</v>
      </c>
      <c r="W59" s="45">
        <v>10</v>
      </c>
      <c r="X59" s="45">
        <v>10</v>
      </c>
      <c r="Y59" s="45">
        <v>30</v>
      </c>
      <c r="Z59" s="45">
        <v>30</v>
      </c>
      <c r="AA59" s="45">
        <v>20</v>
      </c>
      <c r="AB59" s="45">
        <v>20</v>
      </c>
      <c r="AC59" s="45">
        <v>20</v>
      </c>
      <c r="AD59" s="45">
        <v>20</v>
      </c>
      <c r="AE59" s="45">
        <v>20</v>
      </c>
      <c r="AF59" s="45">
        <v>20</v>
      </c>
      <c r="AG59" s="54">
        <v>30</v>
      </c>
      <c r="AH59" s="47">
        <f t="shared" si="2"/>
        <v>30</v>
      </c>
      <c r="AI59" s="48">
        <f t="shared" si="3"/>
        <v>10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5</v>
      </c>
      <c r="N60" s="64">
        <v>15</v>
      </c>
      <c r="O60" s="64">
        <v>16</v>
      </c>
      <c r="P60" s="64">
        <v>17</v>
      </c>
      <c r="Q60" s="64">
        <v>17</v>
      </c>
      <c r="R60" s="64">
        <v>17</v>
      </c>
      <c r="S60" s="64">
        <v>17</v>
      </c>
      <c r="T60" s="64">
        <v>12.1</v>
      </c>
      <c r="U60" s="64">
        <v>8</v>
      </c>
      <c r="V60" s="64">
        <v>8</v>
      </c>
      <c r="W60" s="45">
        <v>0.6</v>
      </c>
      <c r="X60" s="45">
        <v>0.2</v>
      </c>
      <c r="Y60" s="45">
        <v>0.2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17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18</v>
      </c>
      <c r="C61" s="64">
        <v>18</v>
      </c>
      <c r="D61" s="64">
        <v>18</v>
      </c>
      <c r="E61" s="64">
        <v>18</v>
      </c>
      <c r="F61" s="64">
        <v>18</v>
      </c>
      <c r="G61" s="64">
        <v>18</v>
      </c>
      <c r="H61" s="64">
        <v>18</v>
      </c>
      <c r="I61" s="64">
        <v>18</v>
      </c>
      <c r="J61" s="64">
        <v>18</v>
      </c>
      <c r="K61" s="64">
        <v>18</v>
      </c>
      <c r="L61" s="64">
        <v>18</v>
      </c>
      <c r="M61" s="64">
        <v>18</v>
      </c>
      <c r="N61" s="64">
        <v>18</v>
      </c>
      <c r="O61" s="64">
        <v>18</v>
      </c>
      <c r="P61" s="64">
        <v>18</v>
      </c>
      <c r="Q61" s="64">
        <v>18</v>
      </c>
      <c r="R61" s="64">
        <v>18</v>
      </c>
      <c r="S61" s="64">
        <v>18</v>
      </c>
      <c r="T61" s="64">
        <v>18</v>
      </c>
      <c r="U61" s="64">
        <v>18</v>
      </c>
      <c r="V61" s="64">
        <v>18</v>
      </c>
      <c r="W61" s="64">
        <v>18</v>
      </c>
      <c r="X61" s="64">
        <v>18</v>
      </c>
      <c r="Y61" s="64">
        <v>18</v>
      </c>
      <c r="Z61" s="64">
        <v>18</v>
      </c>
      <c r="AA61" s="64">
        <v>18</v>
      </c>
      <c r="AB61" s="64">
        <v>18</v>
      </c>
      <c r="AC61" s="64">
        <v>18</v>
      </c>
      <c r="AD61" s="64">
        <v>18</v>
      </c>
      <c r="AE61" s="64">
        <v>18</v>
      </c>
      <c r="AF61" s="64">
        <v>18</v>
      </c>
      <c r="AG61" s="54">
        <v>24</v>
      </c>
      <c r="AH61" s="47">
        <f t="shared" si="2"/>
        <v>18</v>
      </c>
      <c r="AI61" s="48">
        <f t="shared" si="3"/>
        <v>18</v>
      </c>
      <c r="AK61" s="74"/>
    </row>
    <row r="62" spans="1:41" x14ac:dyDescent="0.25">
      <c r="A62" s="53" t="s">
        <v>78</v>
      </c>
      <c r="B62" s="64">
        <v>2.4</v>
      </c>
      <c r="C62" s="64">
        <v>2.4</v>
      </c>
      <c r="D62" s="64">
        <v>2.4</v>
      </c>
      <c r="E62" s="64">
        <v>2.4</v>
      </c>
      <c r="F62" s="64">
        <v>2.4</v>
      </c>
      <c r="G62" s="64">
        <v>2.4</v>
      </c>
      <c r="H62" s="64">
        <v>2.4</v>
      </c>
      <c r="I62" s="64">
        <v>2.4</v>
      </c>
      <c r="J62" s="64">
        <v>2.4</v>
      </c>
      <c r="K62" s="64">
        <v>2.4</v>
      </c>
      <c r="L62" s="64">
        <v>2.4</v>
      </c>
      <c r="M62" s="64">
        <v>2.4</v>
      </c>
      <c r="N62" s="64">
        <v>2.4</v>
      </c>
      <c r="O62" s="64">
        <v>2.4</v>
      </c>
      <c r="P62" s="64">
        <v>2.4</v>
      </c>
      <c r="Q62" s="64">
        <v>2.4</v>
      </c>
      <c r="R62" s="64">
        <v>2.4</v>
      </c>
      <c r="S62" s="64">
        <v>2.4</v>
      </c>
      <c r="T62" s="64">
        <v>2.4</v>
      </c>
      <c r="U62" s="64">
        <v>2.4</v>
      </c>
      <c r="V62" s="64">
        <v>2.4</v>
      </c>
      <c r="W62" s="64">
        <v>2.4</v>
      </c>
      <c r="X62" s="64">
        <v>2.4</v>
      </c>
      <c r="Y62" s="64">
        <v>2.4</v>
      </c>
      <c r="Z62" s="64">
        <v>2.4</v>
      </c>
      <c r="AA62" s="64">
        <v>2.4</v>
      </c>
      <c r="AB62" s="64">
        <v>2.4</v>
      </c>
      <c r="AC62" s="64">
        <v>2.4</v>
      </c>
      <c r="AD62" s="64">
        <v>2.4</v>
      </c>
      <c r="AE62" s="64">
        <v>2.4</v>
      </c>
      <c r="AF62" s="64">
        <v>2.4</v>
      </c>
      <c r="AG62" s="54">
        <v>15</v>
      </c>
      <c r="AH62" s="47">
        <f t="shared" si="2"/>
        <v>2.4</v>
      </c>
      <c r="AI62" s="48">
        <f t="shared" si="3"/>
        <v>2.4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12.4</v>
      </c>
      <c r="C63" s="64">
        <v>12.4</v>
      </c>
      <c r="D63" s="64">
        <v>12.4</v>
      </c>
      <c r="E63" s="64">
        <v>12.4</v>
      </c>
      <c r="F63" s="64">
        <v>12.4</v>
      </c>
      <c r="G63" s="64">
        <v>12.4</v>
      </c>
      <c r="H63" s="64">
        <v>12.4</v>
      </c>
      <c r="I63" s="64">
        <v>12.4</v>
      </c>
      <c r="J63" s="64">
        <v>12.4</v>
      </c>
      <c r="K63" s="64">
        <v>12.4</v>
      </c>
      <c r="L63" s="64">
        <v>12.4</v>
      </c>
      <c r="M63" s="64">
        <v>6</v>
      </c>
      <c r="N63" s="64">
        <v>6</v>
      </c>
      <c r="O63" s="64">
        <v>6</v>
      </c>
      <c r="P63" s="64">
        <v>5.5</v>
      </c>
      <c r="Q63" s="64">
        <v>5.5</v>
      </c>
      <c r="R63" s="64">
        <v>5.5</v>
      </c>
      <c r="S63" s="64">
        <v>5.5</v>
      </c>
      <c r="T63" s="64">
        <v>9.1999999999999993</v>
      </c>
      <c r="U63" s="64">
        <v>11.2</v>
      </c>
      <c r="V63" s="64">
        <v>11.2</v>
      </c>
      <c r="W63" s="64">
        <v>11.2</v>
      </c>
      <c r="X63" s="64">
        <v>11.2</v>
      </c>
      <c r="Y63" s="64">
        <v>11.2</v>
      </c>
      <c r="Z63" s="64">
        <v>13</v>
      </c>
      <c r="AA63" s="64">
        <v>13</v>
      </c>
      <c r="AB63" s="64">
        <v>0</v>
      </c>
      <c r="AC63" s="64">
        <v>0</v>
      </c>
      <c r="AD63" s="64">
        <v>0</v>
      </c>
      <c r="AE63" s="64">
        <v>6.6</v>
      </c>
      <c r="AF63" s="64">
        <v>5.5</v>
      </c>
      <c r="AG63" s="54">
        <v>14.1</v>
      </c>
      <c r="AH63" s="47">
        <f t="shared" si="2"/>
        <v>13</v>
      </c>
      <c r="AI63" s="48">
        <f t="shared" si="3"/>
        <v>0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13.7</v>
      </c>
      <c r="C64" s="64">
        <v>13.7</v>
      </c>
      <c r="D64" s="64">
        <v>13.7</v>
      </c>
      <c r="E64" s="64">
        <v>13.7</v>
      </c>
      <c r="F64" s="64">
        <v>13.7</v>
      </c>
      <c r="G64" s="64">
        <v>13.7</v>
      </c>
      <c r="H64" s="64">
        <v>13.7</v>
      </c>
      <c r="I64" s="64">
        <v>13.7</v>
      </c>
      <c r="J64" s="64">
        <v>13.7</v>
      </c>
      <c r="K64" s="64">
        <v>13.7</v>
      </c>
      <c r="L64" s="64">
        <v>13.7</v>
      </c>
      <c r="M64" s="64">
        <v>13.7</v>
      </c>
      <c r="N64" s="64">
        <v>13.7</v>
      </c>
      <c r="O64" s="64">
        <v>13.7</v>
      </c>
      <c r="P64" s="64">
        <v>13.7</v>
      </c>
      <c r="Q64" s="64">
        <v>13.7</v>
      </c>
      <c r="R64" s="64">
        <v>13.7</v>
      </c>
      <c r="S64" s="64">
        <v>13.7</v>
      </c>
      <c r="T64" s="64">
        <v>13.7</v>
      </c>
      <c r="U64" s="64">
        <v>13.7</v>
      </c>
      <c r="V64" s="64">
        <v>13.7</v>
      </c>
      <c r="W64" s="64">
        <v>13.7</v>
      </c>
      <c r="X64" s="64">
        <v>13.7</v>
      </c>
      <c r="Y64" s="64">
        <v>13.7</v>
      </c>
      <c r="Z64" s="64">
        <v>14.3</v>
      </c>
      <c r="AA64" s="64">
        <v>14.3</v>
      </c>
      <c r="AB64" s="64">
        <v>14.3</v>
      </c>
      <c r="AC64" s="64">
        <v>14.3</v>
      </c>
      <c r="AD64" s="64">
        <v>14.3</v>
      </c>
      <c r="AE64" s="64">
        <v>14.2</v>
      </c>
      <c r="AF64" s="64">
        <v>14.2</v>
      </c>
      <c r="AG64" s="54">
        <v>14</v>
      </c>
      <c r="AH64" s="47">
        <f t="shared" si="2"/>
        <v>14.3</v>
      </c>
      <c r="AI64" s="48">
        <f t="shared" si="3"/>
        <v>13.7</v>
      </c>
      <c r="AK64" s="74"/>
    </row>
    <row r="65" spans="1:40" x14ac:dyDescent="0.25">
      <c r="A65" s="53" t="s">
        <v>81</v>
      </c>
      <c r="B65" s="64">
        <v>7.5</v>
      </c>
      <c r="C65" s="64">
        <v>7.5</v>
      </c>
      <c r="D65" s="64">
        <v>7.5</v>
      </c>
      <c r="E65" s="64">
        <v>7.5</v>
      </c>
      <c r="F65" s="64">
        <v>7.5</v>
      </c>
      <c r="G65" s="64">
        <v>7.5</v>
      </c>
      <c r="H65" s="64">
        <v>7.5</v>
      </c>
      <c r="I65" s="64">
        <v>7.5</v>
      </c>
      <c r="J65" s="64">
        <v>7.5</v>
      </c>
      <c r="K65" s="64">
        <v>7.5</v>
      </c>
      <c r="L65" s="64">
        <v>7.5</v>
      </c>
      <c r="M65" s="64">
        <v>7.5</v>
      </c>
      <c r="N65" s="64">
        <v>7.5</v>
      </c>
      <c r="O65" s="64">
        <v>7.5</v>
      </c>
      <c r="P65" s="64">
        <v>7.5</v>
      </c>
      <c r="Q65" s="64">
        <v>7.5</v>
      </c>
      <c r="R65" s="64">
        <v>7.5</v>
      </c>
      <c r="S65" s="64">
        <v>7.5</v>
      </c>
      <c r="T65" s="64">
        <v>7.5</v>
      </c>
      <c r="U65" s="64">
        <v>7.5</v>
      </c>
      <c r="V65" s="64">
        <v>7.5</v>
      </c>
      <c r="W65" s="64">
        <v>7.5</v>
      </c>
      <c r="X65" s="64">
        <v>7.5</v>
      </c>
      <c r="Y65" s="64">
        <v>7.5</v>
      </c>
      <c r="Z65" s="64">
        <v>7.5</v>
      </c>
      <c r="AA65" s="64">
        <v>7.5</v>
      </c>
      <c r="AB65" s="64">
        <v>7.5</v>
      </c>
      <c r="AC65" s="64">
        <v>7.5</v>
      </c>
      <c r="AD65" s="64">
        <v>7.5</v>
      </c>
      <c r="AE65" s="64">
        <v>7.5</v>
      </c>
      <c r="AF65" s="64">
        <v>7.5</v>
      </c>
      <c r="AG65" s="54">
        <v>10.050000000000001</v>
      </c>
      <c r="AH65" s="47">
        <f t="shared" si="2"/>
        <v>7.5</v>
      </c>
      <c r="AI65" s="48">
        <f t="shared" si="3"/>
        <v>7.5</v>
      </c>
      <c r="AK65" s="74"/>
    </row>
    <row r="66" spans="1:40" x14ac:dyDescent="0.25">
      <c r="A66" s="53" t="s">
        <v>82</v>
      </c>
      <c r="B66" s="64">
        <v>2.2000000000000002</v>
      </c>
      <c r="C66" s="64">
        <v>2.2000000000000002</v>
      </c>
      <c r="D66" s="64">
        <v>2.2000000000000002</v>
      </c>
      <c r="E66" s="64">
        <v>2.2000000000000002</v>
      </c>
      <c r="F66" s="64">
        <v>2.2000000000000002</v>
      </c>
      <c r="G66" s="64">
        <v>2.2000000000000002</v>
      </c>
      <c r="H66" s="64">
        <v>2.2000000000000002</v>
      </c>
      <c r="I66" s="64">
        <v>2.2000000000000002</v>
      </c>
      <c r="J66" s="64">
        <v>2.2000000000000002</v>
      </c>
      <c r="K66" s="64">
        <v>2.2000000000000002</v>
      </c>
      <c r="L66" s="64">
        <v>2.2000000000000002</v>
      </c>
      <c r="M66" s="64">
        <v>2.2000000000000002</v>
      </c>
      <c r="N66" s="64">
        <v>2.2000000000000002</v>
      </c>
      <c r="O66" s="64">
        <v>2.2000000000000002</v>
      </c>
      <c r="P66" s="64">
        <v>2.2000000000000002</v>
      </c>
      <c r="Q66" s="64">
        <v>2.2000000000000002</v>
      </c>
      <c r="R66" s="64">
        <v>2.2000000000000002</v>
      </c>
      <c r="S66" s="64">
        <v>2.2000000000000002</v>
      </c>
      <c r="T66" s="64">
        <v>2.2000000000000002</v>
      </c>
      <c r="U66" s="64">
        <v>2.2000000000000002</v>
      </c>
      <c r="V66" s="64">
        <v>2.2000000000000002</v>
      </c>
      <c r="W66" s="64">
        <v>2.2000000000000002</v>
      </c>
      <c r="X66" s="64">
        <v>2.2000000000000002</v>
      </c>
      <c r="Y66" s="64">
        <v>2.2000000000000002</v>
      </c>
      <c r="Z66" s="64">
        <v>2.2000000000000002</v>
      </c>
      <c r="AA66" s="64">
        <v>2.2000000000000002</v>
      </c>
      <c r="AB66" s="64">
        <v>2.2000000000000002</v>
      </c>
      <c r="AC66" s="64">
        <v>2.2000000000000002</v>
      </c>
      <c r="AD66" s="64">
        <v>2.2000000000000002</v>
      </c>
      <c r="AE66" s="64">
        <v>2.2000000000000002</v>
      </c>
      <c r="AF66" s="64">
        <v>2.2000000000000002</v>
      </c>
      <c r="AG66" s="54">
        <v>6.2</v>
      </c>
      <c r="AH66" s="47">
        <f t="shared" si="2"/>
        <v>2.2000000000000002</v>
      </c>
      <c r="AI66" s="48">
        <f t="shared" si="3"/>
        <v>2.2000000000000002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AG68" si="10">SUM(B55:B67)</f>
        <v>419.34</v>
      </c>
      <c r="C68" s="59">
        <f t="shared" si="10"/>
        <v>404.34</v>
      </c>
      <c r="D68" s="59">
        <f t="shared" si="10"/>
        <v>404.34</v>
      </c>
      <c r="E68" s="59">
        <f t="shared" si="10"/>
        <v>404.34</v>
      </c>
      <c r="F68" s="59">
        <f t="shared" si="10"/>
        <v>404.34</v>
      </c>
      <c r="G68" s="59">
        <f t="shared" si="10"/>
        <v>404.34</v>
      </c>
      <c r="H68" s="59">
        <f t="shared" si="10"/>
        <v>404.34</v>
      </c>
      <c r="I68" s="59">
        <f t="shared" si="10"/>
        <v>404.34</v>
      </c>
      <c r="J68" s="59">
        <f t="shared" si="10"/>
        <v>404.34</v>
      </c>
      <c r="K68" s="59">
        <f t="shared" ref="K68:L68" si="11">SUM(K55:K67)</f>
        <v>404.34</v>
      </c>
      <c r="L68" s="59">
        <f t="shared" si="11"/>
        <v>404.34</v>
      </c>
      <c r="M68" s="59">
        <f t="shared" si="10"/>
        <v>239.33999999999997</v>
      </c>
      <c r="N68" s="59">
        <f t="shared" si="10"/>
        <v>394.34</v>
      </c>
      <c r="O68" s="59">
        <f t="shared" si="10"/>
        <v>386.54</v>
      </c>
      <c r="P68" s="59">
        <f t="shared" si="10"/>
        <v>380.23999999999995</v>
      </c>
      <c r="Q68" s="59">
        <f t="shared" si="10"/>
        <v>381.44</v>
      </c>
      <c r="R68" s="59">
        <f t="shared" si="10"/>
        <v>381.44</v>
      </c>
      <c r="S68" s="59">
        <f t="shared" si="10"/>
        <v>266.84000000000003</v>
      </c>
      <c r="T68" s="59">
        <f t="shared" si="10"/>
        <v>400.64</v>
      </c>
      <c r="U68" s="59">
        <f t="shared" si="10"/>
        <v>410.53999999999996</v>
      </c>
      <c r="V68" s="59">
        <f t="shared" si="10"/>
        <v>265.53999999999996</v>
      </c>
      <c r="W68" s="59">
        <f t="shared" si="10"/>
        <v>365.74</v>
      </c>
      <c r="X68" s="59">
        <f t="shared" si="10"/>
        <v>401.43999999999994</v>
      </c>
      <c r="Y68" s="59">
        <f t="shared" si="10"/>
        <v>412.43999999999994</v>
      </c>
      <c r="Z68" s="59">
        <f t="shared" si="10"/>
        <v>433.64</v>
      </c>
      <c r="AA68" s="59">
        <f t="shared" si="10"/>
        <v>419.64</v>
      </c>
      <c r="AB68" s="59">
        <f t="shared" si="10"/>
        <v>406.64</v>
      </c>
      <c r="AC68" s="59">
        <f t="shared" si="10"/>
        <v>406.64</v>
      </c>
      <c r="AD68" s="59">
        <f t="shared" si="10"/>
        <v>406.64</v>
      </c>
      <c r="AE68" s="59">
        <f t="shared" ref="AE68" si="12">SUM(AE55:AE67)</f>
        <v>417.24</v>
      </c>
      <c r="AF68" s="59">
        <f t="shared" si="10"/>
        <v>410.44</v>
      </c>
      <c r="AG68" s="60">
        <f t="shared" si="10"/>
        <v>489.91</v>
      </c>
      <c r="AH68" s="47">
        <f t="shared" si="2"/>
        <v>433.64</v>
      </c>
      <c r="AI68" s="48">
        <f t="shared" si="3"/>
        <v>239.33999999999997</v>
      </c>
      <c r="AK68" s="74"/>
    </row>
    <row r="69" spans="1:40" x14ac:dyDescent="0.25">
      <c r="A69" s="44" t="s">
        <v>85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10</v>
      </c>
      <c r="O69" s="45">
        <v>28</v>
      </c>
      <c r="P69" s="45">
        <v>28</v>
      </c>
      <c r="Q69" s="45">
        <v>28</v>
      </c>
      <c r="R69" s="45">
        <v>20</v>
      </c>
      <c r="S69" s="45">
        <v>30</v>
      </c>
      <c r="T69" s="45">
        <v>10.7</v>
      </c>
      <c r="U69" s="45">
        <v>13.2</v>
      </c>
      <c r="V69" s="45">
        <v>13.2</v>
      </c>
      <c r="W69" s="45">
        <v>13.3</v>
      </c>
      <c r="X69" s="45">
        <v>11</v>
      </c>
      <c r="Y69" s="45">
        <v>11</v>
      </c>
      <c r="Z69" s="45">
        <v>11</v>
      </c>
      <c r="AA69" s="45">
        <v>20.2</v>
      </c>
      <c r="AB69" s="45">
        <v>29</v>
      </c>
      <c r="AC69" s="45">
        <v>42.2</v>
      </c>
      <c r="AD69" s="45">
        <v>45</v>
      </c>
      <c r="AE69" s="45">
        <v>33.5</v>
      </c>
      <c r="AF69" s="45">
        <v>10.1</v>
      </c>
      <c r="AG69" s="51">
        <v>60</v>
      </c>
      <c r="AH69" s="47">
        <f t="shared" si="2"/>
        <v>45</v>
      </c>
      <c r="AI69" s="48">
        <f t="shared" si="3"/>
        <v>0</v>
      </c>
      <c r="AK69" s="74"/>
    </row>
    <row r="70" spans="1:40" x14ac:dyDescent="0.25">
      <c r="A70" s="53" t="s">
        <v>86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64">
        <v>0</v>
      </c>
      <c r="N70" s="64">
        <v>4</v>
      </c>
      <c r="O70" s="64">
        <v>14</v>
      </c>
      <c r="P70" s="64">
        <v>14</v>
      </c>
      <c r="Q70" s="64">
        <v>13.2</v>
      </c>
      <c r="R70" s="64">
        <v>9.6999999999999993</v>
      </c>
      <c r="S70" s="64">
        <v>14.3</v>
      </c>
      <c r="T70" s="64">
        <v>4.8</v>
      </c>
      <c r="U70" s="64">
        <v>4</v>
      </c>
      <c r="V70" s="64">
        <v>4</v>
      </c>
      <c r="W70" s="64">
        <v>4.5999999999999996</v>
      </c>
      <c r="X70" s="64">
        <v>4.5999999999999996</v>
      </c>
      <c r="Y70" s="64">
        <v>3.9</v>
      </c>
      <c r="Z70" s="64">
        <v>4.8</v>
      </c>
      <c r="AA70" s="64">
        <v>2.7</v>
      </c>
      <c r="AB70" s="64">
        <v>13.6</v>
      </c>
      <c r="AC70" s="64">
        <v>19.399999999999999</v>
      </c>
      <c r="AD70" s="64">
        <v>21</v>
      </c>
      <c r="AE70" s="64">
        <v>13.3</v>
      </c>
      <c r="AF70" s="64">
        <v>3.9</v>
      </c>
      <c r="AG70" s="54">
        <v>32</v>
      </c>
      <c r="AH70" s="47">
        <f t="shared" si="2"/>
        <v>21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66">
        <v>0</v>
      </c>
      <c r="N71" s="66">
        <v>1.5</v>
      </c>
      <c r="O71" s="66">
        <v>5.0999999999999996</v>
      </c>
      <c r="P71" s="66">
        <v>5.0999999999999996</v>
      </c>
      <c r="Q71" s="66">
        <v>4.8</v>
      </c>
      <c r="R71" s="66">
        <v>3.5</v>
      </c>
      <c r="S71" s="66">
        <v>5.2</v>
      </c>
      <c r="T71" s="66">
        <v>1.8</v>
      </c>
      <c r="U71" s="66">
        <v>1.4</v>
      </c>
      <c r="V71" s="66">
        <v>1.4</v>
      </c>
      <c r="W71" s="66">
        <v>1.7</v>
      </c>
      <c r="X71" s="66">
        <v>1.7</v>
      </c>
      <c r="Y71" s="66">
        <v>1.4</v>
      </c>
      <c r="Z71" s="66">
        <v>1.8</v>
      </c>
      <c r="AA71" s="66">
        <v>1</v>
      </c>
      <c r="AB71" s="66">
        <v>5</v>
      </c>
      <c r="AC71" s="66">
        <v>7.1</v>
      </c>
      <c r="AD71" s="66">
        <v>8</v>
      </c>
      <c r="AE71" s="66">
        <v>4.9000000000000004</v>
      </c>
      <c r="AF71" s="66">
        <v>1.4</v>
      </c>
      <c r="AG71" s="67">
        <v>14</v>
      </c>
      <c r="AH71" s="47">
        <f t="shared" si="2"/>
        <v>8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>B69+B70+B71</f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v>0</v>
      </c>
      <c r="M72" s="59">
        <f t="shared" ref="M72:AF72" si="13">M69+M70+M71</f>
        <v>0</v>
      </c>
      <c r="N72" s="59">
        <f t="shared" si="13"/>
        <v>15.5</v>
      </c>
      <c r="O72" s="59">
        <f t="shared" si="13"/>
        <v>47.1</v>
      </c>
      <c r="P72" s="59">
        <f t="shared" si="13"/>
        <v>47.1</v>
      </c>
      <c r="Q72" s="59">
        <f t="shared" si="13"/>
        <v>46</v>
      </c>
      <c r="R72" s="59">
        <f t="shared" si="13"/>
        <v>33.200000000000003</v>
      </c>
      <c r="S72" s="59">
        <f t="shared" si="13"/>
        <v>49.5</v>
      </c>
      <c r="T72" s="59">
        <f t="shared" si="13"/>
        <v>17.3</v>
      </c>
      <c r="U72" s="59">
        <f t="shared" si="13"/>
        <v>18.599999999999998</v>
      </c>
      <c r="V72" s="59">
        <f t="shared" si="13"/>
        <v>18.599999999999998</v>
      </c>
      <c r="W72" s="59">
        <f t="shared" si="13"/>
        <v>19.599999999999998</v>
      </c>
      <c r="X72" s="59">
        <f t="shared" si="13"/>
        <v>17.3</v>
      </c>
      <c r="Y72" s="59">
        <f t="shared" si="13"/>
        <v>16.3</v>
      </c>
      <c r="Z72" s="59">
        <f t="shared" si="13"/>
        <v>17.600000000000001</v>
      </c>
      <c r="AA72" s="59">
        <f t="shared" si="13"/>
        <v>23.9</v>
      </c>
      <c r="AB72" s="59">
        <f t="shared" si="13"/>
        <v>47.6</v>
      </c>
      <c r="AC72" s="59">
        <f t="shared" si="13"/>
        <v>68.7</v>
      </c>
      <c r="AD72" s="59">
        <f t="shared" si="13"/>
        <v>74</v>
      </c>
      <c r="AE72" s="59">
        <f t="shared" ref="AE72" si="14">AE69+AE70+AE71</f>
        <v>51.699999999999996</v>
      </c>
      <c r="AF72" s="59">
        <f t="shared" si="13"/>
        <v>15.4</v>
      </c>
      <c r="AG72" s="60">
        <f>SUM(AG69:AG71)</f>
        <v>106</v>
      </c>
      <c r="AH72" s="47">
        <f t="shared" si="2"/>
        <v>74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65</v>
      </c>
      <c r="C73" s="45">
        <v>62</v>
      </c>
      <c r="D73" s="45">
        <v>62</v>
      </c>
      <c r="E73" s="45">
        <v>62</v>
      </c>
      <c r="F73" s="45">
        <v>62</v>
      </c>
      <c r="G73" s="45">
        <v>62</v>
      </c>
      <c r="H73" s="45">
        <v>62</v>
      </c>
      <c r="I73" s="45">
        <v>48.6</v>
      </c>
      <c r="J73" s="45">
        <v>57.7</v>
      </c>
      <c r="K73" s="45">
        <v>57.7</v>
      </c>
      <c r="L73" s="45">
        <v>57.7</v>
      </c>
      <c r="M73" s="45">
        <v>57</v>
      </c>
      <c r="N73" s="45">
        <v>58</v>
      </c>
      <c r="O73" s="45">
        <v>55.9</v>
      </c>
      <c r="P73" s="45">
        <v>52.2</v>
      </c>
      <c r="Q73" s="45">
        <v>62.4</v>
      </c>
      <c r="R73" s="45">
        <v>72</v>
      </c>
      <c r="S73" s="45">
        <v>61.4</v>
      </c>
      <c r="T73" s="45">
        <v>61.4</v>
      </c>
      <c r="U73" s="45">
        <v>61.4</v>
      </c>
      <c r="V73" s="45">
        <v>48</v>
      </c>
      <c r="W73" s="45">
        <v>33.5</v>
      </c>
      <c r="X73" s="45">
        <v>33.5</v>
      </c>
      <c r="Y73" s="45">
        <v>51.6</v>
      </c>
      <c r="Z73" s="45">
        <v>50.3</v>
      </c>
      <c r="AA73" s="45">
        <v>24</v>
      </c>
      <c r="AB73" s="45">
        <v>30.8</v>
      </c>
      <c r="AC73" s="45">
        <v>32.5</v>
      </c>
      <c r="AD73" s="45">
        <v>35.9</v>
      </c>
      <c r="AE73" s="45">
        <v>34</v>
      </c>
      <c r="AF73" s="45">
        <v>37.1</v>
      </c>
      <c r="AG73" s="51"/>
      <c r="AH73" s="47">
        <f t="shared" si="2"/>
        <v>72</v>
      </c>
      <c r="AI73" s="48">
        <f t="shared" si="3"/>
        <v>24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-170</v>
      </c>
      <c r="C75" s="64">
        <v>-255</v>
      </c>
      <c r="D75" s="64">
        <v>-255</v>
      </c>
      <c r="E75" s="64">
        <v>-255</v>
      </c>
      <c r="F75" s="64">
        <v>-320</v>
      </c>
      <c r="G75" s="64">
        <v>-320</v>
      </c>
      <c r="H75" s="64">
        <v>-300</v>
      </c>
      <c r="I75" s="64">
        <v>-280</v>
      </c>
      <c r="J75" s="64">
        <v>-260</v>
      </c>
      <c r="K75" s="64">
        <v>-260</v>
      </c>
      <c r="L75" s="64">
        <v>-260</v>
      </c>
      <c r="M75" s="64">
        <v>-250</v>
      </c>
      <c r="N75" s="64">
        <v>-260</v>
      </c>
      <c r="O75" s="64">
        <v>-165</v>
      </c>
      <c r="P75" s="64">
        <v>-155.5</v>
      </c>
      <c r="Q75" s="64">
        <v>-139</v>
      </c>
      <c r="R75" s="64">
        <v>-155</v>
      </c>
      <c r="S75" s="64">
        <v>-192</v>
      </c>
      <c r="T75" s="64">
        <v>-192</v>
      </c>
      <c r="U75" s="64">
        <v>-170</v>
      </c>
      <c r="V75" s="64">
        <v>-196</v>
      </c>
      <c r="W75" s="64">
        <v>-195</v>
      </c>
      <c r="X75" s="64">
        <v>-168</v>
      </c>
      <c r="Y75" s="64">
        <v>-163</v>
      </c>
      <c r="Z75" s="64">
        <v>-150</v>
      </c>
      <c r="AA75" s="64">
        <v>-118</v>
      </c>
      <c r="AB75" s="64">
        <v>-151</v>
      </c>
      <c r="AC75" s="64">
        <v>-135</v>
      </c>
      <c r="AD75" s="64">
        <v>-171</v>
      </c>
      <c r="AE75" s="64">
        <v>-185</v>
      </c>
      <c r="AF75" s="64">
        <v>-239</v>
      </c>
      <c r="AG75" s="75"/>
      <c r="AH75" s="47">
        <f t="shared" si="2"/>
        <v>-118</v>
      </c>
      <c r="AI75" s="48">
        <f t="shared" si="3"/>
        <v>-320</v>
      </c>
      <c r="AK75" s="74"/>
    </row>
    <row r="76" spans="1:40" x14ac:dyDescent="0.25">
      <c r="A76" s="53" t="s">
        <v>92</v>
      </c>
      <c r="B76" s="64">
        <v>46</v>
      </c>
      <c r="C76" s="64">
        <v>43</v>
      </c>
      <c r="D76" s="64">
        <v>43</v>
      </c>
      <c r="E76" s="64">
        <v>43</v>
      </c>
      <c r="F76" s="64">
        <v>43</v>
      </c>
      <c r="G76" s="64">
        <v>43</v>
      </c>
      <c r="H76" s="64">
        <v>43</v>
      </c>
      <c r="I76" s="76">
        <v>45.9</v>
      </c>
      <c r="J76" s="76">
        <v>45.9</v>
      </c>
      <c r="K76" s="76">
        <v>45.9</v>
      </c>
      <c r="L76" s="76">
        <v>45.9</v>
      </c>
      <c r="M76" s="76">
        <v>42.4</v>
      </c>
      <c r="N76" s="76">
        <v>42</v>
      </c>
      <c r="O76" s="76">
        <v>42.4</v>
      </c>
      <c r="P76" s="76">
        <v>43.6</v>
      </c>
      <c r="Q76" s="76">
        <v>33.5</v>
      </c>
      <c r="R76" s="76">
        <v>33.5</v>
      </c>
      <c r="S76" s="76">
        <v>19</v>
      </c>
      <c r="T76" s="76">
        <v>30</v>
      </c>
      <c r="U76" s="76">
        <v>30</v>
      </c>
      <c r="V76" s="76">
        <v>35</v>
      </c>
      <c r="W76" s="76">
        <v>35</v>
      </c>
      <c r="X76" s="76">
        <v>34</v>
      </c>
      <c r="Y76" s="76">
        <v>34</v>
      </c>
      <c r="Z76" s="76">
        <v>34</v>
      </c>
      <c r="AA76" s="76">
        <v>23</v>
      </c>
      <c r="AB76" s="76">
        <v>30.6</v>
      </c>
      <c r="AC76" s="76">
        <v>28.3</v>
      </c>
      <c r="AD76" s="64">
        <v>31.3</v>
      </c>
      <c r="AE76" s="64">
        <v>32.4</v>
      </c>
      <c r="AF76" s="76">
        <v>52.4</v>
      </c>
      <c r="AG76" s="75"/>
      <c r="AH76" s="47">
        <f t="shared" si="2"/>
        <v>52.4</v>
      </c>
      <c r="AI76" s="48">
        <f t="shared" si="3"/>
        <v>19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15">MAX(B77:AF77)</f>
        <v>0</v>
      </c>
      <c r="AI77" s="48">
        <f t="shared" ref="AI77:AI120" si="16">MIN(B77:AF77)</f>
        <v>0</v>
      </c>
      <c r="AK77" s="74"/>
    </row>
    <row r="78" spans="1:40" x14ac:dyDescent="0.25">
      <c r="A78" s="53" t="s">
        <v>94</v>
      </c>
      <c r="B78" s="45">
        <v>5</v>
      </c>
      <c r="C78" s="77">
        <v>5</v>
      </c>
      <c r="D78" s="77">
        <v>5</v>
      </c>
      <c r="E78" s="77">
        <v>5</v>
      </c>
      <c r="F78" s="77">
        <v>5</v>
      </c>
      <c r="G78" s="77">
        <v>5</v>
      </c>
      <c r="H78" s="77">
        <v>5</v>
      </c>
      <c r="I78" s="77">
        <v>5</v>
      </c>
      <c r="J78" s="77">
        <v>5</v>
      </c>
      <c r="K78" s="77">
        <v>5</v>
      </c>
      <c r="L78" s="77">
        <v>5</v>
      </c>
      <c r="M78" s="77">
        <v>5</v>
      </c>
      <c r="N78" s="77">
        <v>5</v>
      </c>
      <c r="O78" s="77">
        <v>5</v>
      </c>
      <c r="P78" s="77">
        <v>5</v>
      </c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5</v>
      </c>
      <c r="AA78" s="77">
        <v>5</v>
      </c>
      <c r="AB78" s="77">
        <v>6</v>
      </c>
      <c r="AC78" s="77">
        <v>6</v>
      </c>
      <c r="AD78" s="77">
        <v>6</v>
      </c>
      <c r="AE78" s="77">
        <v>6</v>
      </c>
      <c r="AF78" s="77">
        <v>6</v>
      </c>
      <c r="AG78" s="75"/>
      <c r="AH78" s="47">
        <f t="shared" si="15"/>
        <v>6</v>
      </c>
      <c r="AI78" s="48">
        <f t="shared" si="16"/>
        <v>5</v>
      </c>
      <c r="AK78" s="74"/>
    </row>
    <row r="79" spans="1:40" ht="15.75" thickBot="1" x14ac:dyDescent="0.3">
      <c r="A79" s="53" t="s">
        <v>95</v>
      </c>
      <c r="B79" s="45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5"/>
        <v>0</v>
      </c>
      <c r="AI79" s="48">
        <f t="shared" si="16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15"/>
        <v>0</v>
      </c>
      <c r="AI80" s="48">
        <f t="shared" si="16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5"/>
        <v>0</v>
      </c>
      <c r="AI81" s="48">
        <f t="shared" si="16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>
        <v>0</v>
      </c>
      <c r="C82" s="77">
        <v>0</v>
      </c>
      <c r="D82" s="77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5"/>
        <v>0</v>
      </c>
      <c r="AI82" s="48">
        <f t="shared" si="16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5"/>
        <v>0</v>
      </c>
      <c r="AI83" s="48">
        <f t="shared" si="16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7">SUMIF(B73:B83,"&gt;0")</f>
        <v>116</v>
      </c>
      <c r="C84" s="59">
        <f t="shared" si="17"/>
        <v>110</v>
      </c>
      <c r="D84" s="59">
        <f t="shared" si="17"/>
        <v>110</v>
      </c>
      <c r="E84" s="59">
        <f t="shared" si="17"/>
        <v>110</v>
      </c>
      <c r="F84" s="59">
        <f t="shared" si="17"/>
        <v>110</v>
      </c>
      <c r="G84" s="59">
        <f t="shared" si="17"/>
        <v>110</v>
      </c>
      <c r="H84" s="59">
        <f t="shared" si="17"/>
        <v>110</v>
      </c>
      <c r="I84" s="59">
        <f t="shared" si="17"/>
        <v>99.5</v>
      </c>
      <c r="J84" s="59">
        <f t="shared" si="17"/>
        <v>108.6</v>
      </c>
      <c r="K84" s="59">
        <f t="shared" ref="K84:L84" si="18">SUMIF(K73:K83,"&gt;0")</f>
        <v>108.6</v>
      </c>
      <c r="L84" s="59">
        <f t="shared" si="18"/>
        <v>108.6</v>
      </c>
      <c r="M84" s="59">
        <f t="shared" si="17"/>
        <v>104.4</v>
      </c>
      <c r="N84" s="59">
        <f t="shared" si="17"/>
        <v>105</v>
      </c>
      <c r="O84" s="59">
        <f t="shared" si="17"/>
        <v>103.3</v>
      </c>
      <c r="P84" s="59">
        <f t="shared" si="17"/>
        <v>100.80000000000001</v>
      </c>
      <c r="Q84" s="59">
        <f t="shared" si="17"/>
        <v>100.9</v>
      </c>
      <c r="R84" s="59">
        <f t="shared" si="17"/>
        <v>110.5</v>
      </c>
      <c r="S84" s="59">
        <f t="shared" si="17"/>
        <v>85.4</v>
      </c>
      <c r="T84" s="59">
        <f t="shared" si="17"/>
        <v>96.4</v>
      </c>
      <c r="U84" s="59">
        <f t="shared" si="17"/>
        <v>96.4</v>
      </c>
      <c r="V84" s="59">
        <f t="shared" si="17"/>
        <v>88</v>
      </c>
      <c r="W84" s="59">
        <f t="shared" si="17"/>
        <v>73.5</v>
      </c>
      <c r="X84" s="59">
        <f t="shared" si="17"/>
        <v>72.5</v>
      </c>
      <c r="Y84" s="59">
        <f t="shared" si="17"/>
        <v>90.6</v>
      </c>
      <c r="Z84" s="59">
        <f t="shared" si="17"/>
        <v>89.3</v>
      </c>
      <c r="AA84" s="59">
        <f t="shared" si="17"/>
        <v>52</v>
      </c>
      <c r="AB84" s="59">
        <f t="shared" si="17"/>
        <v>67.400000000000006</v>
      </c>
      <c r="AC84" s="59">
        <f t="shared" si="17"/>
        <v>66.8</v>
      </c>
      <c r="AD84" s="59">
        <f t="shared" si="17"/>
        <v>73.2</v>
      </c>
      <c r="AE84" s="59">
        <f t="shared" si="17"/>
        <v>72.400000000000006</v>
      </c>
      <c r="AF84" s="59">
        <f t="shared" si="17"/>
        <v>95.5</v>
      </c>
      <c r="AG84" s="88">
        <f>SUM(AG73:AG83)</f>
        <v>0</v>
      </c>
      <c r="AH84" s="47">
        <f t="shared" si="15"/>
        <v>116</v>
      </c>
      <c r="AI84" s="48">
        <f t="shared" si="16"/>
        <v>52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5"/>
        <v>0</v>
      </c>
      <c r="AI85" s="48">
        <f t="shared" si="16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5"/>
        <v>0</v>
      </c>
      <c r="AI86" s="48">
        <f t="shared" si="16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5"/>
        <v>0</v>
      </c>
      <c r="AI87" s="48">
        <f t="shared" si="16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15"/>
        <v>0</v>
      </c>
      <c r="AI88" s="48">
        <f t="shared" si="16"/>
        <v>0</v>
      </c>
    </row>
    <row r="89" spans="1:40" ht="15.75" thickBot="1" x14ac:dyDescent="0.3">
      <c r="A89" s="73" t="s">
        <v>108</v>
      </c>
      <c r="B89" s="95">
        <f t="shared" ref="B89:AG89" si="19">B50+B54+B72+B68+B84+B88</f>
        <v>1779.34</v>
      </c>
      <c r="C89" s="95">
        <f t="shared" si="19"/>
        <v>1898.34</v>
      </c>
      <c r="D89" s="95">
        <f t="shared" si="19"/>
        <v>1898.34</v>
      </c>
      <c r="E89" s="95">
        <f t="shared" si="19"/>
        <v>1848.34</v>
      </c>
      <c r="F89" s="95">
        <f t="shared" si="19"/>
        <v>1848.34</v>
      </c>
      <c r="G89" s="95">
        <f t="shared" si="19"/>
        <v>1848.34</v>
      </c>
      <c r="H89" s="95">
        <f t="shared" si="19"/>
        <v>1848.34</v>
      </c>
      <c r="I89" s="95">
        <f t="shared" si="19"/>
        <v>1837.84</v>
      </c>
      <c r="J89" s="95">
        <f t="shared" si="19"/>
        <v>1846.9399999999998</v>
      </c>
      <c r="K89" s="95">
        <f t="shared" ref="K89:L89" si="20">K50+K54+K72+K68+K84+K88</f>
        <v>1846.9399999999998</v>
      </c>
      <c r="L89" s="95">
        <f t="shared" si="20"/>
        <v>1848.9399999999998</v>
      </c>
      <c r="M89" s="95">
        <f t="shared" si="19"/>
        <v>1569.74</v>
      </c>
      <c r="N89" s="95">
        <f t="shared" si="19"/>
        <v>1820.24</v>
      </c>
      <c r="O89" s="95">
        <f t="shared" si="19"/>
        <v>1783.1399999999996</v>
      </c>
      <c r="P89" s="95">
        <f t="shared" si="19"/>
        <v>1804.3399999999997</v>
      </c>
      <c r="Q89" s="95">
        <f t="shared" si="19"/>
        <v>1840.54</v>
      </c>
      <c r="R89" s="95">
        <f t="shared" si="19"/>
        <v>1837.34</v>
      </c>
      <c r="S89" s="95">
        <f t="shared" si="19"/>
        <v>1687.94</v>
      </c>
      <c r="T89" s="95">
        <f t="shared" si="19"/>
        <v>1839.54</v>
      </c>
      <c r="U89" s="95">
        <f t="shared" si="19"/>
        <v>1832.24</v>
      </c>
      <c r="V89" s="95">
        <f t="shared" si="19"/>
        <v>1676.84</v>
      </c>
      <c r="W89" s="95">
        <f t="shared" si="19"/>
        <v>1744.1399999999999</v>
      </c>
      <c r="X89" s="95">
        <f t="shared" si="19"/>
        <v>1726.54</v>
      </c>
      <c r="Y89" s="95">
        <f t="shared" si="19"/>
        <v>1773.1399999999999</v>
      </c>
      <c r="Z89" s="95">
        <f t="shared" si="19"/>
        <v>1758.0399999999997</v>
      </c>
      <c r="AA89" s="95">
        <f t="shared" si="19"/>
        <v>1775.6399999999999</v>
      </c>
      <c r="AB89" s="95">
        <f t="shared" si="19"/>
        <v>1778.7399999999998</v>
      </c>
      <c r="AC89" s="95">
        <f t="shared" si="19"/>
        <v>1759.24</v>
      </c>
      <c r="AD89" s="95">
        <f t="shared" si="19"/>
        <v>1840.9399999999998</v>
      </c>
      <c r="AE89" s="95">
        <f t="shared" si="19"/>
        <v>1835.7400000000002</v>
      </c>
      <c r="AF89" s="95">
        <f t="shared" si="19"/>
        <v>1814.64</v>
      </c>
      <c r="AG89" s="60">
        <f t="shared" si="19"/>
        <v>2111.5500000000002</v>
      </c>
      <c r="AH89" s="47">
        <f t="shared" si="15"/>
        <v>1898.34</v>
      </c>
      <c r="AI89" s="48">
        <f t="shared" si="16"/>
        <v>1569.74</v>
      </c>
    </row>
    <row r="90" spans="1:40" ht="15.75" thickBot="1" x14ac:dyDescent="0.3">
      <c r="A90" s="96" t="s">
        <v>109</v>
      </c>
      <c r="B90" s="97">
        <v>20</v>
      </c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>
        <v>250</v>
      </c>
      <c r="N90" s="97">
        <v>100</v>
      </c>
      <c r="O90" s="97">
        <v>150</v>
      </c>
      <c r="P90" s="97">
        <v>150</v>
      </c>
      <c r="Q90" s="97">
        <v>150</v>
      </c>
      <c r="R90" s="97">
        <v>100</v>
      </c>
      <c r="S90" s="97">
        <v>100</v>
      </c>
      <c r="T90" s="97">
        <v>100</v>
      </c>
      <c r="U90" s="97">
        <v>100</v>
      </c>
      <c r="V90" s="97">
        <v>100</v>
      </c>
      <c r="W90" s="97">
        <v>100</v>
      </c>
      <c r="X90" s="97">
        <v>100</v>
      </c>
      <c r="Y90" s="97">
        <v>100</v>
      </c>
      <c r="Z90" s="97">
        <v>100</v>
      </c>
      <c r="AA90" s="97">
        <v>70</v>
      </c>
      <c r="AB90" s="97">
        <v>50</v>
      </c>
      <c r="AC90" s="97">
        <v>50</v>
      </c>
      <c r="AD90" s="97">
        <v>50</v>
      </c>
      <c r="AE90" s="97">
        <v>50</v>
      </c>
      <c r="AF90" s="97"/>
      <c r="AG90" s="88"/>
      <c r="AH90" s="47">
        <f t="shared" si="15"/>
        <v>250</v>
      </c>
      <c r="AI90" s="48">
        <f t="shared" si="16"/>
        <v>20</v>
      </c>
    </row>
    <row r="91" spans="1:40" ht="15.75" thickBot="1" x14ac:dyDescent="0.3">
      <c r="A91" s="73" t="s">
        <v>110</v>
      </c>
      <c r="B91" s="95">
        <f t="shared" ref="B91:AF91" si="21">B89+B90</f>
        <v>1799.34</v>
      </c>
      <c r="C91" s="95">
        <f t="shared" si="21"/>
        <v>1898.34</v>
      </c>
      <c r="D91" s="95">
        <f t="shared" si="21"/>
        <v>1898.34</v>
      </c>
      <c r="E91" s="95">
        <f t="shared" si="21"/>
        <v>1848.34</v>
      </c>
      <c r="F91" s="95">
        <f t="shared" si="21"/>
        <v>1848.34</v>
      </c>
      <c r="G91" s="95">
        <f t="shared" si="21"/>
        <v>1848.34</v>
      </c>
      <c r="H91" s="95">
        <f t="shared" si="21"/>
        <v>1848.34</v>
      </c>
      <c r="I91" s="95">
        <f t="shared" si="21"/>
        <v>1837.84</v>
      </c>
      <c r="J91" s="95">
        <f t="shared" si="21"/>
        <v>1846.9399999999998</v>
      </c>
      <c r="K91" s="95">
        <f t="shared" ref="K91:L91" si="22">K89+K90</f>
        <v>1846.9399999999998</v>
      </c>
      <c r="L91" s="95">
        <f t="shared" si="22"/>
        <v>1848.9399999999998</v>
      </c>
      <c r="M91" s="95">
        <f t="shared" si="21"/>
        <v>1819.74</v>
      </c>
      <c r="N91" s="95">
        <f t="shared" si="21"/>
        <v>1920.24</v>
      </c>
      <c r="O91" s="95">
        <f t="shared" si="21"/>
        <v>1933.1399999999996</v>
      </c>
      <c r="P91" s="95">
        <f t="shared" si="21"/>
        <v>1954.3399999999997</v>
      </c>
      <c r="Q91" s="95">
        <f t="shared" si="21"/>
        <v>1990.54</v>
      </c>
      <c r="R91" s="95">
        <f t="shared" si="21"/>
        <v>1937.34</v>
      </c>
      <c r="S91" s="95">
        <f t="shared" si="21"/>
        <v>1787.94</v>
      </c>
      <c r="T91" s="95">
        <f t="shared" si="21"/>
        <v>1939.54</v>
      </c>
      <c r="U91" s="95">
        <f t="shared" si="21"/>
        <v>1932.24</v>
      </c>
      <c r="V91" s="95">
        <f t="shared" si="21"/>
        <v>1776.84</v>
      </c>
      <c r="W91" s="95">
        <f t="shared" si="21"/>
        <v>1844.1399999999999</v>
      </c>
      <c r="X91" s="95">
        <f t="shared" si="21"/>
        <v>1826.54</v>
      </c>
      <c r="Y91" s="95">
        <f t="shared" si="21"/>
        <v>1873.1399999999999</v>
      </c>
      <c r="Z91" s="95">
        <f t="shared" si="21"/>
        <v>1858.0399999999997</v>
      </c>
      <c r="AA91" s="95">
        <f t="shared" si="21"/>
        <v>1845.6399999999999</v>
      </c>
      <c r="AB91" s="95">
        <f t="shared" si="21"/>
        <v>1828.7399999999998</v>
      </c>
      <c r="AC91" s="95">
        <f t="shared" si="21"/>
        <v>1809.24</v>
      </c>
      <c r="AD91" s="95">
        <f t="shared" si="21"/>
        <v>1890.9399999999998</v>
      </c>
      <c r="AE91" s="95">
        <f t="shared" si="21"/>
        <v>1885.7400000000002</v>
      </c>
      <c r="AF91" s="95">
        <f t="shared" si="21"/>
        <v>1814.64</v>
      </c>
      <c r="AG91" s="88">
        <f>AG88+AG84+AG72+AG68+AG50+AG90</f>
        <v>1573.45</v>
      </c>
      <c r="AH91" s="47">
        <f t="shared" si="15"/>
        <v>1990.54</v>
      </c>
      <c r="AI91" s="48">
        <f t="shared" si="16"/>
        <v>1776.84</v>
      </c>
    </row>
    <row r="92" spans="1:40" ht="15.75" thickBot="1" x14ac:dyDescent="0.3">
      <c r="A92" s="73" t="s">
        <v>111</v>
      </c>
      <c r="B92" s="95">
        <f t="shared" ref="B92:AF92" si="23">B91-B99</f>
        <v>1799.34</v>
      </c>
      <c r="C92" s="95">
        <f t="shared" si="23"/>
        <v>1898.34</v>
      </c>
      <c r="D92" s="95">
        <f t="shared" si="23"/>
        <v>1898.34</v>
      </c>
      <c r="E92" s="95">
        <f t="shared" si="23"/>
        <v>1848.34</v>
      </c>
      <c r="F92" s="95">
        <f t="shared" si="23"/>
        <v>1848.34</v>
      </c>
      <c r="G92" s="95">
        <f t="shared" si="23"/>
        <v>1848.34</v>
      </c>
      <c r="H92" s="95">
        <f t="shared" si="23"/>
        <v>1848.34</v>
      </c>
      <c r="I92" s="95">
        <f t="shared" si="23"/>
        <v>1837.84</v>
      </c>
      <c r="J92" s="95">
        <f t="shared" si="23"/>
        <v>1846.9399999999998</v>
      </c>
      <c r="K92" s="95">
        <f t="shared" ref="K92:L92" si="24">K91-K99</f>
        <v>1846.9399999999998</v>
      </c>
      <c r="L92" s="95">
        <f t="shared" si="24"/>
        <v>1848.9399999999998</v>
      </c>
      <c r="M92" s="95">
        <f t="shared" si="23"/>
        <v>1819.74</v>
      </c>
      <c r="N92" s="95">
        <f t="shared" si="23"/>
        <v>1920.24</v>
      </c>
      <c r="O92" s="95">
        <f t="shared" si="23"/>
        <v>1933.1399999999996</v>
      </c>
      <c r="P92" s="95">
        <f t="shared" si="23"/>
        <v>1954.3399999999997</v>
      </c>
      <c r="Q92" s="95">
        <f t="shared" si="23"/>
        <v>1990.54</v>
      </c>
      <c r="R92" s="95">
        <f t="shared" si="23"/>
        <v>1937.34</v>
      </c>
      <c r="S92" s="95">
        <f t="shared" si="23"/>
        <v>1787.94</v>
      </c>
      <c r="T92" s="95">
        <f t="shared" si="23"/>
        <v>1939.54</v>
      </c>
      <c r="U92" s="95">
        <f t="shared" si="23"/>
        <v>1932.24</v>
      </c>
      <c r="V92" s="95">
        <f t="shared" si="23"/>
        <v>1776.84</v>
      </c>
      <c r="W92" s="95">
        <f t="shared" si="23"/>
        <v>1844.1399999999999</v>
      </c>
      <c r="X92" s="95">
        <f t="shared" si="23"/>
        <v>1826.54</v>
      </c>
      <c r="Y92" s="95">
        <f t="shared" si="23"/>
        <v>1873.1399999999999</v>
      </c>
      <c r="Z92" s="95">
        <f t="shared" si="23"/>
        <v>1858.0399999999997</v>
      </c>
      <c r="AA92" s="95">
        <f t="shared" si="23"/>
        <v>1845.6399999999999</v>
      </c>
      <c r="AB92" s="95">
        <f t="shared" si="23"/>
        <v>1828.7399999999998</v>
      </c>
      <c r="AC92" s="95">
        <f t="shared" si="23"/>
        <v>1809.24</v>
      </c>
      <c r="AD92" s="95">
        <f t="shared" si="23"/>
        <v>1890.9399999999998</v>
      </c>
      <c r="AE92" s="95">
        <f t="shared" si="23"/>
        <v>1885.7400000000002</v>
      </c>
      <c r="AF92" s="95">
        <f t="shared" si="23"/>
        <v>1814.64</v>
      </c>
      <c r="AG92" s="88"/>
      <c r="AH92" s="47">
        <f t="shared" si="15"/>
        <v>1990.54</v>
      </c>
      <c r="AI92" s="48">
        <f t="shared" si="16"/>
        <v>1776.84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5"/>
        <v>0</v>
      </c>
      <c r="AI93" s="48">
        <f t="shared" si="16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5"/>
        <v>0</v>
      </c>
      <c r="AI94" s="48">
        <f t="shared" si="16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5"/>
        <v>0</v>
      </c>
      <c r="AI95" s="48">
        <f t="shared" si="16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5"/>
        <v>0</v>
      </c>
      <c r="AI96" s="48">
        <f t="shared" si="16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5"/>
        <v>0</v>
      </c>
      <c r="AI97" s="48">
        <f t="shared" si="16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5"/>
        <v>0</v>
      </c>
      <c r="AI98" s="48">
        <f t="shared" si="16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15"/>
        <v>0</v>
      </c>
      <c r="AI99" s="48">
        <f t="shared" si="16"/>
        <v>0</v>
      </c>
      <c r="AK99" s="74"/>
    </row>
    <row r="100" spans="1:37" ht="15.75" thickBot="1" x14ac:dyDescent="0.3">
      <c r="A100" s="73" t="s">
        <v>116</v>
      </c>
      <c r="B100" s="59">
        <f t="shared" ref="B100:AF100" si="25">B84-B99</f>
        <v>116</v>
      </c>
      <c r="C100" s="59">
        <f t="shared" si="25"/>
        <v>110</v>
      </c>
      <c r="D100" s="59">
        <f t="shared" ref="D100:H100" si="26">D84-D99</f>
        <v>110</v>
      </c>
      <c r="E100" s="59">
        <f t="shared" si="26"/>
        <v>110</v>
      </c>
      <c r="F100" s="59">
        <f t="shared" si="26"/>
        <v>110</v>
      </c>
      <c r="G100" s="59">
        <f t="shared" si="26"/>
        <v>110</v>
      </c>
      <c r="H100" s="59">
        <f t="shared" si="26"/>
        <v>110</v>
      </c>
      <c r="I100" s="59">
        <f t="shared" si="25"/>
        <v>99.5</v>
      </c>
      <c r="J100" s="59">
        <f t="shared" si="25"/>
        <v>108.6</v>
      </c>
      <c r="K100" s="59">
        <f t="shared" ref="K100:L100" si="27">K84-K99</f>
        <v>108.6</v>
      </c>
      <c r="L100" s="59">
        <f t="shared" si="27"/>
        <v>108.6</v>
      </c>
      <c r="M100" s="59">
        <f t="shared" si="25"/>
        <v>104.4</v>
      </c>
      <c r="N100" s="59">
        <f t="shared" si="25"/>
        <v>105</v>
      </c>
      <c r="O100" s="59">
        <f t="shared" si="25"/>
        <v>103.3</v>
      </c>
      <c r="P100" s="59">
        <f t="shared" si="25"/>
        <v>100.80000000000001</v>
      </c>
      <c r="Q100" s="59">
        <f t="shared" si="25"/>
        <v>100.9</v>
      </c>
      <c r="R100" s="59">
        <f t="shared" si="25"/>
        <v>110.5</v>
      </c>
      <c r="S100" s="59">
        <f t="shared" si="25"/>
        <v>85.4</v>
      </c>
      <c r="T100" s="59">
        <f t="shared" si="25"/>
        <v>96.4</v>
      </c>
      <c r="U100" s="59">
        <f t="shared" si="25"/>
        <v>96.4</v>
      </c>
      <c r="V100" s="59">
        <f t="shared" si="25"/>
        <v>88</v>
      </c>
      <c r="W100" s="59">
        <f t="shared" si="25"/>
        <v>73.5</v>
      </c>
      <c r="X100" s="59">
        <f t="shared" si="25"/>
        <v>72.5</v>
      </c>
      <c r="Y100" s="59">
        <f t="shared" si="25"/>
        <v>90.6</v>
      </c>
      <c r="Z100" s="59">
        <f t="shared" si="25"/>
        <v>89.3</v>
      </c>
      <c r="AA100" s="59">
        <f t="shared" si="25"/>
        <v>52</v>
      </c>
      <c r="AB100" s="59">
        <f t="shared" si="25"/>
        <v>67.400000000000006</v>
      </c>
      <c r="AC100" s="59">
        <f t="shared" si="25"/>
        <v>66.8</v>
      </c>
      <c r="AD100" s="59">
        <f t="shared" si="25"/>
        <v>73.2</v>
      </c>
      <c r="AE100" s="59">
        <f t="shared" si="25"/>
        <v>72.400000000000006</v>
      </c>
      <c r="AF100" s="59">
        <f t="shared" si="25"/>
        <v>95.5</v>
      </c>
      <c r="AG100" s="88"/>
      <c r="AH100" s="47">
        <f t="shared" si="15"/>
        <v>116</v>
      </c>
      <c r="AI100" s="48">
        <f t="shared" si="16"/>
        <v>52</v>
      </c>
    </row>
    <row r="101" spans="1:37" x14ac:dyDescent="0.25">
      <c r="A101" s="100" t="s">
        <v>117</v>
      </c>
      <c r="B101" s="101">
        <v>50.03</v>
      </c>
      <c r="C101" s="101">
        <v>49.97</v>
      </c>
      <c r="D101" s="101">
        <v>49.97</v>
      </c>
      <c r="E101" s="101">
        <v>49.97</v>
      </c>
      <c r="F101" s="101">
        <v>49.97</v>
      </c>
      <c r="G101" s="101">
        <v>49.97</v>
      </c>
      <c r="H101" s="101">
        <v>49.93</v>
      </c>
      <c r="I101" s="101">
        <v>50.09</v>
      </c>
      <c r="J101" s="101">
        <v>50</v>
      </c>
      <c r="K101" s="101">
        <v>50</v>
      </c>
      <c r="L101" s="101">
        <v>50</v>
      </c>
      <c r="M101" s="101">
        <v>49.99</v>
      </c>
      <c r="N101" s="101">
        <v>50</v>
      </c>
      <c r="O101" s="101">
        <v>50.01</v>
      </c>
      <c r="P101" s="101">
        <v>50.012999999999998</v>
      </c>
      <c r="Q101" s="101">
        <v>50.100999999999999</v>
      </c>
      <c r="R101" s="101">
        <v>50.012</v>
      </c>
      <c r="S101" s="101">
        <v>50.014000000000003</v>
      </c>
      <c r="T101" s="101">
        <v>49.975999999999999</v>
      </c>
      <c r="U101" s="101">
        <v>50.024999999999999</v>
      </c>
      <c r="V101" s="101">
        <v>50.024999999999999</v>
      </c>
      <c r="W101" s="101">
        <v>50.040999999999997</v>
      </c>
      <c r="X101" s="101">
        <v>50.091000000000001</v>
      </c>
      <c r="Y101" s="101">
        <v>50.173000000000002</v>
      </c>
      <c r="Z101" s="101">
        <v>50.075000000000003</v>
      </c>
      <c r="AA101" s="101">
        <v>50.097999999999999</v>
      </c>
      <c r="AB101" s="101">
        <v>49.945999999999998</v>
      </c>
      <c r="AC101" s="101">
        <v>49.929000000000002</v>
      </c>
      <c r="AD101" s="101">
        <v>50.073</v>
      </c>
      <c r="AE101" s="101">
        <v>50.01</v>
      </c>
      <c r="AF101" s="101">
        <v>50.04</v>
      </c>
      <c r="AG101" s="102"/>
      <c r="AH101" s="47">
        <f t="shared" si="15"/>
        <v>50.173000000000002</v>
      </c>
      <c r="AI101" s="48">
        <f t="shared" si="16"/>
        <v>49.929000000000002</v>
      </c>
    </row>
    <row r="102" spans="1:37" x14ac:dyDescent="0.25">
      <c r="A102" s="103" t="s">
        <v>118</v>
      </c>
      <c r="B102" s="64">
        <v>123</v>
      </c>
      <c r="C102" s="64">
        <v>120</v>
      </c>
      <c r="D102" s="64">
        <v>120</v>
      </c>
      <c r="E102" s="64">
        <v>120</v>
      </c>
      <c r="F102" s="64">
        <v>120</v>
      </c>
      <c r="G102" s="64">
        <v>120</v>
      </c>
      <c r="H102" s="64">
        <v>120.7</v>
      </c>
      <c r="I102" s="64">
        <v>121.2</v>
      </c>
      <c r="J102" s="64">
        <v>121.2</v>
      </c>
      <c r="K102" s="64">
        <v>121.2</v>
      </c>
      <c r="L102" s="64">
        <v>121.2</v>
      </c>
      <c r="M102" s="64">
        <v>121.2</v>
      </c>
      <c r="N102" s="64">
        <v>121.2</v>
      </c>
      <c r="O102" s="64">
        <v>121.2</v>
      </c>
      <c r="P102" s="64">
        <v>118.6</v>
      </c>
      <c r="Q102" s="64">
        <v>117.9</v>
      </c>
      <c r="R102" s="64">
        <v>117.9</v>
      </c>
      <c r="S102" s="64">
        <v>122</v>
      </c>
      <c r="T102" s="64">
        <v>120.1</v>
      </c>
      <c r="U102" s="64">
        <v>120.3</v>
      </c>
      <c r="V102" s="64">
        <v>120.3</v>
      </c>
      <c r="W102" s="64">
        <v>123.5</v>
      </c>
      <c r="X102" s="64">
        <v>123</v>
      </c>
      <c r="Y102" s="64">
        <v>124.1</v>
      </c>
      <c r="Z102" s="64">
        <v>124.3</v>
      </c>
      <c r="AA102" s="64">
        <v>123.7</v>
      </c>
      <c r="AB102" s="64">
        <v>125.3</v>
      </c>
      <c r="AC102" s="64">
        <v>125.6</v>
      </c>
      <c r="AD102" s="64">
        <v>125.6</v>
      </c>
      <c r="AE102" s="64">
        <v>125.2</v>
      </c>
      <c r="AF102" s="64">
        <v>121.1</v>
      </c>
      <c r="AG102" s="104"/>
      <c r="AH102" s="47">
        <f t="shared" si="15"/>
        <v>125.6</v>
      </c>
      <c r="AI102" s="48">
        <f t="shared" si="16"/>
        <v>117.9</v>
      </c>
    </row>
    <row r="103" spans="1:37" x14ac:dyDescent="0.25">
      <c r="A103" s="103" t="s">
        <v>119</v>
      </c>
      <c r="B103" s="64">
        <v>129</v>
      </c>
      <c r="C103" s="64">
        <v>127</v>
      </c>
      <c r="D103" s="64">
        <v>127</v>
      </c>
      <c r="E103" s="64">
        <v>127</v>
      </c>
      <c r="F103" s="64">
        <v>127</v>
      </c>
      <c r="G103" s="64">
        <v>127</v>
      </c>
      <c r="H103" s="64">
        <v>132.1</v>
      </c>
      <c r="I103" s="64">
        <v>126.8</v>
      </c>
      <c r="J103" s="64">
        <v>125.8</v>
      </c>
      <c r="K103" s="64">
        <v>125.8</v>
      </c>
      <c r="L103" s="64">
        <v>125.8</v>
      </c>
      <c r="M103" s="64">
        <v>125.8</v>
      </c>
      <c r="N103" s="64">
        <v>125.8</v>
      </c>
      <c r="O103" s="64">
        <v>125.8</v>
      </c>
      <c r="P103" s="64">
        <v>123.9</v>
      </c>
      <c r="Q103" s="64">
        <v>123.9</v>
      </c>
      <c r="R103" s="64">
        <v>123.9</v>
      </c>
      <c r="S103" s="64">
        <v>126.2</v>
      </c>
      <c r="T103" s="64">
        <v>123.6</v>
      </c>
      <c r="U103" s="64">
        <v>123.8</v>
      </c>
      <c r="V103" s="64">
        <v>123.8</v>
      </c>
      <c r="W103" s="64">
        <v>126.4</v>
      </c>
      <c r="X103" s="64">
        <v>127</v>
      </c>
      <c r="Y103" s="64">
        <v>127.1</v>
      </c>
      <c r="Z103" s="64">
        <v>127.5</v>
      </c>
      <c r="AA103" s="64">
        <v>126.9</v>
      </c>
      <c r="AB103" s="64">
        <v>128.4</v>
      </c>
      <c r="AC103" s="64">
        <v>128.6</v>
      </c>
      <c r="AD103" s="64">
        <v>129.5</v>
      </c>
      <c r="AE103" s="64">
        <v>129.4</v>
      </c>
      <c r="AF103" s="64">
        <v>127</v>
      </c>
      <c r="AG103" s="104"/>
      <c r="AH103" s="47">
        <f t="shared" si="15"/>
        <v>132.1</v>
      </c>
      <c r="AI103" s="48">
        <f t="shared" si="16"/>
        <v>123.6</v>
      </c>
    </row>
    <row r="104" spans="1:37" x14ac:dyDescent="0.25">
      <c r="A104" s="103" t="s">
        <v>120</v>
      </c>
      <c r="B104" s="64">
        <v>129</v>
      </c>
      <c r="C104" s="64">
        <v>127</v>
      </c>
      <c r="D104" s="64">
        <v>127</v>
      </c>
      <c r="E104" s="64">
        <v>127</v>
      </c>
      <c r="F104" s="64">
        <v>127</v>
      </c>
      <c r="G104" s="64">
        <v>127</v>
      </c>
      <c r="H104" s="64">
        <v>132.1</v>
      </c>
      <c r="I104" s="64">
        <v>129.19999999999999</v>
      </c>
      <c r="J104" s="64">
        <v>127</v>
      </c>
      <c r="K104" s="64">
        <v>127</v>
      </c>
      <c r="L104" s="64">
        <v>127</v>
      </c>
      <c r="M104" s="64">
        <v>127</v>
      </c>
      <c r="N104" s="64">
        <v>127</v>
      </c>
      <c r="O104" s="64">
        <v>127</v>
      </c>
      <c r="P104" s="64">
        <v>129.6</v>
      </c>
      <c r="Q104" s="64">
        <v>129.6</v>
      </c>
      <c r="R104" s="64">
        <v>129.6</v>
      </c>
      <c r="S104" s="64">
        <v>128</v>
      </c>
      <c r="T104" s="64">
        <v>125.2</v>
      </c>
      <c r="U104" s="64">
        <v>129.1</v>
      </c>
      <c r="V104" s="64">
        <v>129.1</v>
      </c>
      <c r="W104" s="64">
        <v>127.3</v>
      </c>
      <c r="X104" s="64">
        <v>128</v>
      </c>
      <c r="Y104" s="64">
        <v>127.8</v>
      </c>
      <c r="Z104" s="64">
        <v>127.6</v>
      </c>
      <c r="AA104" s="64">
        <v>128.6</v>
      </c>
      <c r="AB104" s="64">
        <v>130.5</v>
      </c>
      <c r="AC104" s="64">
        <v>129.9</v>
      </c>
      <c r="AD104" s="64">
        <v>127.7</v>
      </c>
      <c r="AE104" s="64">
        <v>128.9</v>
      </c>
      <c r="AF104" s="64">
        <v>130.30000000000001</v>
      </c>
      <c r="AG104" s="104"/>
      <c r="AH104" s="47">
        <f t="shared" si="15"/>
        <v>132.1</v>
      </c>
      <c r="AI104" s="48">
        <f t="shared" si="16"/>
        <v>125.2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5"/>
        <v>0</v>
      </c>
      <c r="AI105" s="48">
        <f t="shared" si="16"/>
        <v>0</v>
      </c>
    </row>
    <row r="106" spans="1:37" x14ac:dyDescent="0.25">
      <c r="A106" s="105" t="s">
        <v>122</v>
      </c>
      <c r="B106" s="106">
        <v>132</v>
      </c>
      <c r="C106" s="106">
        <v>133</v>
      </c>
      <c r="D106" s="106">
        <v>133</v>
      </c>
      <c r="E106" s="106">
        <v>133</v>
      </c>
      <c r="F106" s="106">
        <v>133</v>
      </c>
      <c r="G106" s="106">
        <v>133</v>
      </c>
      <c r="H106" s="106">
        <v>133.6</v>
      </c>
      <c r="I106" s="106">
        <v>133</v>
      </c>
      <c r="J106" s="106">
        <v>134.5</v>
      </c>
      <c r="K106" s="106">
        <v>134.5</v>
      </c>
      <c r="L106" s="106">
        <v>134.5</v>
      </c>
      <c r="M106" s="106">
        <v>134.5</v>
      </c>
      <c r="N106" s="106">
        <v>134.5</v>
      </c>
      <c r="O106" s="106">
        <v>134.5</v>
      </c>
      <c r="P106" s="106">
        <v>128</v>
      </c>
      <c r="Q106" s="106">
        <v>128</v>
      </c>
      <c r="R106" s="106">
        <v>128</v>
      </c>
      <c r="S106" s="106">
        <v>132</v>
      </c>
      <c r="T106" s="106">
        <v>128.69999999999999</v>
      </c>
      <c r="U106" s="106">
        <v>132.1</v>
      </c>
      <c r="V106" s="106">
        <v>132.1</v>
      </c>
      <c r="W106" s="106">
        <v>135.30000000000001</v>
      </c>
      <c r="X106" s="106">
        <v>131.19999999999999</v>
      </c>
      <c r="Y106" s="106">
        <v>133.6</v>
      </c>
      <c r="Z106" s="106">
        <v>131.9</v>
      </c>
      <c r="AA106" s="106">
        <v>129</v>
      </c>
      <c r="AB106" s="106">
        <v>132.5</v>
      </c>
      <c r="AC106" s="106">
        <v>131.30000000000001</v>
      </c>
      <c r="AD106" s="106">
        <v>132.30000000000001</v>
      </c>
      <c r="AE106" s="106">
        <v>128.1</v>
      </c>
      <c r="AF106" s="106">
        <v>132.30000000000001</v>
      </c>
      <c r="AG106" s="107"/>
      <c r="AH106" s="47">
        <f t="shared" si="15"/>
        <v>135.30000000000001</v>
      </c>
      <c r="AI106" s="48">
        <f t="shared" si="16"/>
        <v>128</v>
      </c>
    </row>
    <row r="107" spans="1:37" x14ac:dyDescent="0.25">
      <c r="A107" s="103" t="s">
        <v>123</v>
      </c>
      <c r="B107" s="64">
        <v>127</v>
      </c>
      <c r="C107" s="64">
        <v>127</v>
      </c>
      <c r="D107" s="64">
        <v>127</v>
      </c>
      <c r="E107" s="64">
        <v>127</v>
      </c>
      <c r="F107" s="64">
        <v>127</v>
      </c>
      <c r="G107" s="64">
        <v>127</v>
      </c>
      <c r="H107" s="64">
        <v>130.80000000000001</v>
      </c>
      <c r="I107" s="64">
        <v>126.1</v>
      </c>
      <c r="J107" s="64">
        <v>126.1</v>
      </c>
      <c r="K107" s="64">
        <v>126.1</v>
      </c>
      <c r="L107" s="64">
        <v>126.1</v>
      </c>
      <c r="M107" s="64">
        <v>126.1</v>
      </c>
      <c r="N107" s="64">
        <v>126.1</v>
      </c>
      <c r="O107" s="64">
        <v>126.1</v>
      </c>
      <c r="P107" s="64">
        <v>127</v>
      </c>
      <c r="Q107" s="64">
        <v>127</v>
      </c>
      <c r="R107" s="64">
        <v>127</v>
      </c>
      <c r="S107" s="64">
        <v>142</v>
      </c>
      <c r="T107" s="64">
        <v>121.1</v>
      </c>
      <c r="U107" s="64">
        <v>134</v>
      </c>
      <c r="V107" s="64">
        <v>134</v>
      </c>
      <c r="W107" s="64"/>
      <c r="X107" s="64">
        <v>130</v>
      </c>
      <c r="Y107" s="64">
        <v>127.2</v>
      </c>
      <c r="Z107" s="64">
        <v>118</v>
      </c>
      <c r="AA107" s="64">
        <v>126.6</v>
      </c>
      <c r="AB107" s="64">
        <v>131.5</v>
      </c>
      <c r="AC107" s="64">
        <v>122.1</v>
      </c>
      <c r="AD107" s="64">
        <v>131.9</v>
      </c>
      <c r="AE107" s="64">
        <v>128.19999999999999</v>
      </c>
      <c r="AF107" s="64">
        <v>130.80000000000001</v>
      </c>
      <c r="AG107" s="104"/>
      <c r="AH107" s="47">
        <f t="shared" si="15"/>
        <v>142</v>
      </c>
      <c r="AI107" s="48">
        <f t="shared" si="16"/>
        <v>118</v>
      </c>
    </row>
    <row r="108" spans="1:37" ht="15.75" thickBot="1" x14ac:dyDescent="0.3">
      <c r="A108" s="103" t="s">
        <v>124</v>
      </c>
      <c r="B108" s="92">
        <v>64.400000000000006</v>
      </c>
      <c r="C108" s="92">
        <v>63.6</v>
      </c>
      <c r="D108" s="92">
        <v>63.6</v>
      </c>
      <c r="E108" s="92">
        <v>63.6</v>
      </c>
      <c r="F108" s="92">
        <v>63.6</v>
      </c>
      <c r="G108" s="92">
        <v>63.6</v>
      </c>
      <c r="H108" s="92">
        <v>63.1</v>
      </c>
      <c r="I108" s="92">
        <v>63.2</v>
      </c>
      <c r="J108" s="92">
        <v>63.2</v>
      </c>
      <c r="K108" s="92">
        <v>63.2</v>
      </c>
      <c r="L108" s="92">
        <v>63.2</v>
      </c>
      <c r="M108" s="92">
        <v>63.2</v>
      </c>
      <c r="N108" s="92">
        <v>63.2</v>
      </c>
      <c r="O108" s="92">
        <v>63.2</v>
      </c>
      <c r="P108" s="92">
        <v>62</v>
      </c>
      <c r="Q108" s="92">
        <v>62</v>
      </c>
      <c r="R108" s="92">
        <v>62</v>
      </c>
      <c r="S108" s="92">
        <v>62.8</v>
      </c>
      <c r="T108" s="92">
        <v>61.6</v>
      </c>
      <c r="U108" s="92">
        <v>61.4</v>
      </c>
      <c r="V108" s="92">
        <v>61.4</v>
      </c>
      <c r="W108" s="92">
        <v>62.8</v>
      </c>
      <c r="X108" s="92">
        <v>64</v>
      </c>
      <c r="Y108" s="92">
        <v>63.3</v>
      </c>
      <c r="Z108" s="92">
        <v>63.6</v>
      </c>
      <c r="AA108" s="92">
        <v>63.7</v>
      </c>
      <c r="AB108" s="92">
        <v>64.3</v>
      </c>
      <c r="AC108" s="92">
        <v>64.599999999999994</v>
      </c>
      <c r="AD108" s="92">
        <v>64.900000000000006</v>
      </c>
      <c r="AE108" s="92">
        <v>65.400000000000006</v>
      </c>
      <c r="AF108" s="92">
        <v>63.9</v>
      </c>
      <c r="AG108" s="108"/>
      <c r="AH108" s="47">
        <f t="shared" si="15"/>
        <v>65.400000000000006</v>
      </c>
      <c r="AI108" s="48">
        <f t="shared" si="16"/>
        <v>61.4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5"/>
        <v>0</v>
      </c>
      <c r="AI109" s="48">
        <f t="shared" si="16"/>
        <v>0</v>
      </c>
    </row>
    <row r="110" spans="1:37" ht="15.75" thickBot="1" x14ac:dyDescent="0.3">
      <c r="A110" s="110" t="s">
        <v>126</v>
      </c>
      <c r="B110" s="111">
        <f t="shared" ref="B110:O110" si="28">SUM(B20,B26,B29:B30,B58,B60:B61,B63,B65,B111:B115,B138,B144,B150,B159,B161,B173,B180,B183:B184,B191,B193,B195,B199:B201,B203:B205,B210,B216:B217,B219:B221,B229,B234)</f>
        <v>77.5</v>
      </c>
      <c r="C110" s="111">
        <f t="shared" si="28"/>
        <v>85.84</v>
      </c>
      <c r="D110" s="111">
        <f t="shared" si="28"/>
        <v>85.84</v>
      </c>
      <c r="E110" s="111">
        <f t="shared" si="28"/>
        <v>85.84</v>
      </c>
      <c r="F110" s="111">
        <f t="shared" si="28"/>
        <v>85.84</v>
      </c>
      <c r="G110" s="111">
        <f t="shared" si="28"/>
        <v>85.84</v>
      </c>
      <c r="H110" s="111">
        <f t="shared" si="28"/>
        <v>155.84</v>
      </c>
      <c r="I110" s="111">
        <f t="shared" si="28"/>
        <v>174.74</v>
      </c>
      <c r="J110" s="111">
        <f t="shared" si="28"/>
        <v>237.14000000000001</v>
      </c>
      <c r="K110" s="111">
        <f t="shared" ref="K110:L110" si="29">SUM(K20,K26,K29:K30,K58,K60:K61,K63,K65,K111:K115,K138,K144,K150,K159,K161,K173,K180,K183:K184,K191,K193,K195,K199:K201,K203:K205,K210,K216:K217,K219:K221,K229,K234)</f>
        <v>237.14000000000001</v>
      </c>
      <c r="L110" s="111">
        <f t="shared" si="29"/>
        <v>237.14000000000001</v>
      </c>
      <c r="M110" s="111">
        <f t="shared" si="28"/>
        <v>161.44</v>
      </c>
      <c r="N110" s="111">
        <f t="shared" si="28"/>
        <v>235.44</v>
      </c>
      <c r="O110" s="111">
        <f t="shared" si="28"/>
        <v>231.24</v>
      </c>
      <c r="P110" s="111">
        <v>42</v>
      </c>
      <c r="Q110" s="111">
        <f t="shared" ref="Q110:AF110" si="30">SUM(Q20,Q26,Q29:Q30,Q58,Q60:Q61,Q63,Q65,Q111:Q115,Q138,Q144,Q150,Q159,Q161,Q173,Q180,Q183:Q184,Q191,Q193,Q195,Q199:Q201,Q203:Q205,Q210,Q216:Q217,Q219:Q221,Q229,Q234)</f>
        <v>226.59999999999997</v>
      </c>
      <c r="R110" s="111">
        <f t="shared" si="30"/>
        <v>224.8</v>
      </c>
      <c r="S110" s="111">
        <f t="shared" si="30"/>
        <v>223.8</v>
      </c>
      <c r="T110" s="111">
        <f t="shared" si="30"/>
        <v>219.89999999999998</v>
      </c>
      <c r="U110" s="111">
        <f t="shared" si="30"/>
        <v>217.7</v>
      </c>
      <c r="V110" s="111">
        <f t="shared" si="30"/>
        <v>217.7</v>
      </c>
      <c r="W110" s="111">
        <f t="shared" si="30"/>
        <v>190.1</v>
      </c>
      <c r="X110" s="111">
        <f t="shared" si="30"/>
        <v>215.3</v>
      </c>
      <c r="Y110" s="111">
        <f t="shared" si="30"/>
        <v>242.3</v>
      </c>
      <c r="Z110" s="111">
        <f t="shared" si="30"/>
        <v>247.60000000000002</v>
      </c>
      <c r="AA110" s="111">
        <f t="shared" si="30"/>
        <v>280.89999999999998</v>
      </c>
      <c r="AB110" s="111">
        <f t="shared" si="30"/>
        <v>148.79999999999995</v>
      </c>
      <c r="AC110" s="111">
        <f t="shared" si="30"/>
        <v>146.49999999999997</v>
      </c>
      <c r="AD110" s="111"/>
      <c r="AE110" s="111">
        <f t="shared" si="30"/>
        <v>94.999999999999972</v>
      </c>
      <c r="AF110" s="111">
        <f t="shared" si="30"/>
        <v>63.700000000000017</v>
      </c>
      <c r="AG110" s="112"/>
      <c r="AH110" s="47">
        <f t="shared" si="15"/>
        <v>280.89999999999998</v>
      </c>
      <c r="AI110" s="48">
        <f t="shared" si="16"/>
        <v>42</v>
      </c>
    </row>
    <row r="111" spans="1:37" x14ac:dyDescent="0.25">
      <c r="A111" s="100" t="s">
        <v>127</v>
      </c>
      <c r="B111" s="113">
        <v>21</v>
      </c>
      <c r="C111" s="113">
        <v>30</v>
      </c>
      <c r="D111" s="113">
        <v>30</v>
      </c>
      <c r="E111" s="113">
        <v>30</v>
      </c>
      <c r="F111" s="113">
        <v>30</v>
      </c>
      <c r="G111" s="113">
        <v>30</v>
      </c>
      <c r="H111" s="113">
        <v>36.9</v>
      </c>
      <c r="I111" s="113">
        <v>22.3</v>
      </c>
      <c r="J111" s="113">
        <v>40.4</v>
      </c>
      <c r="K111" s="113">
        <v>40.4</v>
      </c>
      <c r="L111" s="113">
        <v>40.4</v>
      </c>
      <c r="M111" s="113"/>
      <c r="N111" s="113">
        <v>45</v>
      </c>
      <c r="O111" s="113">
        <v>69.8</v>
      </c>
      <c r="P111" s="113">
        <v>67.2</v>
      </c>
      <c r="Q111" s="113">
        <v>65.5</v>
      </c>
      <c r="R111" s="113">
        <v>30.2</v>
      </c>
      <c r="S111" s="113">
        <v>14.3</v>
      </c>
      <c r="T111" s="113">
        <v>15.4</v>
      </c>
      <c r="U111" s="113">
        <v>20</v>
      </c>
      <c r="V111" s="113">
        <v>20</v>
      </c>
      <c r="W111" s="113">
        <v>17.899999999999999</v>
      </c>
      <c r="X111" s="113">
        <v>24.2</v>
      </c>
      <c r="Y111" s="113">
        <v>30.1</v>
      </c>
      <c r="Z111" s="113">
        <v>26.3</v>
      </c>
      <c r="AA111" s="113">
        <v>33.200000000000003</v>
      </c>
      <c r="AB111" s="113">
        <v>24.6</v>
      </c>
      <c r="AC111" s="113">
        <v>22.9</v>
      </c>
      <c r="AD111" s="113">
        <v>16.7</v>
      </c>
      <c r="AE111" s="113">
        <v>16.7</v>
      </c>
      <c r="AF111" s="113">
        <v>17.600000000000001</v>
      </c>
      <c r="AG111" s="114">
        <v>75</v>
      </c>
      <c r="AH111" s="47">
        <f t="shared" si="15"/>
        <v>69.8</v>
      </c>
      <c r="AI111" s="48">
        <f t="shared" si="16"/>
        <v>14.3</v>
      </c>
    </row>
    <row r="112" spans="1:37" x14ac:dyDescent="0.25">
      <c r="A112" s="103" t="s">
        <v>128</v>
      </c>
      <c r="B112" s="115">
        <v>40</v>
      </c>
      <c r="C112" s="115">
        <v>55</v>
      </c>
      <c r="D112" s="115">
        <v>55</v>
      </c>
      <c r="E112" s="115">
        <v>55</v>
      </c>
      <c r="F112" s="115">
        <v>55</v>
      </c>
      <c r="G112" s="115">
        <v>55</v>
      </c>
      <c r="H112" s="115">
        <v>58.2</v>
      </c>
      <c r="I112" s="115">
        <v>40.4</v>
      </c>
      <c r="J112" s="115">
        <v>57.5</v>
      </c>
      <c r="K112" s="115">
        <v>57.5</v>
      </c>
      <c r="L112" s="115">
        <v>57.5</v>
      </c>
      <c r="M112" s="115"/>
      <c r="N112" s="115">
        <v>85</v>
      </c>
      <c r="O112" s="115">
        <v>100.7</v>
      </c>
      <c r="P112" s="115">
        <v>97.3</v>
      </c>
      <c r="Q112" s="115">
        <v>97.5</v>
      </c>
      <c r="R112" s="115">
        <v>48.3</v>
      </c>
      <c r="S112" s="115">
        <v>23.5</v>
      </c>
      <c r="T112" s="115">
        <v>29.7</v>
      </c>
      <c r="U112" s="115">
        <v>35</v>
      </c>
      <c r="V112" s="115">
        <v>35</v>
      </c>
      <c r="W112" s="115">
        <f>-35.7-39.9</f>
        <v>-75.599999999999994</v>
      </c>
      <c r="X112" s="115">
        <v>41.3</v>
      </c>
      <c r="Y112" s="115">
        <v>49.4</v>
      </c>
      <c r="Z112" s="115">
        <v>35.9</v>
      </c>
      <c r="AA112" s="115">
        <v>49.3</v>
      </c>
      <c r="AB112" s="115">
        <v>38.299999999999997</v>
      </c>
      <c r="AC112" s="115">
        <v>37.299999999999997</v>
      </c>
      <c r="AD112" s="115">
        <v>28</v>
      </c>
      <c r="AE112" s="115">
        <v>30.5</v>
      </c>
      <c r="AF112" s="115">
        <v>33.9</v>
      </c>
      <c r="AG112" s="114">
        <v>240</v>
      </c>
      <c r="AH112" s="47">
        <f t="shared" si="15"/>
        <v>100.7</v>
      </c>
      <c r="AI112" s="48">
        <f t="shared" si="16"/>
        <v>-75.599999999999994</v>
      </c>
    </row>
    <row r="113" spans="1:37" x14ac:dyDescent="0.25">
      <c r="A113" s="103" t="s">
        <v>129</v>
      </c>
      <c r="B113" s="115">
        <v>-140</v>
      </c>
      <c r="C113" s="115">
        <v>-160</v>
      </c>
      <c r="D113" s="115">
        <v>-160</v>
      </c>
      <c r="E113" s="115">
        <v>-160</v>
      </c>
      <c r="F113" s="115">
        <v>-160</v>
      </c>
      <c r="G113" s="115">
        <v>-160</v>
      </c>
      <c r="H113" s="115">
        <f>-53.9-57.7</f>
        <v>-111.6</v>
      </c>
      <c r="I113" s="115">
        <f>-32.7-34.8</f>
        <v>-67.5</v>
      </c>
      <c r="J113" s="115">
        <f>-36.1-39</f>
        <v>-75.099999999999994</v>
      </c>
      <c r="K113" s="115">
        <f t="shared" ref="K113:L113" si="31">-36.1-39</f>
        <v>-75.099999999999994</v>
      </c>
      <c r="L113" s="115">
        <f t="shared" si="31"/>
        <v>-75.099999999999994</v>
      </c>
      <c r="M113" s="115"/>
      <c r="N113" s="115">
        <v>-92</v>
      </c>
      <c r="O113" s="115">
        <v>-154</v>
      </c>
      <c r="P113" s="115">
        <v>-165</v>
      </c>
      <c r="Q113" s="115">
        <v>-144.4</v>
      </c>
      <c r="R113" s="115">
        <v>-65.5</v>
      </c>
      <c r="S113" s="115">
        <v>-60</v>
      </c>
      <c r="T113" s="115">
        <v>-68</v>
      </c>
      <c r="U113" s="115">
        <v>-80</v>
      </c>
      <c r="V113" s="115">
        <v>-80</v>
      </c>
      <c r="W113" s="115">
        <v>15.5</v>
      </c>
      <c r="X113" s="115">
        <v>-77</v>
      </c>
      <c r="Y113" s="115">
        <v>-68</v>
      </c>
      <c r="Z113" s="115">
        <v>-60</v>
      </c>
      <c r="AA113" s="115">
        <v>-65</v>
      </c>
      <c r="AB113" s="115">
        <v>-125</v>
      </c>
      <c r="AC113" s="115">
        <v>-127</v>
      </c>
      <c r="AD113" s="115">
        <v>-140</v>
      </c>
      <c r="AE113" s="115">
        <f>-51.2-58.5</f>
        <v>-109.7</v>
      </c>
      <c r="AF113" s="115">
        <f>-69-74.7</f>
        <v>-143.69999999999999</v>
      </c>
      <c r="AG113" s="114">
        <v>240</v>
      </c>
      <c r="AH113" s="47">
        <f t="shared" si="15"/>
        <v>15.5</v>
      </c>
      <c r="AI113" s="48">
        <f t="shared" si="16"/>
        <v>-165</v>
      </c>
    </row>
    <row r="114" spans="1:37" x14ac:dyDescent="0.25">
      <c r="A114" s="103" t="s">
        <v>130</v>
      </c>
      <c r="B114" s="115">
        <v>-21</v>
      </c>
      <c r="C114" s="115">
        <v>-18</v>
      </c>
      <c r="D114" s="115">
        <v>-18</v>
      </c>
      <c r="E114" s="115">
        <v>-18</v>
      </c>
      <c r="F114" s="115">
        <v>-18</v>
      </c>
      <c r="G114" s="115">
        <v>-18</v>
      </c>
      <c r="H114" s="115">
        <v>-4.5</v>
      </c>
      <c r="I114" s="115">
        <v>2.6</v>
      </c>
      <c r="J114" s="115">
        <v>1.6</v>
      </c>
      <c r="K114" s="115">
        <v>1.6</v>
      </c>
      <c r="L114" s="115">
        <v>1.6</v>
      </c>
      <c r="M114" s="115"/>
      <c r="N114" s="115">
        <v>2</v>
      </c>
      <c r="O114" s="115">
        <v>13.6</v>
      </c>
      <c r="P114" s="115">
        <v>17</v>
      </c>
      <c r="Q114" s="115">
        <v>7.2</v>
      </c>
      <c r="R114" s="115">
        <v>4.3</v>
      </c>
      <c r="S114" s="115">
        <v>27</v>
      </c>
      <c r="T114" s="115">
        <v>14</v>
      </c>
      <c r="U114" s="115">
        <v>15</v>
      </c>
      <c r="V114" s="115">
        <v>15</v>
      </c>
      <c r="W114" s="115">
        <v>15.6</v>
      </c>
      <c r="X114" s="115">
        <v>15</v>
      </c>
      <c r="Y114" s="115">
        <v>16</v>
      </c>
      <c r="Z114" s="115">
        <v>20</v>
      </c>
      <c r="AA114" s="115">
        <v>20.2</v>
      </c>
      <c r="AB114" s="115">
        <v>30</v>
      </c>
      <c r="AC114" s="115">
        <v>36.299999999999997</v>
      </c>
      <c r="AD114" s="115">
        <v>34.9</v>
      </c>
      <c r="AE114" s="115">
        <v>14.7</v>
      </c>
      <c r="AF114" s="115">
        <v>-4.9000000000000004</v>
      </c>
      <c r="AG114" s="114">
        <v>60</v>
      </c>
      <c r="AH114" s="47">
        <f t="shared" si="15"/>
        <v>36.299999999999997</v>
      </c>
      <c r="AI114" s="48">
        <f t="shared" si="16"/>
        <v>-21</v>
      </c>
    </row>
    <row r="115" spans="1:37" x14ac:dyDescent="0.25">
      <c r="A115" s="116" t="s">
        <v>131</v>
      </c>
      <c r="B115" s="117">
        <v>15.6</v>
      </c>
      <c r="C115" s="117">
        <v>16</v>
      </c>
      <c r="D115" s="117">
        <v>16</v>
      </c>
      <c r="E115" s="117">
        <v>16</v>
      </c>
      <c r="F115" s="117">
        <v>16</v>
      </c>
      <c r="G115" s="117">
        <v>16</v>
      </c>
      <c r="H115" s="117">
        <v>14</v>
      </c>
      <c r="I115" s="117">
        <v>14.1</v>
      </c>
      <c r="J115" s="117">
        <v>49.9</v>
      </c>
      <c r="K115" s="117">
        <v>49.9</v>
      </c>
      <c r="L115" s="117">
        <v>49.9</v>
      </c>
      <c r="M115" s="117"/>
      <c r="N115" s="117">
        <v>52</v>
      </c>
      <c r="O115" s="117">
        <v>56.7</v>
      </c>
      <c r="P115" s="117">
        <v>57.7</v>
      </c>
      <c r="Q115" s="117">
        <v>63.8</v>
      </c>
      <c r="R115" s="117">
        <v>70.5</v>
      </c>
      <c r="S115" s="117">
        <v>77</v>
      </c>
      <c r="T115" s="117">
        <v>72</v>
      </c>
      <c r="U115" s="117">
        <v>73</v>
      </c>
      <c r="V115" s="117">
        <v>73</v>
      </c>
      <c r="W115" s="117">
        <v>63.5</v>
      </c>
      <c r="X115" s="117">
        <v>59</v>
      </c>
      <c r="Y115" s="117">
        <v>62</v>
      </c>
      <c r="Z115" s="117">
        <v>71</v>
      </c>
      <c r="AA115" s="117">
        <v>84</v>
      </c>
      <c r="AB115" s="117">
        <v>44.7</v>
      </c>
      <c r="AC115" s="117">
        <v>40.799999999999997</v>
      </c>
      <c r="AD115" s="117">
        <v>45.5</v>
      </c>
      <c r="AE115" s="117">
        <v>0</v>
      </c>
      <c r="AF115" s="117">
        <v>18.8</v>
      </c>
      <c r="AG115" s="118">
        <v>120</v>
      </c>
      <c r="AH115" s="47">
        <f t="shared" si="15"/>
        <v>84</v>
      </c>
      <c r="AI115" s="48">
        <f t="shared" si="16"/>
        <v>0</v>
      </c>
    </row>
    <row r="116" spans="1:37" x14ac:dyDescent="0.25">
      <c r="A116" s="116" t="s">
        <v>132</v>
      </c>
      <c r="B116" s="117">
        <v>74</v>
      </c>
      <c r="C116" s="117">
        <v>73</v>
      </c>
      <c r="D116" s="117">
        <v>73</v>
      </c>
      <c r="E116" s="117">
        <v>73</v>
      </c>
      <c r="F116" s="117">
        <v>73</v>
      </c>
      <c r="G116" s="117">
        <v>73</v>
      </c>
      <c r="H116" s="117">
        <v>80.2</v>
      </c>
      <c r="I116" s="117">
        <v>93.6</v>
      </c>
      <c r="J116" s="117">
        <v>61.5</v>
      </c>
      <c r="K116" s="117">
        <v>61.5</v>
      </c>
      <c r="L116" s="117">
        <v>61.5</v>
      </c>
      <c r="M116" s="117"/>
      <c r="N116" s="117">
        <v>61</v>
      </c>
      <c r="O116" s="117">
        <v>87.9</v>
      </c>
      <c r="P116" s="117">
        <v>80</v>
      </c>
      <c r="Q116" s="117">
        <v>78.099999999999994</v>
      </c>
      <c r="R116" s="117">
        <v>72.2</v>
      </c>
      <c r="S116" s="117">
        <v>77</v>
      </c>
      <c r="T116" s="117">
        <v>69</v>
      </c>
      <c r="U116" s="117">
        <v>75</v>
      </c>
      <c r="V116" s="117">
        <v>75</v>
      </c>
      <c r="W116" s="117">
        <v>61.1</v>
      </c>
      <c r="X116" s="117">
        <v>64</v>
      </c>
      <c r="Y116" s="117">
        <v>60</v>
      </c>
      <c r="Z116" s="117">
        <v>62</v>
      </c>
      <c r="AA116" s="117">
        <v>64</v>
      </c>
      <c r="AB116" s="117">
        <v>48.6</v>
      </c>
      <c r="AC116" s="117">
        <v>49.8</v>
      </c>
      <c r="AD116" s="117">
        <v>43.3</v>
      </c>
      <c r="AE116" s="117">
        <v>51.4</v>
      </c>
      <c r="AF116" s="117">
        <v>48.4</v>
      </c>
      <c r="AG116" s="118"/>
      <c r="AH116" s="47">
        <f t="shared" si="15"/>
        <v>93.6</v>
      </c>
      <c r="AI116" s="48">
        <f t="shared" si="16"/>
        <v>43.3</v>
      </c>
    </row>
    <row r="117" spans="1:37" x14ac:dyDescent="0.25">
      <c r="A117" s="116" t="s">
        <v>133</v>
      </c>
      <c r="B117" s="117">
        <v>80</v>
      </c>
      <c r="C117" s="117">
        <v>52</v>
      </c>
      <c r="D117" s="117">
        <v>52</v>
      </c>
      <c r="E117" s="117">
        <v>52</v>
      </c>
      <c r="F117" s="117">
        <v>52</v>
      </c>
      <c r="G117" s="117">
        <v>52</v>
      </c>
      <c r="H117" s="117">
        <v>16.899999999999999</v>
      </c>
      <c r="I117" s="117">
        <v>38</v>
      </c>
      <c r="J117" s="117">
        <v>38</v>
      </c>
      <c r="K117" s="117">
        <v>38</v>
      </c>
      <c r="L117" s="117">
        <v>38</v>
      </c>
      <c r="M117" s="117"/>
      <c r="N117" s="117">
        <v>0</v>
      </c>
      <c r="O117" s="117">
        <v>0</v>
      </c>
      <c r="P117" s="117">
        <v>0</v>
      </c>
      <c r="Q117" s="117">
        <v>0</v>
      </c>
      <c r="R117" s="117">
        <v>-1.5</v>
      </c>
      <c r="S117" s="117">
        <v>0</v>
      </c>
      <c r="T117" s="117">
        <v>0.3</v>
      </c>
      <c r="U117" s="117">
        <v>-2</v>
      </c>
      <c r="V117" s="117">
        <v>-2</v>
      </c>
      <c r="W117" s="117">
        <v>11.2</v>
      </c>
      <c r="X117" s="117">
        <v>11</v>
      </c>
      <c r="Y117" s="117">
        <v>-9</v>
      </c>
      <c r="Z117" s="117">
        <v>-8</v>
      </c>
      <c r="AA117" s="117">
        <v>20</v>
      </c>
      <c r="AB117" s="117">
        <v>23.5</v>
      </c>
      <c r="AC117" s="117">
        <v>19.600000000000001</v>
      </c>
      <c r="AD117" s="117">
        <v>26.5</v>
      </c>
      <c r="AE117" s="117">
        <v>25.7</v>
      </c>
      <c r="AF117" s="117">
        <v>12.2</v>
      </c>
      <c r="AG117" s="119"/>
      <c r="AH117" s="47">
        <f t="shared" si="15"/>
        <v>80</v>
      </c>
      <c r="AI117" s="48">
        <f t="shared" si="16"/>
        <v>-9</v>
      </c>
    </row>
    <row r="118" spans="1:37" x14ac:dyDescent="0.25">
      <c r="A118" s="120" t="s">
        <v>134</v>
      </c>
      <c r="B118" s="106">
        <v>-49</v>
      </c>
      <c r="C118" s="106">
        <v>-51</v>
      </c>
      <c r="D118" s="106">
        <v>-51</v>
      </c>
      <c r="E118" s="106">
        <v>-51</v>
      </c>
      <c r="F118" s="106">
        <v>-51</v>
      </c>
      <c r="G118" s="106">
        <v>-51</v>
      </c>
      <c r="H118" s="106">
        <v>56.6</v>
      </c>
      <c r="I118" s="106">
        <v>57.5</v>
      </c>
      <c r="J118" s="106">
        <v>57.5</v>
      </c>
      <c r="K118" s="106">
        <v>57.5</v>
      </c>
      <c r="L118" s="106">
        <v>57.5</v>
      </c>
      <c r="M118" s="106"/>
      <c r="N118" s="106">
        <v>38</v>
      </c>
      <c r="O118" s="106">
        <v>33.700000000000003</v>
      </c>
      <c r="P118" s="106">
        <v>40</v>
      </c>
      <c r="Q118" s="106">
        <v>37.6</v>
      </c>
      <c r="R118" s="106">
        <v>40.200000000000003</v>
      </c>
      <c r="S118" s="106">
        <v>40</v>
      </c>
      <c r="T118" s="106">
        <v>40</v>
      </c>
      <c r="U118" s="106">
        <v>44</v>
      </c>
      <c r="V118" s="106">
        <v>44</v>
      </c>
      <c r="W118" s="106">
        <v>36.799999999999997</v>
      </c>
      <c r="X118" s="106">
        <v>38</v>
      </c>
      <c r="Y118" s="106">
        <v>34</v>
      </c>
      <c r="Z118" s="106">
        <v>30</v>
      </c>
      <c r="AA118" s="106">
        <v>30</v>
      </c>
      <c r="AB118" s="106">
        <v>35.4</v>
      </c>
      <c r="AC118" s="106">
        <v>38.299999999999997</v>
      </c>
      <c r="AD118" s="106">
        <v>42.7</v>
      </c>
      <c r="AE118" s="106">
        <v>50</v>
      </c>
      <c r="AF118" s="106">
        <v>51.5</v>
      </c>
      <c r="AG118" s="119"/>
      <c r="AH118" s="47">
        <f t="shared" si="15"/>
        <v>57.5</v>
      </c>
      <c r="AI118" s="48">
        <f t="shared" si="16"/>
        <v>-51</v>
      </c>
    </row>
    <row r="119" spans="1:37" x14ac:dyDescent="0.25">
      <c r="A119" s="121" t="s">
        <v>135</v>
      </c>
      <c r="B119" s="106">
        <v>67</v>
      </c>
      <c r="C119" s="106">
        <v>74</v>
      </c>
      <c r="D119" s="106">
        <v>74</v>
      </c>
      <c r="E119" s="106">
        <v>74</v>
      </c>
      <c r="F119" s="106">
        <v>74</v>
      </c>
      <c r="G119" s="106">
        <v>74</v>
      </c>
      <c r="H119" s="106">
        <v>51.2</v>
      </c>
      <c r="I119" s="106">
        <v>29.1</v>
      </c>
      <c r="J119" s="106">
        <v>29.1</v>
      </c>
      <c r="K119" s="106">
        <v>29.1</v>
      </c>
      <c r="L119" s="106">
        <v>29.1</v>
      </c>
      <c r="M119" s="106"/>
      <c r="N119" s="106">
        <v>0</v>
      </c>
      <c r="O119" s="106">
        <v>0</v>
      </c>
      <c r="P119" s="106">
        <v>0</v>
      </c>
      <c r="Q119" s="106">
        <v>0</v>
      </c>
      <c r="R119" s="106"/>
      <c r="S119" s="106">
        <v>0</v>
      </c>
      <c r="T119" s="106">
        <v>0</v>
      </c>
      <c r="U119" s="106">
        <v>0</v>
      </c>
      <c r="V119" s="106">
        <v>0</v>
      </c>
      <c r="W119" s="106">
        <v>0</v>
      </c>
      <c r="X119" s="106">
        <v>0</v>
      </c>
      <c r="Y119" s="106">
        <v>0</v>
      </c>
      <c r="Z119" s="106">
        <v>0</v>
      </c>
      <c r="AA119" s="106">
        <v>49</v>
      </c>
      <c r="AB119" s="106">
        <v>74.599999999999994</v>
      </c>
      <c r="AC119" s="106">
        <v>77.900000000000006</v>
      </c>
      <c r="AD119" s="106">
        <v>82.6</v>
      </c>
      <c r="AE119" s="106">
        <v>86.1</v>
      </c>
      <c r="AF119" s="106">
        <v>96.6</v>
      </c>
      <c r="AG119" s="119"/>
      <c r="AH119" s="47">
        <f t="shared" si="15"/>
        <v>96.6</v>
      </c>
      <c r="AI119" s="48">
        <f t="shared" si="16"/>
        <v>0</v>
      </c>
    </row>
    <row r="120" spans="1:37" ht="15.75" thickBot="1" x14ac:dyDescent="0.3">
      <c r="A120" s="120" t="s">
        <v>136</v>
      </c>
      <c r="B120" s="106">
        <v>38</v>
      </c>
      <c r="C120" s="106">
        <v>35</v>
      </c>
      <c r="D120" s="106">
        <v>35</v>
      </c>
      <c r="E120" s="106">
        <v>35</v>
      </c>
      <c r="F120" s="106">
        <v>35</v>
      </c>
      <c r="G120" s="106">
        <v>35</v>
      </c>
      <c r="H120" s="106">
        <v>-13.2</v>
      </c>
      <c r="I120" s="106">
        <v>-13.2</v>
      </c>
      <c r="J120" s="106">
        <v>-13.2</v>
      </c>
      <c r="K120" s="106">
        <v>-13.2</v>
      </c>
      <c r="L120" s="106">
        <v>-13.2</v>
      </c>
      <c r="M120" s="106"/>
      <c r="N120" s="106">
        <v>55</v>
      </c>
      <c r="O120" s="106">
        <v>65.2</v>
      </c>
      <c r="P120" s="106">
        <v>59.6</v>
      </c>
      <c r="Q120" s="106">
        <v>83</v>
      </c>
      <c r="R120" s="106"/>
      <c r="S120" s="106">
        <v>60</v>
      </c>
      <c r="T120" s="106">
        <v>65</v>
      </c>
      <c r="U120" s="106">
        <v>79</v>
      </c>
      <c r="V120" s="106">
        <v>79</v>
      </c>
      <c r="W120" s="106">
        <v>76</v>
      </c>
      <c r="X120" s="106">
        <v>67</v>
      </c>
      <c r="Y120" s="106">
        <v>68</v>
      </c>
      <c r="Z120" s="106">
        <v>77</v>
      </c>
      <c r="AA120" s="106">
        <v>78</v>
      </c>
      <c r="AB120" s="106">
        <v>72.400000000000006</v>
      </c>
      <c r="AC120" s="106">
        <v>71.900000000000006</v>
      </c>
      <c r="AD120" s="106">
        <v>82.3</v>
      </c>
      <c r="AE120" s="106">
        <v>79.8</v>
      </c>
      <c r="AF120" s="106">
        <v>66.900000000000006</v>
      </c>
      <c r="AG120" s="119"/>
      <c r="AH120" s="47">
        <f t="shared" si="15"/>
        <v>83</v>
      </c>
      <c r="AI120" s="48">
        <f t="shared" si="16"/>
        <v>-13.2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/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32">SUM(B122:B226)</f>
        <v>0</v>
      </c>
      <c r="C227" s="137">
        <f t="shared" si="32"/>
        <v>0</v>
      </c>
      <c r="D227" s="137">
        <f t="shared" si="32"/>
        <v>0</v>
      </c>
      <c r="E227" s="137">
        <f t="shared" si="32"/>
        <v>0</v>
      </c>
      <c r="F227" s="137">
        <f t="shared" si="32"/>
        <v>0</v>
      </c>
      <c r="G227" s="137">
        <f t="shared" si="32"/>
        <v>0</v>
      </c>
      <c r="H227" s="137">
        <f t="shared" si="32"/>
        <v>0</v>
      </c>
      <c r="I227" s="137">
        <f t="shared" si="32"/>
        <v>0</v>
      </c>
      <c r="J227" s="137">
        <f t="shared" si="32"/>
        <v>0</v>
      </c>
      <c r="K227" s="137">
        <f t="shared" si="32"/>
        <v>0</v>
      </c>
      <c r="L227" s="137">
        <f t="shared" si="32"/>
        <v>0</v>
      </c>
      <c r="M227" s="137">
        <f t="shared" si="32"/>
        <v>0</v>
      </c>
      <c r="N227" s="137">
        <f t="shared" si="32"/>
        <v>0</v>
      </c>
      <c r="O227" s="137">
        <f t="shared" si="32"/>
        <v>0</v>
      </c>
      <c r="P227" s="137">
        <f t="shared" si="32"/>
        <v>0</v>
      </c>
      <c r="Q227" s="137">
        <f t="shared" si="32"/>
        <v>0</v>
      </c>
      <c r="R227" s="137">
        <f t="shared" si="32"/>
        <v>0</v>
      </c>
      <c r="S227" s="137">
        <f t="shared" si="32"/>
        <v>0</v>
      </c>
      <c r="T227" s="137">
        <f t="shared" si="32"/>
        <v>0</v>
      </c>
      <c r="U227" s="137">
        <f t="shared" si="32"/>
        <v>0</v>
      </c>
      <c r="V227" s="137">
        <f t="shared" si="32"/>
        <v>0</v>
      </c>
      <c r="W227" s="137">
        <f t="shared" si="32"/>
        <v>0</v>
      </c>
      <c r="X227" s="137">
        <f t="shared" si="32"/>
        <v>0</v>
      </c>
      <c r="Y227" s="137">
        <f t="shared" si="32"/>
        <v>0</v>
      </c>
      <c r="Z227" s="137">
        <f t="shared" si="32"/>
        <v>0</v>
      </c>
      <c r="AA227" s="137">
        <f t="shared" si="32"/>
        <v>0</v>
      </c>
      <c r="AB227" s="137">
        <f t="shared" si="32"/>
        <v>0</v>
      </c>
      <c r="AC227" s="137">
        <f t="shared" si="32"/>
        <v>0</v>
      </c>
      <c r="AD227" s="137">
        <f t="shared" si="32"/>
        <v>0</v>
      </c>
      <c r="AE227" s="137">
        <f t="shared" si="32"/>
        <v>0</v>
      </c>
      <c r="AF227" s="138">
        <f t="shared" si="32"/>
        <v>0</v>
      </c>
      <c r="AG227" s="139">
        <f t="shared" si="32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33">AF229</f>
        <v>0</v>
      </c>
      <c r="C229" s="141">
        <v>0.3</v>
      </c>
      <c r="D229" s="141">
        <f t="shared" ref="D229:P234" si="34">C229</f>
        <v>0.3</v>
      </c>
      <c r="E229" s="141">
        <f t="shared" si="34"/>
        <v>0.3</v>
      </c>
      <c r="F229" s="141">
        <f t="shared" si="34"/>
        <v>0.3</v>
      </c>
      <c r="G229" s="141">
        <f t="shared" si="34"/>
        <v>0.3</v>
      </c>
      <c r="H229" s="141">
        <f t="shared" si="34"/>
        <v>0.3</v>
      </c>
      <c r="I229" s="141">
        <f t="shared" si="34"/>
        <v>0.3</v>
      </c>
      <c r="J229" s="141">
        <f t="shared" si="34"/>
        <v>0.3</v>
      </c>
      <c r="K229" s="141">
        <f t="shared" si="34"/>
        <v>0.3</v>
      </c>
      <c r="L229" s="141">
        <f t="shared" si="34"/>
        <v>0.3</v>
      </c>
      <c r="M229" s="141">
        <f t="shared" si="34"/>
        <v>0.3</v>
      </c>
      <c r="N229" s="141">
        <f t="shared" si="34"/>
        <v>0.3</v>
      </c>
      <c r="O229" s="141">
        <f t="shared" si="34"/>
        <v>0.3</v>
      </c>
      <c r="P229" s="141">
        <f t="shared" si="34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33"/>
        <v>0</v>
      </c>
      <c r="C230" s="129">
        <v>0.4</v>
      </c>
      <c r="D230" s="129">
        <f t="shared" si="34"/>
        <v>0.4</v>
      </c>
      <c r="E230" s="129">
        <f t="shared" si="34"/>
        <v>0.4</v>
      </c>
      <c r="F230" s="129">
        <f t="shared" si="34"/>
        <v>0.4</v>
      </c>
      <c r="G230" s="129">
        <f t="shared" si="34"/>
        <v>0.4</v>
      </c>
      <c r="H230" s="129">
        <f t="shared" si="34"/>
        <v>0.4</v>
      </c>
      <c r="I230" s="129">
        <f t="shared" si="34"/>
        <v>0.4</v>
      </c>
      <c r="J230" s="129">
        <f t="shared" si="34"/>
        <v>0.4</v>
      </c>
      <c r="K230" s="129">
        <f t="shared" si="34"/>
        <v>0.4</v>
      </c>
      <c r="L230" s="129">
        <f t="shared" si="34"/>
        <v>0.4</v>
      </c>
      <c r="M230" s="129">
        <f t="shared" si="34"/>
        <v>0.4</v>
      </c>
      <c r="N230" s="129">
        <f t="shared" si="34"/>
        <v>0.4</v>
      </c>
      <c r="O230" s="129">
        <f t="shared" si="34"/>
        <v>0.4</v>
      </c>
      <c r="P230" s="129">
        <f t="shared" si="34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33"/>
        <v>0</v>
      </c>
      <c r="C231" s="129">
        <v>1.5</v>
      </c>
      <c r="D231" s="129">
        <f t="shared" si="34"/>
        <v>1.5</v>
      </c>
      <c r="E231" s="129">
        <f t="shared" si="34"/>
        <v>1.5</v>
      </c>
      <c r="F231" s="129">
        <f t="shared" si="34"/>
        <v>1.5</v>
      </c>
      <c r="G231" s="129">
        <f t="shared" si="34"/>
        <v>1.5</v>
      </c>
      <c r="H231" s="129">
        <f t="shared" si="34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34"/>
        <v>123.21900000000009</v>
      </c>
      <c r="K231" s="129">
        <f t="shared" ca="1" si="34"/>
        <v>123.21900000000009</v>
      </c>
      <c r="L231" s="129">
        <f t="shared" ca="1" si="34"/>
        <v>123.21900000000009</v>
      </c>
      <c r="M231" s="129">
        <f t="shared" ca="1" si="34"/>
        <v>119.19900000000008</v>
      </c>
      <c r="N231" s="129">
        <f t="shared" ca="1" si="34"/>
        <v>119.19900000000008</v>
      </c>
      <c r="O231" s="129">
        <f t="shared" ca="1" si="34"/>
        <v>119.19900000000008</v>
      </c>
      <c r="P231" s="129">
        <f t="shared" ca="1" si="34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33"/>
        <v>0</v>
      </c>
      <c r="C232" s="129">
        <v>0.3</v>
      </c>
      <c r="D232" s="129">
        <f t="shared" si="34"/>
        <v>0.3</v>
      </c>
      <c r="E232" s="129">
        <f t="shared" si="34"/>
        <v>0.3</v>
      </c>
      <c r="F232" s="129">
        <f t="shared" si="34"/>
        <v>0.3</v>
      </c>
      <c r="G232" s="129">
        <f t="shared" si="34"/>
        <v>0.3</v>
      </c>
      <c r="H232" s="129">
        <f t="shared" si="34"/>
        <v>0.3</v>
      </c>
      <c r="I232" s="129">
        <f t="shared" si="34"/>
        <v>0.3</v>
      </c>
      <c r="J232" s="129">
        <f t="shared" si="34"/>
        <v>0.3</v>
      </c>
      <c r="K232" s="129">
        <f t="shared" si="34"/>
        <v>0.3</v>
      </c>
      <c r="L232" s="129">
        <f t="shared" si="34"/>
        <v>0.3</v>
      </c>
      <c r="M232" s="129">
        <f t="shared" si="34"/>
        <v>0.3</v>
      </c>
      <c r="N232" s="129">
        <f t="shared" si="34"/>
        <v>0.3</v>
      </c>
      <c r="O232" s="129">
        <f t="shared" si="34"/>
        <v>0.3</v>
      </c>
      <c r="P232" s="129">
        <f t="shared" si="34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33"/>
        <v>0</v>
      </c>
      <c r="C233" s="129">
        <v>0.4</v>
      </c>
      <c r="D233" s="129">
        <f t="shared" si="34"/>
        <v>0.4</v>
      </c>
      <c r="E233" s="129">
        <f t="shared" si="34"/>
        <v>0.4</v>
      </c>
      <c r="F233" s="129">
        <f t="shared" si="34"/>
        <v>0.4</v>
      </c>
      <c r="G233" s="129">
        <f t="shared" si="34"/>
        <v>0.4</v>
      </c>
      <c r="H233" s="129">
        <f t="shared" si="34"/>
        <v>0.4</v>
      </c>
      <c r="I233" s="129">
        <f t="shared" si="34"/>
        <v>0.4</v>
      </c>
      <c r="J233" s="129">
        <f t="shared" si="34"/>
        <v>0.4</v>
      </c>
      <c r="K233" s="129">
        <f t="shared" si="34"/>
        <v>0.4</v>
      </c>
      <c r="L233" s="129">
        <f t="shared" si="34"/>
        <v>0.4</v>
      </c>
      <c r="M233" s="129">
        <f t="shared" si="34"/>
        <v>0.4</v>
      </c>
      <c r="N233" s="129">
        <f t="shared" si="34"/>
        <v>0.4</v>
      </c>
      <c r="O233" s="129">
        <f t="shared" si="34"/>
        <v>0.4</v>
      </c>
      <c r="P233" s="129">
        <f t="shared" si="34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33"/>
        <v>0</v>
      </c>
      <c r="C234" s="133">
        <v>0.64</v>
      </c>
      <c r="D234" s="133">
        <f t="shared" si="34"/>
        <v>0.64</v>
      </c>
      <c r="E234" s="133">
        <f t="shared" si="34"/>
        <v>0.64</v>
      </c>
      <c r="F234" s="133">
        <f t="shared" si="34"/>
        <v>0.64</v>
      </c>
      <c r="G234" s="133">
        <f t="shared" si="34"/>
        <v>0.64</v>
      </c>
      <c r="H234" s="133">
        <f t="shared" si="34"/>
        <v>0.64</v>
      </c>
      <c r="I234" s="133">
        <f t="shared" si="34"/>
        <v>0.64</v>
      </c>
      <c r="J234" s="133">
        <f t="shared" si="34"/>
        <v>0.64</v>
      </c>
      <c r="K234" s="133">
        <f t="shared" si="34"/>
        <v>0.64</v>
      </c>
      <c r="L234" s="133">
        <f t="shared" si="34"/>
        <v>0.64</v>
      </c>
      <c r="M234" s="133">
        <f t="shared" si="34"/>
        <v>0.64</v>
      </c>
      <c r="N234" s="133">
        <f t="shared" si="34"/>
        <v>0.64</v>
      </c>
      <c r="O234" s="133">
        <f t="shared" si="34"/>
        <v>0.64</v>
      </c>
      <c r="P234" s="133">
        <f t="shared" si="34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35">SUM(B229:B234)</f>
        <v>0</v>
      </c>
      <c r="C235" s="137">
        <f t="shared" si="35"/>
        <v>3.54</v>
      </c>
      <c r="D235" s="137">
        <f t="shared" si="35"/>
        <v>3.54</v>
      </c>
      <c r="E235" s="137">
        <f t="shared" si="35"/>
        <v>3.54</v>
      </c>
      <c r="F235" s="137">
        <f t="shared" si="35"/>
        <v>3.54</v>
      </c>
      <c r="G235" s="137">
        <f t="shared" si="35"/>
        <v>3.54</v>
      </c>
      <c r="H235" s="137">
        <f t="shared" si="35"/>
        <v>3.54</v>
      </c>
      <c r="I235" s="137">
        <f t="shared" ca="1" si="35"/>
        <v>121.23900000000009</v>
      </c>
      <c r="J235" s="137">
        <f t="shared" ca="1" si="35"/>
        <v>121.23900000000009</v>
      </c>
      <c r="K235" s="137">
        <f t="shared" ca="1" si="35"/>
        <v>121.23900000000009</v>
      </c>
      <c r="L235" s="137">
        <f t="shared" ca="1" si="35"/>
        <v>125.2590000000001</v>
      </c>
      <c r="M235" s="137">
        <f t="shared" ca="1" si="35"/>
        <v>121.23900000000009</v>
      </c>
      <c r="N235" s="137">
        <f t="shared" ca="1" si="35"/>
        <v>121.23900000000009</v>
      </c>
      <c r="O235" s="137">
        <f t="shared" ca="1" si="35"/>
        <v>121.23900000000009</v>
      </c>
      <c r="P235" s="137">
        <f t="shared" ca="1" si="35"/>
        <v>121.23900000000009</v>
      </c>
      <c r="Q235" s="137">
        <f t="shared" si="35"/>
        <v>0</v>
      </c>
      <c r="R235" s="137">
        <f t="shared" si="35"/>
        <v>0</v>
      </c>
      <c r="S235" s="137">
        <f t="shared" si="35"/>
        <v>0</v>
      </c>
      <c r="T235" s="137">
        <f t="shared" si="35"/>
        <v>0</v>
      </c>
      <c r="U235" s="137">
        <f t="shared" si="35"/>
        <v>0</v>
      </c>
      <c r="V235" s="137">
        <f t="shared" si="35"/>
        <v>0</v>
      </c>
      <c r="W235" s="137">
        <f t="shared" si="35"/>
        <v>0</v>
      </c>
      <c r="X235" s="137">
        <f t="shared" si="35"/>
        <v>0</v>
      </c>
      <c r="Y235" s="137">
        <f t="shared" si="35"/>
        <v>0</v>
      </c>
      <c r="Z235" s="137">
        <f t="shared" si="35"/>
        <v>0</v>
      </c>
      <c r="AA235" s="137">
        <f t="shared" si="35"/>
        <v>0</v>
      </c>
      <c r="AB235" s="137">
        <f t="shared" si="35"/>
        <v>0</v>
      </c>
      <c r="AC235" s="137">
        <f t="shared" si="35"/>
        <v>0</v>
      </c>
      <c r="AD235" s="137">
        <f t="shared" si="35"/>
        <v>0</v>
      </c>
      <c r="AE235" s="137">
        <f t="shared" si="35"/>
        <v>0</v>
      </c>
      <c r="AF235" s="137">
        <f t="shared" si="35"/>
        <v>0</v>
      </c>
      <c r="AG235" s="146">
        <f t="shared" si="35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1920.24</v>
      </c>
      <c r="C244" s="162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04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2080/03/4)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2080/03/4)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36">B91</f>
        <v>1799.34</v>
      </c>
      <c r="U249" s="171">
        <f t="shared" si="36"/>
        <v>1898.34</v>
      </c>
      <c r="V249" s="171">
        <f t="shared" si="36"/>
        <v>1898.34</v>
      </c>
      <c r="W249" s="171">
        <f t="shared" si="36"/>
        <v>1848.34</v>
      </c>
      <c r="X249" s="171">
        <f t="shared" si="36"/>
        <v>1848.34</v>
      </c>
      <c r="Y249" s="171">
        <f t="shared" si="36"/>
        <v>1848.34</v>
      </c>
      <c r="Z249" s="171">
        <f t="shared" si="36"/>
        <v>1848.34</v>
      </c>
      <c r="AA249" s="171">
        <f t="shared" si="36"/>
        <v>1837.84</v>
      </c>
      <c r="AB249" s="171">
        <f t="shared" si="36"/>
        <v>1846.9399999999998</v>
      </c>
      <c r="AC249" s="171">
        <f t="shared" si="36"/>
        <v>1846.9399999999998</v>
      </c>
      <c r="AD249" s="171">
        <f t="shared" si="36"/>
        <v>1848.9399999999998</v>
      </c>
      <c r="AE249" s="171">
        <f t="shared" si="36"/>
        <v>1819.74</v>
      </c>
      <c r="AF249" s="171">
        <f t="shared" si="36"/>
        <v>1920.24</v>
      </c>
      <c r="AG249" s="171">
        <f t="shared" si="36"/>
        <v>1933.1399999999996</v>
      </c>
      <c r="AH249" s="171">
        <f t="shared" si="36"/>
        <v>1954.3399999999997</v>
      </c>
      <c r="AI249" s="171">
        <f t="shared" si="36"/>
        <v>1990.54</v>
      </c>
      <c r="AJ249" s="171">
        <f t="shared" si="36"/>
        <v>1937.34</v>
      </c>
      <c r="AK249" s="171">
        <f t="shared" si="36"/>
        <v>1787.94</v>
      </c>
      <c r="AL249" s="171">
        <f t="shared" si="36"/>
        <v>1939.54</v>
      </c>
      <c r="AM249" s="171">
        <f t="shared" si="36"/>
        <v>1932.24</v>
      </c>
      <c r="AN249" s="171">
        <f t="shared" si="36"/>
        <v>1776.84</v>
      </c>
      <c r="AO249" s="171">
        <f t="shared" si="36"/>
        <v>1844.1399999999999</v>
      </c>
      <c r="AP249" s="171">
        <f t="shared" si="36"/>
        <v>1826.54</v>
      </c>
      <c r="AQ249" s="171">
        <f t="shared" si="36"/>
        <v>1873.1399999999999</v>
      </c>
      <c r="AR249" s="171">
        <f t="shared" si="36"/>
        <v>1858.0399999999997</v>
      </c>
      <c r="AS249" s="171">
        <f t="shared" si="36"/>
        <v>1845.6399999999999</v>
      </c>
      <c r="AT249" s="171">
        <f t="shared" si="36"/>
        <v>1828.7399999999998</v>
      </c>
      <c r="AU249" s="171">
        <f t="shared" si="36"/>
        <v>1809.24</v>
      </c>
      <c r="AV249" s="171">
        <f t="shared" si="36"/>
        <v>1890.9399999999998</v>
      </c>
      <c r="AW249" s="171">
        <f t="shared" si="36"/>
        <v>1885.7400000000002</v>
      </c>
      <c r="AX249" s="171">
        <f t="shared" si="36"/>
        <v>1814.64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37">C234</f>
        <v>0.64</v>
      </c>
      <c r="C270" s="174">
        <f t="shared" si="37"/>
        <v>0.64</v>
      </c>
      <c r="D270" s="174">
        <f t="shared" si="37"/>
        <v>0.64</v>
      </c>
      <c r="E270" s="174">
        <f t="shared" si="37"/>
        <v>0.64</v>
      </c>
      <c r="F270" s="174">
        <f t="shared" si="37"/>
        <v>0.64</v>
      </c>
      <c r="G270" s="174">
        <f t="shared" si="37"/>
        <v>0.64</v>
      </c>
      <c r="H270" s="174">
        <f t="shared" si="37"/>
        <v>0.64</v>
      </c>
      <c r="I270" s="174">
        <f t="shared" si="37"/>
        <v>0.64</v>
      </c>
      <c r="J270" s="174">
        <f t="shared" si="37"/>
        <v>0.64</v>
      </c>
      <c r="K270" s="174">
        <f t="shared" si="37"/>
        <v>0.64</v>
      </c>
      <c r="L270" s="174">
        <f t="shared" si="37"/>
        <v>0.64</v>
      </c>
      <c r="M270" s="174">
        <f t="shared" si="37"/>
        <v>0.64</v>
      </c>
      <c r="N270" s="174">
        <f t="shared" si="37"/>
        <v>0.64</v>
      </c>
      <c r="O270" s="174">
        <f t="shared" si="37"/>
        <v>0.64</v>
      </c>
      <c r="P270" s="174">
        <f t="shared" si="37"/>
        <v>0</v>
      </c>
      <c r="Q270" s="174">
        <f t="shared" si="37"/>
        <v>0</v>
      </c>
      <c r="R270" s="174">
        <f t="shared" si="37"/>
        <v>0</v>
      </c>
      <c r="S270" s="174">
        <f t="shared" si="37"/>
        <v>0</v>
      </c>
      <c r="T270" s="174">
        <f t="shared" si="37"/>
        <v>0</v>
      </c>
      <c r="U270" s="174">
        <f t="shared" si="37"/>
        <v>0</v>
      </c>
      <c r="V270" s="174">
        <f t="shared" si="37"/>
        <v>0</v>
      </c>
      <c r="W270" s="174">
        <f t="shared" si="37"/>
        <v>0</v>
      </c>
      <c r="X270" s="174">
        <f t="shared" si="37"/>
        <v>0</v>
      </c>
      <c r="Y270" s="174">
        <f t="shared" si="37"/>
        <v>0</v>
      </c>
      <c r="Z270" s="174">
        <f t="shared" si="37"/>
        <v>0</v>
      </c>
      <c r="AA270" s="174">
        <f t="shared" si="37"/>
        <v>0</v>
      </c>
      <c r="AB270" s="174">
        <f t="shared" si="37"/>
        <v>0</v>
      </c>
      <c r="AC270" s="174">
        <f t="shared" si="37"/>
        <v>0</v>
      </c>
      <c r="AD270" s="174">
        <f t="shared" si="37"/>
        <v>0</v>
      </c>
      <c r="AE270" s="174">
        <f t="shared" si="37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38">IF(B238&lt;100,"",B238-520)</f>
        <v/>
      </c>
      <c r="C271" s="175" t="str">
        <f t="shared" si="38"/>
        <v/>
      </c>
      <c r="D271" s="175" t="str">
        <f t="shared" si="38"/>
        <v/>
      </c>
      <c r="E271" s="175" t="str">
        <f t="shared" si="38"/>
        <v/>
      </c>
      <c r="F271" s="175" t="str">
        <f t="shared" si="38"/>
        <v/>
      </c>
      <c r="G271" s="175" t="str">
        <f t="shared" si="38"/>
        <v/>
      </c>
      <c r="H271" s="175" t="str">
        <f t="shared" si="38"/>
        <v/>
      </c>
      <c r="I271" s="175" t="str">
        <f t="shared" si="38"/>
        <v/>
      </c>
      <c r="J271" s="175" t="str">
        <f t="shared" si="38"/>
        <v/>
      </c>
      <c r="K271" s="175" t="str">
        <f t="shared" si="38"/>
        <v/>
      </c>
      <c r="L271" s="175" t="str">
        <f t="shared" si="38"/>
        <v/>
      </c>
      <c r="M271" s="175" t="str">
        <f t="shared" si="38"/>
        <v/>
      </c>
      <c r="N271" s="175" t="str">
        <f t="shared" si="38"/>
        <v/>
      </c>
      <c r="O271" s="175" t="str">
        <f t="shared" si="38"/>
        <v/>
      </c>
      <c r="P271" s="175" t="str">
        <f t="shared" si="38"/>
        <v/>
      </c>
      <c r="Q271" s="175" t="str">
        <f t="shared" si="38"/>
        <v/>
      </c>
      <c r="R271" s="175" t="str">
        <f t="shared" si="38"/>
        <v/>
      </c>
      <c r="S271" s="175" t="str">
        <f t="shared" si="38"/>
        <v/>
      </c>
      <c r="T271" s="175" t="str">
        <f t="shared" si="38"/>
        <v/>
      </c>
      <c r="U271" s="175" t="str">
        <f t="shared" si="38"/>
        <v/>
      </c>
      <c r="V271" s="175" t="str">
        <f t="shared" si="38"/>
        <v/>
      </c>
      <c r="W271" s="175" t="str">
        <f t="shared" si="38"/>
        <v/>
      </c>
      <c r="X271" s="175" t="str">
        <f t="shared" si="38"/>
        <v/>
      </c>
      <c r="Y271" s="175" t="str">
        <f t="shared" si="38"/>
        <v/>
      </c>
      <c r="Z271" s="175" t="str">
        <f t="shared" si="38"/>
        <v/>
      </c>
      <c r="AA271" s="175" t="str">
        <f t="shared" si="38"/>
        <v/>
      </c>
      <c r="AB271" s="175" t="str">
        <f t="shared" si="38"/>
        <v/>
      </c>
      <c r="AC271" s="175" t="str">
        <f t="shared" si="38"/>
        <v/>
      </c>
      <c r="AD271" s="175" t="str">
        <f t="shared" si="38"/>
        <v/>
      </c>
      <c r="AE271" s="175" t="str">
        <f t="shared" si="38"/>
        <v/>
      </c>
      <c r="AF271" s="175" t="str">
        <f t="shared" si="38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39">IF(B239&lt;100,"",B239-620)</f>
        <v/>
      </c>
      <c r="C272" s="175" t="str">
        <f t="shared" si="39"/>
        <v/>
      </c>
      <c r="D272" s="175" t="str">
        <f t="shared" si="39"/>
        <v/>
      </c>
      <c r="E272" s="175" t="str">
        <f t="shared" si="39"/>
        <v/>
      </c>
      <c r="F272" s="175" t="str">
        <f t="shared" si="39"/>
        <v/>
      </c>
      <c r="G272" s="175" t="str">
        <f t="shared" si="39"/>
        <v/>
      </c>
      <c r="H272" s="175" t="str">
        <f t="shared" si="39"/>
        <v/>
      </c>
      <c r="I272" s="175" t="str">
        <f t="shared" si="39"/>
        <v/>
      </c>
      <c r="J272" s="175" t="str">
        <f t="shared" si="39"/>
        <v/>
      </c>
      <c r="K272" s="175" t="str">
        <f t="shared" si="39"/>
        <v/>
      </c>
      <c r="L272" s="175" t="str">
        <f t="shared" si="39"/>
        <v/>
      </c>
      <c r="M272" s="175" t="str">
        <f t="shared" si="39"/>
        <v/>
      </c>
      <c r="N272" s="175" t="str">
        <f t="shared" si="39"/>
        <v/>
      </c>
      <c r="O272" s="175" t="str">
        <f t="shared" si="39"/>
        <v/>
      </c>
      <c r="P272" s="175" t="str">
        <f t="shared" si="39"/>
        <v/>
      </c>
      <c r="Q272" s="175" t="str">
        <f t="shared" si="39"/>
        <v/>
      </c>
      <c r="R272" s="175" t="str">
        <f t="shared" si="39"/>
        <v/>
      </c>
      <c r="S272" s="175" t="str">
        <f t="shared" si="39"/>
        <v/>
      </c>
      <c r="T272" s="175" t="str">
        <f t="shared" si="39"/>
        <v/>
      </c>
      <c r="U272" s="175" t="str">
        <f t="shared" si="39"/>
        <v/>
      </c>
      <c r="V272" s="175" t="str">
        <f t="shared" si="39"/>
        <v/>
      </c>
      <c r="W272" s="175" t="str">
        <f t="shared" si="39"/>
        <v/>
      </c>
      <c r="X272" s="175" t="str">
        <f t="shared" si="39"/>
        <v/>
      </c>
      <c r="Y272" s="175" t="str">
        <f t="shared" si="39"/>
        <v/>
      </c>
      <c r="Z272" s="175" t="str">
        <f t="shared" si="39"/>
        <v/>
      </c>
      <c r="AA272" s="175" t="str">
        <f t="shared" si="39"/>
        <v/>
      </c>
      <c r="AB272" s="175" t="str">
        <f t="shared" si="39"/>
        <v/>
      </c>
      <c r="AC272" s="175" t="str">
        <f t="shared" si="39"/>
        <v/>
      </c>
      <c r="AD272" s="175" t="str">
        <f t="shared" si="39"/>
        <v/>
      </c>
      <c r="AE272" s="175" t="str">
        <f t="shared" si="39"/>
        <v/>
      </c>
      <c r="AF272" s="175" t="str">
        <f t="shared" si="39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40">IF(B240&lt;100,"",B240-330)</f>
        <v/>
      </c>
      <c r="C273" s="175" t="str">
        <f t="shared" si="40"/>
        <v/>
      </c>
      <c r="D273" s="175" t="str">
        <f t="shared" si="40"/>
        <v/>
      </c>
      <c r="E273" s="175" t="str">
        <f t="shared" si="40"/>
        <v/>
      </c>
      <c r="F273" s="175" t="str">
        <f t="shared" si="40"/>
        <v/>
      </c>
      <c r="G273" s="175" t="str">
        <f t="shared" si="40"/>
        <v/>
      </c>
      <c r="H273" s="175" t="str">
        <f t="shared" si="40"/>
        <v/>
      </c>
      <c r="I273" s="175" t="str">
        <f t="shared" si="40"/>
        <v/>
      </c>
      <c r="J273" s="175" t="str">
        <f t="shared" si="40"/>
        <v/>
      </c>
      <c r="K273" s="175" t="str">
        <f t="shared" si="40"/>
        <v/>
      </c>
      <c r="L273" s="175" t="str">
        <f t="shared" si="40"/>
        <v/>
      </c>
      <c r="M273" s="175" t="str">
        <f t="shared" si="40"/>
        <v/>
      </c>
      <c r="N273" s="175" t="str">
        <f t="shared" si="40"/>
        <v/>
      </c>
      <c r="O273" s="175" t="str">
        <f t="shared" si="40"/>
        <v/>
      </c>
      <c r="P273" s="175" t="str">
        <f t="shared" si="40"/>
        <v/>
      </c>
      <c r="Q273" s="175" t="str">
        <f t="shared" si="40"/>
        <v/>
      </c>
      <c r="R273" s="175" t="str">
        <f t="shared" si="40"/>
        <v/>
      </c>
      <c r="S273" s="175" t="str">
        <f t="shared" si="40"/>
        <v/>
      </c>
      <c r="T273" s="175" t="str">
        <f t="shared" si="40"/>
        <v/>
      </c>
      <c r="U273" s="175" t="str">
        <f t="shared" si="40"/>
        <v/>
      </c>
      <c r="V273" s="175" t="str">
        <f t="shared" si="40"/>
        <v/>
      </c>
      <c r="W273" s="175" t="str">
        <f t="shared" si="40"/>
        <v/>
      </c>
      <c r="X273" s="175" t="str">
        <f t="shared" si="40"/>
        <v/>
      </c>
      <c r="Y273" s="175" t="str">
        <f t="shared" si="40"/>
        <v/>
      </c>
      <c r="Z273" s="175" t="str">
        <f t="shared" si="40"/>
        <v/>
      </c>
      <c r="AA273" s="175" t="str">
        <f t="shared" si="40"/>
        <v/>
      </c>
      <c r="AB273" s="175" t="str">
        <f t="shared" si="40"/>
        <v/>
      </c>
      <c r="AC273" s="175" t="str">
        <f t="shared" si="40"/>
        <v/>
      </c>
      <c r="AD273" s="175" t="str">
        <f t="shared" si="40"/>
        <v/>
      </c>
      <c r="AE273" s="175" t="str">
        <f t="shared" si="40"/>
        <v/>
      </c>
      <c r="AF273" s="175" t="str">
        <f t="shared" si="40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41">IF(B241&lt;100,"",B241-1500)</f>
        <v/>
      </c>
      <c r="C274" s="175" t="str">
        <f t="shared" si="41"/>
        <v/>
      </c>
      <c r="D274" s="175" t="str">
        <f t="shared" si="41"/>
        <v/>
      </c>
      <c r="E274" s="175" t="str">
        <f t="shared" si="41"/>
        <v/>
      </c>
      <c r="F274" s="175" t="str">
        <f t="shared" si="41"/>
        <v/>
      </c>
      <c r="G274" s="175" t="str">
        <f t="shared" si="41"/>
        <v/>
      </c>
      <c r="H274" s="175" t="str">
        <f t="shared" si="41"/>
        <v/>
      </c>
      <c r="I274" s="175" t="str">
        <f t="shared" si="41"/>
        <v/>
      </c>
      <c r="J274" s="175" t="str">
        <f t="shared" si="41"/>
        <v/>
      </c>
      <c r="K274" s="175" t="str">
        <f t="shared" si="41"/>
        <v/>
      </c>
      <c r="L274" s="175" t="str">
        <f t="shared" si="41"/>
        <v/>
      </c>
      <c r="M274" s="175" t="str">
        <f t="shared" si="41"/>
        <v/>
      </c>
      <c r="N274" s="175" t="str">
        <f t="shared" si="41"/>
        <v/>
      </c>
      <c r="O274" s="175" t="str">
        <f t="shared" si="41"/>
        <v/>
      </c>
      <c r="P274" s="175" t="str">
        <f t="shared" si="41"/>
        <v/>
      </c>
      <c r="Q274" s="175" t="str">
        <f t="shared" si="41"/>
        <v/>
      </c>
      <c r="R274" s="175" t="str">
        <f t="shared" si="41"/>
        <v/>
      </c>
      <c r="S274" s="175" t="str">
        <f t="shared" si="41"/>
        <v/>
      </c>
      <c r="T274" s="175" t="str">
        <f t="shared" si="41"/>
        <v/>
      </c>
      <c r="U274" s="175" t="str">
        <f t="shared" si="41"/>
        <v/>
      </c>
      <c r="V274" s="175" t="str">
        <f t="shared" si="41"/>
        <v/>
      </c>
      <c r="W274" s="175" t="str">
        <f t="shared" si="41"/>
        <v/>
      </c>
      <c r="X274" s="175" t="str">
        <f t="shared" si="41"/>
        <v/>
      </c>
      <c r="Y274" s="175" t="str">
        <f t="shared" si="41"/>
        <v/>
      </c>
      <c r="Z274" s="175" t="str">
        <f t="shared" si="41"/>
        <v/>
      </c>
      <c r="AA274" s="175" t="str">
        <f t="shared" si="41"/>
        <v/>
      </c>
      <c r="AB274" s="175" t="str">
        <f t="shared" si="41"/>
        <v/>
      </c>
      <c r="AC274" s="175" t="str">
        <f t="shared" si="41"/>
        <v/>
      </c>
      <c r="AD274" s="175" t="str">
        <f t="shared" si="41"/>
        <v/>
      </c>
      <c r="AE274" s="175" t="str">
        <f t="shared" si="41"/>
        <v/>
      </c>
      <c r="AF274" s="175" t="str">
        <f t="shared" si="41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2602" priority="156">
      <formula>$AH11=0</formula>
    </cfRule>
  </conditionalFormatting>
  <conditionalFormatting sqref="B8 M8 S8 AB8">
    <cfRule type="expression" dxfId="2601" priority="409">
      <formula>AND(C$9&gt;=8/24,C$9&lt;14/24)</formula>
    </cfRule>
    <cfRule type="expression" dxfId="2600" priority="408">
      <formula>AND(C$9&gt;=14/24,C$9&lt;20/24)</formula>
    </cfRule>
    <cfRule type="expression" dxfId="2599" priority="410">
      <formula>C$9&lt;8/24</formula>
    </cfRule>
  </conditionalFormatting>
  <conditionalFormatting sqref="B49:D49 B69:AF71 B73:H76">
    <cfRule type="expression" dxfId="2598" priority="125">
      <formula>B$9&lt;8/24</formula>
    </cfRule>
  </conditionalFormatting>
  <conditionalFormatting sqref="B49:D49 B69:AF71">
    <cfRule type="expression" dxfId="2597" priority="124">
      <formula>AND(B$9&gt;=8/24,B$9&lt;14/24)</formula>
    </cfRule>
    <cfRule type="expression" dxfId="2596" priority="123">
      <formula>AND(B$9&gt;=14/24,B$9&lt;20/24)</formula>
    </cfRule>
  </conditionalFormatting>
  <conditionalFormatting sqref="B49:D52">
    <cfRule type="expression" dxfId="2595" priority="51">
      <formula>B49&gt;$AG49</formula>
    </cfRule>
  </conditionalFormatting>
  <conditionalFormatting sqref="B51:D52 E52:H52 I52:V53 B53:H53">
    <cfRule type="expression" dxfId="2594" priority="107">
      <formula>B$9&lt;8/24</formula>
    </cfRule>
    <cfRule type="expression" dxfId="2593" priority="106">
      <formula>AND(B$9&gt;=8/24,B$9&lt;14/24)</formula>
    </cfRule>
    <cfRule type="expression" dxfId="2592" priority="105">
      <formula>AND(B$9&gt;=14/24,B$9&lt;20/24)</formula>
    </cfRule>
  </conditionalFormatting>
  <conditionalFormatting sqref="B55:L59 M58:M59 N59:V60">
    <cfRule type="expression" dxfId="2591" priority="126">
      <formula>B55&gt;$AG55</formula>
    </cfRule>
  </conditionalFormatting>
  <conditionalFormatting sqref="B55:L59">
    <cfRule type="expression" dxfId="2590" priority="128">
      <formula>AND(B$9&gt;=14/24,B$9&lt;20/24)</formula>
    </cfRule>
    <cfRule type="expression" dxfId="2589" priority="130">
      <formula>B$9&lt;8/24</formula>
    </cfRule>
    <cfRule type="expression" dxfId="2588" priority="129">
      <formula>AND(B$9&gt;=8/24,B$9&lt;14/24)</formula>
    </cfRule>
    <cfRule type="expression" dxfId="2587" priority="127">
      <formula>B$9&gt;=20/24</formula>
    </cfRule>
  </conditionalFormatting>
  <conditionalFormatting sqref="B60:M66">
    <cfRule type="expression" dxfId="2586" priority="69">
      <formula>AND(B$9&gt;=14/24,B$9&lt;20/24)</formula>
    </cfRule>
    <cfRule type="expression" dxfId="2585" priority="70">
      <formula>AND(B$9&gt;=8/24,B$9&lt;14/24)</formula>
    </cfRule>
    <cfRule type="expression" dxfId="2584" priority="71">
      <formula>B$9&lt;8/24</formula>
    </cfRule>
    <cfRule type="expression" dxfId="2583" priority="67">
      <formula>B60&gt;$AG60</formula>
    </cfRule>
    <cfRule type="expression" dxfId="2582" priority="68">
      <formula>B$9&gt;=20/24</formula>
    </cfRule>
  </conditionalFormatting>
  <conditionalFormatting sqref="B35:Z45">
    <cfRule type="expression" dxfId="2581" priority="40">
      <formula>B$9&lt;8/24</formula>
    </cfRule>
    <cfRule type="expression" dxfId="2580" priority="37">
      <formula>B$9&gt;=20/24</formula>
    </cfRule>
    <cfRule type="expression" dxfId="2579" priority="38">
      <formula>AND(B$9&gt;=14/24,B$9&lt;20/24)</formula>
    </cfRule>
    <cfRule type="expression" dxfId="2578" priority="39">
      <formula>AND(B$9&gt;=8/24,B$9&lt;14/24)</formula>
    </cfRule>
  </conditionalFormatting>
  <conditionalFormatting sqref="B35:Z46">
    <cfRule type="expression" dxfId="2577" priority="35">
      <formula>B35&gt;$AG35</formula>
    </cfRule>
  </conditionalFormatting>
  <conditionalFormatting sqref="B77:AE83">
    <cfRule type="expression" dxfId="2576" priority="89">
      <formula>B$9&lt;8/24</formula>
    </cfRule>
  </conditionalFormatting>
  <conditionalFormatting sqref="B9:AF18">
    <cfRule type="expression" dxfId="2575" priority="43">
      <formula>AND(B$9&gt;=14/24,B$9&lt;20/24)</formula>
    </cfRule>
    <cfRule type="expression" dxfId="2574" priority="42">
      <formula>B$9&gt;=20/24</formula>
    </cfRule>
    <cfRule type="expression" dxfId="2573" priority="44">
      <formula>AND(B$9&gt;=8/24,B$9&lt;14/24)</formula>
    </cfRule>
    <cfRule type="expression" dxfId="2572" priority="45">
      <formula>B$9&lt;8/24</formula>
    </cfRule>
  </conditionalFormatting>
  <conditionalFormatting sqref="B11:AF18">
    <cfRule type="expression" dxfId="2571" priority="41">
      <formula>B11&gt;$AG11</formula>
    </cfRule>
  </conditionalFormatting>
  <conditionalFormatting sqref="B46:AF47">
    <cfRule type="expression" dxfId="2570" priority="34">
      <formula>B$9&lt;8/24</formula>
    </cfRule>
    <cfRule type="expression" dxfId="2569" priority="31">
      <formula>B$9&gt;=20/24</formula>
    </cfRule>
    <cfRule type="expression" dxfId="2568" priority="32">
      <formula>AND(B$9&gt;=14/24,B$9&lt;20/24)</formula>
    </cfRule>
    <cfRule type="expression" dxfId="2567" priority="33">
      <formula>AND(B$9&gt;=8/24,B$9&lt;14/24)</formula>
    </cfRule>
  </conditionalFormatting>
  <conditionalFormatting sqref="B47:AF48">
    <cfRule type="expression" dxfId="2566" priority="52">
      <formula>B47&gt;$AG47</formula>
    </cfRule>
  </conditionalFormatting>
  <conditionalFormatting sqref="B48:AF48">
    <cfRule type="expression" dxfId="2565" priority="53">
      <formula>B$9&gt;=20/24</formula>
    </cfRule>
    <cfRule type="expression" dxfId="2564" priority="54">
      <formula>AND(B$9&gt;=14/24,B$9&lt;20/24)</formula>
    </cfRule>
    <cfRule type="expression" dxfId="2563" priority="56">
      <formula>B$9&lt;8/24</formula>
    </cfRule>
    <cfRule type="expression" dxfId="2562" priority="55">
      <formula>AND(B$9&gt;=8/24,B$9&lt;14/24)</formula>
    </cfRule>
  </conditionalFormatting>
  <conditionalFormatting sqref="B69:AF71 B49:D49">
    <cfRule type="expression" dxfId="2561" priority="122">
      <formula>B$9&gt;=20/24</formula>
    </cfRule>
  </conditionalFormatting>
  <conditionalFormatting sqref="B69:AF71">
    <cfRule type="expression" dxfId="2560" priority="121">
      <formula>B69&gt;$AG69</formula>
    </cfRule>
  </conditionalFormatting>
  <conditionalFormatting sqref="B73:AF91">
    <cfRule type="expression" dxfId="2559" priority="3">
      <formula>AND(B$9&gt;=8/24,B$9&lt;14/24)</formula>
    </cfRule>
    <cfRule type="expression" dxfId="2558" priority="2">
      <formula>AND(B$9&gt;=14/24,B$9&lt;20/24)</formula>
    </cfRule>
    <cfRule type="expression" dxfId="2557" priority="1">
      <formula>B$9&gt;=20/24</formula>
    </cfRule>
  </conditionalFormatting>
  <conditionalFormatting sqref="B84:AF91">
    <cfRule type="expression" dxfId="2556" priority="80">
      <formula>B$9&lt;8/24</formula>
    </cfRule>
  </conditionalFormatting>
  <conditionalFormatting sqref="B111:AF120">
    <cfRule type="expression" dxfId="2555" priority="30">
      <formula>B$9&lt;8/24</formula>
    </cfRule>
    <cfRule type="expression" dxfId="2554" priority="29">
      <formula>AND(B$9&gt;=8/24,B$9&lt;14/24)</formula>
    </cfRule>
    <cfRule type="expression" dxfId="2553" priority="28">
      <formula>AND(B$9&gt;=14/24,B$9&lt;20/24)</formula>
    </cfRule>
    <cfRule type="expression" dxfId="2552" priority="27">
      <formula>B$9&gt;=20/24</formula>
    </cfRule>
  </conditionalFormatting>
  <conditionalFormatting sqref="B227:AF227 D229:AF230 B229:B235 D231:H231 J231:AF231 D232:AF235 U248:AF248">
    <cfRule type="expression" dxfId="2551" priority="403">
      <formula>AND(B$9&gt;=8/24,B$9&lt;14/24)</formula>
    </cfRule>
    <cfRule type="expression" dxfId="2550" priority="402">
      <formula>AND(B$9&gt;=14/24,B$9&lt;20/24)</formula>
    </cfRule>
    <cfRule type="expression" dxfId="2549" priority="401">
      <formula>B$9&gt;=20/24</formula>
    </cfRule>
    <cfRule type="expression" dxfId="2548" priority="404">
      <formula>B$9&lt;8/24</formula>
    </cfRule>
  </conditionalFormatting>
  <conditionalFormatting sqref="B54:AG54">
    <cfRule type="expression" dxfId="2547" priority="72">
      <formula>B54&gt;$AG54</formula>
    </cfRule>
    <cfRule type="expression" dxfId="2546" priority="74">
      <formula>AND(B$9&gt;=14/24,B$9&lt;20/24)</formula>
    </cfRule>
    <cfRule type="expression" dxfId="2545" priority="75">
      <formula>AND(B$9&gt;=8/24,B$9&lt;14/24)</formula>
    </cfRule>
    <cfRule type="expression" dxfId="2544" priority="76">
      <formula>B$9&lt;8/24</formula>
    </cfRule>
    <cfRule type="expression" dxfId="2543" priority="73">
      <formula>B$9&gt;=20/24</formula>
    </cfRule>
  </conditionalFormatting>
  <conditionalFormatting sqref="B67:AG68 B72:AG72">
    <cfRule type="expression" dxfId="2542" priority="81">
      <formula>B67&gt;$AG67</formula>
    </cfRule>
  </conditionalFormatting>
  <conditionalFormatting sqref="B72:AG72 B93:AF109">
    <cfRule type="expression" dxfId="2541" priority="84">
      <formula>AND(B$9&gt;=8/24,B$9&lt;14/24)</formula>
    </cfRule>
    <cfRule type="expression" dxfId="2540" priority="82">
      <formula>B$9&gt;=20/24</formula>
    </cfRule>
    <cfRule type="expression" dxfId="2539" priority="83">
      <formula>AND(B$9&gt;=14/24,B$9&lt;20/24)</formula>
    </cfRule>
    <cfRule type="expression" dxfId="2538" priority="85">
      <formula>B$9&lt;8/24</formula>
    </cfRule>
  </conditionalFormatting>
  <conditionalFormatting sqref="E52:H52 I52:V53 B53:H53 B51:D52">
    <cfRule type="expression" dxfId="2537" priority="104">
      <formula>B$9&gt;=20/24</formula>
    </cfRule>
  </conditionalFormatting>
  <conditionalFormatting sqref="E52:H52 I52:V53 B53:H53">
    <cfRule type="expression" dxfId="2536" priority="103">
      <formula>B52&gt;$AG52</formula>
    </cfRule>
  </conditionalFormatting>
  <conditionalFormatting sqref="E51:V51 W51:AF53">
    <cfRule type="expression" dxfId="2535" priority="319">
      <formula>E$9&gt;=20/24</formula>
    </cfRule>
    <cfRule type="expression" dxfId="2534" priority="321">
      <formula>AND(E$9&gt;=8/24,E$9&lt;14/24)</formula>
    </cfRule>
    <cfRule type="expression" dxfId="2533" priority="318">
      <formula>E51&gt;$AG51</formula>
    </cfRule>
    <cfRule type="expression" dxfId="2532" priority="320">
      <formula>AND(E$9&gt;=14/24,E$9&lt;20/24)</formula>
    </cfRule>
    <cfRule type="expression" dxfId="2531" priority="322">
      <formula>E$9&lt;8/24</formula>
    </cfRule>
  </conditionalFormatting>
  <conditionalFormatting sqref="E49:AF49">
    <cfRule type="expression" dxfId="2530" priority="281">
      <formula>AND(E$9&gt;=14/24,E$9&lt;20/24)</formula>
    </cfRule>
    <cfRule type="expression" dxfId="2529" priority="282">
      <formula>AND(E$9&gt;=8/24,E$9&lt;14/24)</formula>
    </cfRule>
    <cfRule type="expression" dxfId="2528" priority="283">
      <formula>E$9&lt;8/24</formula>
    </cfRule>
    <cfRule type="expression" dxfId="2527" priority="280">
      <formula>E$9&gt;=20/24</formula>
    </cfRule>
  </conditionalFormatting>
  <conditionalFormatting sqref="E49:AF50">
    <cfRule type="expression" dxfId="2526" priority="187">
      <formula>E49&gt;$AG49</formula>
    </cfRule>
  </conditionalFormatting>
  <conditionalFormatting sqref="I74:AE76">
    <cfRule type="expression" dxfId="2525" priority="274">
      <formula>I$9&lt;8/24</formula>
    </cfRule>
  </conditionalFormatting>
  <conditionalFormatting sqref="M58:M59 N59:V60">
    <cfRule type="expression" dxfId="2524" priority="131">
      <formula>M$9&gt;=20/24</formula>
    </cfRule>
    <cfRule type="expression" dxfId="2523" priority="132">
      <formula>AND(M$9&gt;=14/24,M$9&lt;20/24)</formula>
    </cfRule>
    <cfRule type="expression" dxfId="2522" priority="133">
      <formula>AND(M$9&gt;=8/24,M$9&lt;14/24)</formula>
    </cfRule>
    <cfRule type="expression" dxfId="2521" priority="134">
      <formula>M$9&lt;8/24</formula>
    </cfRule>
  </conditionalFormatting>
  <conditionalFormatting sqref="M55:Q57 R55:V58 N58:Q58">
    <cfRule type="expression" dxfId="2520" priority="366">
      <formula>M55&gt;$AG55</formula>
    </cfRule>
  </conditionalFormatting>
  <conditionalFormatting sqref="M56:Q57 R56:V58 N58:Q58 I73:AF73">
    <cfRule type="expression" dxfId="2519" priority="374">
      <formula>I$9&lt;8/24</formula>
    </cfRule>
  </conditionalFormatting>
  <conditionalFormatting sqref="M56:Q57 R56:V58 N58:Q58">
    <cfRule type="expression" dxfId="2518" priority="371">
      <formula>M$9&gt;=20/24</formula>
    </cfRule>
    <cfRule type="expression" dxfId="2517" priority="372">
      <formula>AND(M$9&gt;=14/24,M$9&lt;20/24)</formula>
    </cfRule>
    <cfRule type="expression" dxfId="2516" priority="373">
      <formula>AND(M$9&gt;=8/24,M$9&lt;14/24)</formula>
    </cfRule>
  </conditionalFormatting>
  <conditionalFormatting sqref="M55:V55">
    <cfRule type="expression" dxfId="2515" priority="367">
      <formula>M$9&gt;=20/24</formula>
    </cfRule>
    <cfRule type="expression" dxfId="2514" priority="368">
      <formula>AND(M$9&gt;=14/24,M$9&lt;20/24)</formula>
    </cfRule>
    <cfRule type="expression" dxfId="2513" priority="369">
      <formula>AND(M$9&gt;=8/24,M$9&lt;14/24)</formula>
    </cfRule>
    <cfRule type="expression" dxfId="2512" priority="370">
      <formula>M$9&lt;8/24</formula>
    </cfRule>
  </conditionalFormatting>
  <conditionalFormatting sqref="N61:AF66">
    <cfRule type="expression" dxfId="2511" priority="21">
      <formula>N$9&lt;8/24</formula>
    </cfRule>
    <cfRule type="expression" dxfId="2510" priority="20">
      <formula>AND(N$9&gt;=8/24,N$9&lt;14/24)</formula>
    </cfRule>
    <cfRule type="expression" dxfId="2509" priority="19">
      <formula>AND(N$9&gt;=14/24,N$9&lt;20/24)</formula>
    </cfRule>
    <cfRule type="expression" dxfId="2508" priority="18">
      <formula>N$9&gt;=20/24</formula>
    </cfRule>
    <cfRule type="expression" dxfId="2507" priority="17">
      <formula>N61&gt;$AG61</formula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506" priority="407">
      <formula>C$9&gt;=20/24</formula>
    </cfRule>
  </conditionalFormatting>
  <conditionalFormatting sqref="S8">
    <cfRule type="expression" dxfId="2505" priority="382">
      <formula>AND(U$9&gt;=8/24,U$9&lt;14/24)</formula>
    </cfRule>
    <cfRule type="expression" dxfId="2504" priority="383">
      <formula>U$9&lt;8/24</formula>
    </cfRule>
    <cfRule type="expression" dxfId="2503" priority="380">
      <formula>U$9&gt;=20/24</formula>
    </cfRule>
    <cfRule type="expression" dxfId="2502" priority="381">
      <formula>AND(U$9&gt;=14/24,U$9&lt;20/24)</formula>
    </cfRule>
  </conditionalFormatting>
  <conditionalFormatting sqref="T248">
    <cfRule type="expression" dxfId="2501" priority="423">
      <formula>AX$9&lt;8/24</formula>
    </cfRule>
    <cfRule type="expression" dxfId="2500" priority="422">
      <formula>AND(AX$9&gt;=8/24,AX$9&lt;14/24)</formula>
    </cfRule>
    <cfRule type="expression" dxfId="2499" priority="421">
      <formula>AND(AX$9&gt;=14/24,AX$9&lt;20/24)</formula>
    </cfRule>
    <cfRule type="expression" dxfId="2498" priority="420">
      <formula>AX$9&gt;=20/24</formula>
    </cfRule>
  </conditionalFormatting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W55:AF60">
    <cfRule type="expression" dxfId="2497" priority="25">
      <formula>AND(W$9&gt;=8/24,W$9&lt;14/24)</formula>
    </cfRule>
    <cfRule type="expression" dxfId="2496" priority="26">
      <formula>W$9&lt;8/24</formula>
    </cfRule>
    <cfRule type="expression" dxfId="2495" priority="24">
      <formula>AND(W$9&gt;=14/24,W$9&lt;20/24)</formula>
    </cfRule>
    <cfRule type="expression" dxfId="2494" priority="23">
      <formula>W$9&gt;=20/24</formula>
    </cfRule>
    <cfRule type="expression" dxfId="2493" priority="22">
      <formula>W55&gt;$AG55</formula>
    </cfRule>
  </conditionalFormatting>
  <conditionalFormatting sqref="Z19:AA27 B19:Y34 Z28:Z34 AA31:AF45">
    <cfRule type="expression" dxfId="2492" priority="94">
      <formula>B$9&lt;8/24</formula>
    </cfRule>
    <cfRule type="expression" dxfId="2491" priority="91">
      <formula>B$9&gt;=20/24</formula>
    </cfRule>
    <cfRule type="expression" dxfId="2490" priority="92">
      <formula>AND(B$9&gt;=14/24,B$9&lt;20/24)</formula>
    </cfRule>
    <cfRule type="expression" dxfId="2489" priority="93">
      <formula>AND(B$9&gt;=8/24,B$9&lt;14/24)</formula>
    </cfRule>
  </conditionalFormatting>
  <conditionalFormatting sqref="AA31:AF46 Z19:AA27 B19:Y34 Z28:Z34">
    <cfRule type="expression" dxfId="2488" priority="90">
      <formula>B19&gt;$AG19</formula>
    </cfRule>
  </conditionalFormatting>
  <conditionalFormatting sqref="AB8">
    <cfRule type="expression" dxfId="2487" priority="376">
      <formula>AD$9&gt;=20/24</formula>
    </cfRule>
    <cfRule type="expression" dxfId="2486" priority="377">
      <formula>AND(AD$9&gt;=14/24,AD$9&lt;20/24)</formula>
    </cfRule>
    <cfRule type="expression" dxfId="2485" priority="378">
      <formula>AND(AD$9&gt;=8/24,AD$9&lt;14/24)</formula>
    </cfRule>
    <cfRule type="expression" dxfId="2484" priority="379">
      <formula>AD$9&lt;8/24</formula>
    </cfRule>
  </conditionalFormatting>
  <conditionalFormatting sqref="AB19:AF30 AA28:AA30">
    <cfRule type="expression" dxfId="2483" priority="285">
      <formula>AND(AA$9&gt;=14/24,AA$9&lt;20/24)</formula>
    </cfRule>
    <cfRule type="expression" dxfId="2482" priority="286">
      <formula>AND(AA$9&gt;=8/24,AA$9&lt;14/24)</formula>
    </cfRule>
    <cfRule type="expression" dxfId="2481" priority="287">
      <formula>AA$9&lt;8/24</formula>
    </cfRule>
    <cfRule type="expression" dxfId="2480" priority="284">
      <formula>AA$9&gt;=20/24</formula>
    </cfRule>
    <cfRule type="expression" dxfId="2479" priority="279">
      <formula>AA19&gt;$AG19</formula>
    </cfRule>
  </conditionalFormatting>
  <conditionalFormatting sqref="AF74:AF83">
    <cfRule type="expression" dxfId="2478" priority="4">
      <formula>AF$9&lt;8/24</formula>
    </cfRule>
  </conditionalFormatting>
  <conditionalFormatting sqref="AG50">
    <cfRule type="expression" dxfId="2477" priority="333">
      <formula>AG50&gt;$AG50</formula>
    </cfRule>
  </conditionalFormatting>
  <conditionalFormatting sqref="AG89">
    <cfRule type="expression" dxfId="2476" priority="335">
      <formula>AND(AG$9&gt;=14/24,AG$9&lt;20/24)</formula>
    </cfRule>
    <cfRule type="expression" dxfId="2475" priority="334">
      <formula>AG$9&gt;=20/24</formula>
    </cfRule>
    <cfRule type="expression" dxfId="2474" priority="336">
      <formula>AND(AG$9&gt;=8/24,AG$9&lt;14/24)</formula>
    </cfRule>
    <cfRule type="expression" dxfId="2473" priority="337">
      <formula>AG$9&lt;8/24</formula>
    </cfRule>
  </conditionalFormatting>
  <conditionalFormatting sqref="AG248">
    <cfRule type="expression" dxfId="2472" priority="412">
      <formula>B$9&gt;=20/24</formula>
    </cfRule>
    <cfRule type="expression" dxfId="2471" priority="415">
      <formula>B$9&lt;8/24</formula>
    </cfRule>
    <cfRule type="expression" dxfId="2470" priority="414">
      <formula>AND(B$9&gt;=8/24,B$9&lt;14/24)</formula>
    </cfRule>
    <cfRule type="expression" dxfId="2469" priority="413">
      <formula>AND(B$9&gt;=14/24,B$9&lt;20/24)</formula>
    </cfRule>
  </conditionalFormatting>
  <conditionalFormatting sqref="AH248:AX248">
    <cfRule type="expression" dxfId="2468" priority="419">
      <formula>AG$9&lt;8/24</formula>
    </cfRule>
    <cfRule type="expression" dxfId="2467" priority="418">
      <formula>AND(AG$9&gt;=8/24,AG$9&lt;14/24)</formula>
    </cfRule>
    <cfRule type="expression" dxfId="2466" priority="417">
      <formula>AND(AG$9&gt;=14/24,AG$9&lt;20/24)</formula>
    </cfRule>
    <cfRule type="expression" dxfId="2465" priority="416">
      <formula>AG$9&gt;=20/24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464" priority="425">
      <formula>AJ$9&gt;=20/24</formula>
    </cfRule>
    <cfRule type="expression" dxfId="2463" priority="426">
      <formula>AND(AJ$9&gt;=14/24,AJ$9&lt;20/24)</formula>
    </cfRule>
    <cfRule type="expression" dxfId="2462" priority="427">
      <formula>AND(AJ$9&gt;=8/24,AJ$9&lt;14/24)</formula>
    </cfRule>
    <cfRule type="expression" dxfId="2461" priority="428">
      <formula>AJ$9&lt;8/24</formula>
    </cfRule>
  </conditionalFormatting>
  <conditionalFormatting sqref="AL80:AN80 AL86:AN86">
    <cfRule type="expression" dxfId="2460" priority="226">
      <formula>AND(AL$9&gt;=14/24,AL$9&lt;20/24)</formula>
    </cfRule>
    <cfRule type="expression" dxfId="2459" priority="225">
      <formula>AL$9&gt;=20/24</formula>
    </cfRule>
    <cfRule type="expression" dxfId="2458" priority="228">
      <formula>AL$9&lt;8/24</formula>
    </cfRule>
    <cfRule type="expression" dxfId="2457" priority="227">
      <formula>AND(AL$9&gt;=8/24,AL$9&lt;14/24)</formula>
    </cfRule>
  </conditionalFormatting>
  <conditionalFormatting sqref="AN81:AN84">
    <cfRule type="expression" dxfId="2456" priority="221">
      <formula>AN$9&gt;=20/24</formula>
    </cfRule>
    <cfRule type="expression" dxfId="2455" priority="222">
      <formula>AND(AN$9&gt;=14/24,AN$9&lt;20/24)</formula>
    </cfRule>
    <cfRule type="expression" dxfId="2454" priority="223">
      <formula>AND(AN$9&gt;=8/24,AN$9&lt;14/24)</formula>
    </cfRule>
    <cfRule type="expression" dxfId="2453" priority="224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1028-9296-4888-B510-B9A5D5044014}">
  <dimension ref="A1:CJ281"/>
  <sheetViews>
    <sheetView workbookViewId="0">
      <pane xSplit="1" ySplit="10" topLeftCell="I64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V126" sqref="V12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2080/03/5</v>
      </c>
      <c r="C4" s="187"/>
      <c r="D4" s="187"/>
      <c r="E4" s="188" t="str">
        <f ca="1">"2079/"&amp;"12/"&amp;INT(MID(CELL("filename",G6),FIND("]",CELL("filename",G6))+1,200))</f>
        <v>2079/12/5</v>
      </c>
      <c r="F4" s="188"/>
      <c r="G4" s="188"/>
      <c r="H4" s="188" t="str">
        <f ca="1">TEXT(E4,"dddd")</f>
        <v>Tuesday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91.7</v>
      </c>
      <c r="C5" s="30">
        <f t="shared" si="0"/>
        <v>99.9</v>
      </c>
      <c r="D5" s="30">
        <f t="shared" si="0"/>
        <v>80.7</v>
      </c>
      <c r="E5" s="30">
        <f t="shared" si="0"/>
        <v>57.9</v>
      </c>
      <c r="F5" s="30">
        <f t="shared" si="0"/>
        <v>39.4</v>
      </c>
      <c r="G5" s="30">
        <f t="shared" si="0"/>
        <v>26.1</v>
      </c>
      <c r="H5" s="30">
        <f t="shared" si="0"/>
        <v>21.6</v>
      </c>
      <c r="I5" s="30">
        <f t="shared" si="0"/>
        <v>32</v>
      </c>
      <c r="J5" s="30">
        <f t="shared" si="0"/>
        <v>40.700000000000003</v>
      </c>
      <c r="K5" s="30">
        <f t="shared" si="0"/>
        <v>43</v>
      </c>
      <c r="L5" s="30">
        <f t="shared" si="0"/>
        <v>40</v>
      </c>
      <c r="M5" s="30">
        <f t="shared" si="0"/>
        <v>52.3</v>
      </c>
      <c r="N5" s="30">
        <f t="shared" si="0"/>
        <v>40</v>
      </c>
      <c r="O5" s="30">
        <f t="shared" si="0"/>
        <v>64</v>
      </c>
      <c r="P5" s="30">
        <f t="shared" si="0"/>
        <v>61</v>
      </c>
      <c r="Q5" s="30">
        <f t="shared" si="0"/>
        <v>0</v>
      </c>
      <c r="R5" s="30">
        <f t="shared" si="0"/>
        <v>90</v>
      </c>
      <c r="S5" s="30">
        <f t="shared" si="0"/>
        <v>55</v>
      </c>
      <c r="T5" s="30">
        <f t="shared" si="0"/>
        <v>94.8</v>
      </c>
      <c r="U5" s="30">
        <f t="shared" si="0"/>
        <v>69</v>
      </c>
      <c r="V5" s="30">
        <f t="shared" si="0"/>
        <v>69</v>
      </c>
      <c r="W5" s="30">
        <f t="shared" si="0"/>
        <v>69</v>
      </c>
      <c r="X5" s="30">
        <f t="shared" si="0"/>
        <v>72</v>
      </c>
      <c r="Y5" s="30">
        <f t="shared" si="0"/>
        <v>57</v>
      </c>
      <c r="Z5" s="30">
        <f t="shared" si="0"/>
        <v>68.099999999999994</v>
      </c>
      <c r="AA5" s="30">
        <f t="shared" si="0"/>
        <v>74.900000000000006</v>
      </c>
      <c r="AB5" s="30">
        <f t="shared" si="0"/>
        <v>108.3</v>
      </c>
      <c r="AC5" s="30">
        <f t="shared" si="0"/>
        <v>109.3</v>
      </c>
      <c r="AD5" s="30">
        <f t="shared" si="0"/>
        <v>76</v>
      </c>
      <c r="AE5" s="30">
        <f t="shared" si="0"/>
        <v>85</v>
      </c>
      <c r="AF5" s="30">
        <f>B84</f>
        <v>93.199999999999989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1837MW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Load=254</v>
      </c>
      <c r="B7" s="35">
        <f t="shared" ref="B7:AF7" si="1">B91</f>
        <v>1809.94</v>
      </c>
      <c r="C7" s="35">
        <f t="shared" si="1"/>
        <v>1887.44</v>
      </c>
      <c r="D7" s="35">
        <f t="shared" si="1"/>
        <v>1853.54</v>
      </c>
      <c r="E7" s="35">
        <f t="shared" si="1"/>
        <v>1775.1399999999999</v>
      </c>
      <c r="F7" s="35">
        <f t="shared" si="1"/>
        <v>1777.6399999999999</v>
      </c>
      <c r="G7" s="35">
        <f t="shared" si="1"/>
        <v>1772.04</v>
      </c>
      <c r="H7" s="35">
        <f t="shared" si="1"/>
        <v>1796.0399999999997</v>
      </c>
      <c r="I7" s="35">
        <f t="shared" si="1"/>
        <v>1766.4399999999998</v>
      </c>
      <c r="J7" s="35">
        <f t="shared" si="1"/>
        <v>1727.1399999999999</v>
      </c>
      <c r="K7" s="35">
        <f t="shared" si="1"/>
        <v>1788.84</v>
      </c>
      <c r="L7" s="35">
        <f t="shared" si="1"/>
        <v>1811.34</v>
      </c>
      <c r="M7" s="35">
        <f t="shared" si="1"/>
        <v>1755.6399999999999</v>
      </c>
      <c r="N7" s="35">
        <f>N91</f>
        <v>1836.8399999999997</v>
      </c>
      <c r="O7" s="35">
        <f t="shared" si="1"/>
        <v>1868.0399999999997</v>
      </c>
      <c r="P7" s="35">
        <f t="shared" si="1"/>
        <v>1948.2399999999998</v>
      </c>
      <c r="Q7" s="35">
        <f t="shared" si="1"/>
        <v>1836.2399999999998</v>
      </c>
      <c r="R7" s="35">
        <f t="shared" si="1"/>
        <v>253.54</v>
      </c>
      <c r="S7" s="35">
        <f t="shared" si="1"/>
        <v>1756.7399999999998</v>
      </c>
      <c r="T7" s="35">
        <f t="shared" si="1"/>
        <v>1783.4399999999998</v>
      </c>
      <c r="U7" s="35">
        <f t="shared" si="1"/>
        <v>1793.8899999999999</v>
      </c>
      <c r="V7" s="35">
        <f t="shared" si="1"/>
        <v>1779.0899999999997</v>
      </c>
      <c r="W7" s="35">
        <f t="shared" si="1"/>
        <v>1798.3899999999999</v>
      </c>
      <c r="X7" s="35">
        <f t="shared" si="1"/>
        <v>1831.6899999999998</v>
      </c>
      <c r="Y7" s="35">
        <f t="shared" si="1"/>
        <v>1851.6899999999998</v>
      </c>
      <c r="Z7" s="35">
        <f t="shared" si="1"/>
        <v>1862.1899999999998</v>
      </c>
      <c r="AA7" s="35">
        <f t="shared" si="1"/>
        <v>2032.0399999999997</v>
      </c>
      <c r="AB7" s="35">
        <f t="shared" si="1"/>
        <v>2088.64</v>
      </c>
      <c r="AC7" s="35">
        <f t="shared" si="1"/>
        <v>2123.14</v>
      </c>
      <c r="AD7" s="35">
        <f t="shared" si="1"/>
        <v>2124.14</v>
      </c>
      <c r="AE7" s="35">
        <f t="shared" si="1"/>
        <v>2030.84</v>
      </c>
      <c r="AF7" s="35">
        <f t="shared" si="1"/>
        <v>2012.6399999999999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0</v>
      </c>
      <c r="C11" s="45">
        <v>60.2</v>
      </c>
      <c r="D11" s="45">
        <v>49.5</v>
      </c>
      <c r="E11" s="45">
        <v>49.5</v>
      </c>
      <c r="F11" s="45">
        <v>60.4</v>
      </c>
      <c r="G11" s="45">
        <v>60.4</v>
      </c>
      <c r="H11" s="45">
        <v>60.4</v>
      </c>
      <c r="I11" s="45">
        <v>60.4</v>
      </c>
      <c r="J11" s="45">
        <v>60.4</v>
      </c>
      <c r="K11" s="45">
        <v>60.4</v>
      </c>
      <c r="L11" s="45">
        <v>60.4</v>
      </c>
      <c r="M11" s="45">
        <v>60.4</v>
      </c>
      <c r="N11" s="45">
        <v>60.4</v>
      </c>
      <c r="O11" s="45">
        <v>60.4</v>
      </c>
      <c r="P11" s="45">
        <v>60.4</v>
      </c>
      <c r="Q11" s="45">
        <v>60.4</v>
      </c>
      <c r="R11" s="45"/>
      <c r="S11" s="45">
        <v>60.4</v>
      </c>
      <c r="T11" s="45">
        <v>60.4</v>
      </c>
      <c r="U11" s="45">
        <v>60.4</v>
      </c>
      <c r="V11" s="45">
        <v>60.4</v>
      </c>
      <c r="W11" s="45">
        <v>60.4</v>
      </c>
      <c r="X11" s="45">
        <v>60.4</v>
      </c>
      <c r="Y11" s="45">
        <v>60.4</v>
      </c>
      <c r="Z11" s="45">
        <v>60.4</v>
      </c>
      <c r="AA11" s="45">
        <v>46.4</v>
      </c>
      <c r="AB11" s="45">
        <v>46.4</v>
      </c>
      <c r="AC11" s="45">
        <v>46.4</v>
      </c>
      <c r="AD11" s="45">
        <v>46.4</v>
      </c>
      <c r="AE11" s="45">
        <v>46.4</v>
      </c>
      <c r="AF11" s="45">
        <v>46.4</v>
      </c>
      <c r="AG11" s="46">
        <v>86</v>
      </c>
      <c r="AH11" s="47">
        <f t="shared" ref="AH11:AH76" si="2">MAX(B11:AF11)</f>
        <v>60.4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/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9">
        <v>54</v>
      </c>
      <c r="AH12" s="47">
        <f t="shared" si="2"/>
        <v>0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54.1</v>
      </c>
      <c r="C13" s="45">
        <v>54.2</v>
      </c>
      <c r="D13" s="45">
        <v>54.2</v>
      </c>
      <c r="E13" s="45">
        <v>54.2</v>
      </c>
      <c r="F13" s="45">
        <v>54.1</v>
      </c>
      <c r="G13" s="45">
        <v>54.1</v>
      </c>
      <c r="H13" s="45">
        <v>54.1</v>
      </c>
      <c r="I13" s="45">
        <v>54.1</v>
      </c>
      <c r="J13" s="45">
        <v>54.1</v>
      </c>
      <c r="K13" s="45">
        <v>54.1</v>
      </c>
      <c r="L13" s="45">
        <v>54.1</v>
      </c>
      <c r="M13" s="45">
        <v>54.1</v>
      </c>
      <c r="N13" s="45">
        <v>54.1</v>
      </c>
      <c r="O13" s="45">
        <v>54.1</v>
      </c>
      <c r="P13" s="45">
        <v>54.1</v>
      </c>
      <c r="Q13" s="45">
        <v>54.1</v>
      </c>
      <c r="R13" s="45"/>
      <c r="S13" s="45">
        <v>36</v>
      </c>
      <c r="T13" s="45">
        <v>36</v>
      </c>
      <c r="U13" s="45">
        <v>35</v>
      </c>
      <c r="V13" s="45">
        <v>50.5</v>
      </c>
      <c r="W13" s="45">
        <v>50.5</v>
      </c>
      <c r="X13" s="45">
        <v>50.5</v>
      </c>
      <c r="Y13" s="45">
        <v>50.5</v>
      </c>
      <c r="Z13" s="45">
        <v>33</v>
      </c>
      <c r="AA13" s="45">
        <v>33</v>
      </c>
      <c r="AB13" s="45">
        <v>54</v>
      </c>
      <c r="AC13" s="45">
        <v>54</v>
      </c>
      <c r="AD13" s="45">
        <v>54</v>
      </c>
      <c r="AE13" s="45">
        <v>54</v>
      </c>
      <c r="AF13" s="45">
        <v>54</v>
      </c>
      <c r="AG13" s="46">
        <v>52.4</v>
      </c>
      <c r="AH13" s="47">
        <f t="shared" si="2"/>
        <v>54.2</v>
      </c>
      <c r="AI13" s="48">
        <f t="shared" si="3"/>
        <v>33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45">
        <v>50.4</v>
      </c>
      <c r="C14" s="45">
        <v>50.3</v>
      </c>
      <c r="D14" s="45">
        <v>50.3</v>
      </c>
      <c r="E14" s="45">
        <v>50.3</v>
      </c>
      <c r="F14" s="45">
        <v>50.4</v>
      </c>
      <c r="G14" s="45">
        <v>50.4</v>
      </c>
      <c r="H14" s="45">
        <v>50.4</v>
      </c>
      <c r="I14" s="45">
        <v>50.4</v>
      </c>
      <c r="J14" s="45">
        <v>50.4</v>
      </c>
      <c r="K14" s="45">
        <v>50.4</v>
      </c>
      <c r="L14" s="45">
        <v>50.4</v>
      </c>
      <c r="M14" s="45">
        <v>50.4</v>
      </c>
      <c r="N14" s="45">
        <v>50.4</v>
      </c>
      <c r="O14" s="45">
        <v>50.4</v>
      </c>
      <c r="P14" s="45">
        <v>50.4</v>
      </c>
      <c r="Q14" s="45">
        <v>50.4</v>
      </c>
      <c r="R14" s="50"/>
      <c r="S14" s="45">
        <v>50.4</v>
      </c>
      <c r="T14" s="45">
        <v>50.4</v>
      </c>
      <c r="U14" s="50">
        <v>50.6</v>
      </c>
      <c r="V14" s="50">
        <v>50.6</v>
      </c>
      <c r="W14" s="50">
        <v>50.6</v>
      </c>
      <c r="X14" s="50">
        <v>50.6</v>
      </c>
      <c r="Y14" s="50">
        <v>50.6</v>
      </c>
      <c r="Z14" s="50">
        <v>50.6</v>
      </c>
      <c r="AA14" s="45">
        <v>50.6</v>
      </c>
      <c r="AB14" s="45">
        <v>50.6</v>
      </c>
      <c r="AC14" s="45">
        <v>50.6</v>
      </c>
      <c r="AD14" s="45">
        <v>50.6</v>
      </c>
      <c r="AE14" s="45">
        <v>50.6</v>
      </c>
      <c r="AF14" s="45">
        <v>50.6</v>
      </c>
      <c r="AG14" s="49">
        <v>50</v>
      </c>
      <c r="AH14" s="47">
        <f t="shared" si="2"/>
        <v>50.6</v>
      </c>
      <c r="AI14" s="48">
        <f t="shared" si="3"/>
        <v>50.3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45.8</v>
      </c>
      <c r="C15" s="45">
        <v>46.1</v>
      </c>
      <c r="D15" s="45">
        <v>45.9</v>
      </c>
      <c r="E15" s="45">
        <v>45.9</v>
      </c>
      <c r="F15" s="45">
        <v>45.8</v>
      </c>
      <c r="G15" s="45">
        <v>45.8</v>
      </c>
      <c r="H15" s="45">
        <v>45.8</v>
      </c>
      <c r="I15" s="45">
        <v>45.8</v>
      </c>
      <c r="J15" s="45">
        <v>45.8</v>
      </c>
      <c r="K15" s="45">
        <v>45.8</v>
      </c>
      <c r="L15" s="45">
        <v>45.8</v>
      </c>
      <c r="M15" s="45">
        <v>45.8</v>
      </c>
      <c r="N15" s="45">
        <v>45.8</v>
      </c>
      <c r="O15" s="45">
        <v>45.8</v>
      </c>
      <c r="P15" s="45">
        <v>45.8</v>
      </c>
      <c r="Q15" s="45">
        <v>45.8</v>
      </c>
      <c r="R15" s="45"/>
      <c r="S15" s="45">
        <v>45.8</v>
      </c>
      <c r="T15" s="45">
        <v>45.8</v>
      </c>
      <c r="U15" s="45">
        <v>45.9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45.9</v>
      </c>
      <c r="AB15" s="45">
        <v>45.9</v>
      </c>
      <c r="AC15" s="45">
        <v>45.9</v>
      </c>
      <c r="AD15" s="45">
        <v>45.9</v>
      </c>
      <c r="AE15" s="45">
        <v>45.9</v>
      </c>
      <c r="AF15" s="45">
        <v>45.9</v>
      </c>
      <c r="AG15" s="49">
        <v>45</v>
      </c>
      <c r="AH15" s="47">
        <f t="shared" si="2"/>
        <v>46.1</v>
      </c>
      <c r="AI15" s="48">
        <f t="shared" si="3"/>
        <v>45.8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42</v>
      </c>
      <c r="C16" s="45">
        <v>42</v>
      </c>
      <c r="D16" s="45">
        <v>42</v>
      </c>
      <c r="E16" s="45">
        <v>42</v>
      </c>
      <c r="F16" s="45">
        <v>42</v>
      </c>
      <c r="G16" s="45">
        <v>42</v>
      </c>
      <c r="H16" s="45">
        <v>42</v>
      </c>
      <c r="I16" s="45">
        <v>42</v>
      </c>
      <c r="J16" s="45">
        <v>42</v>
      </c>
      <c r="K16" s="45">
        <v>42</v>
      </c>
      <c r="L16" s="45">
        <v>42</v>
      </c>
      <c r="M16" s="45">
        <v>42</v>
      </c>
      <c r="N16" s="45">
        <v>42</v>
      </c>
      <c r="O16" s="45">
        <v>42</v>
      </c>
      <c r="P16" s="45">
        <v>42</v>
      </c>
      <c r="Q16" s="45">
        <v>42</v>
      </c>
      <c r="R16" s="45"/>
      <c r="S16" s="45">
        <v>42</v>
      </c>
      <c r="T16" s="45">
        <v>42</v>
      </c>
      <c r="U16" s="45">
        <v>42</v>
      </c>
      <c r="V16" s="45">
        <v>42</v>
      </c>
      <c r="W16" s="45">
        <v>42</v>
      </c>
      <c r="X16" s="45">
        <v>42</v>
      </c>
      <c r="Y16" s="45">
        <v>42</v>
      </c>
      <c r="Z16" s="45">
        <v>42</v>
      </c>
      <c r="AA16" s="45">
        <v>42</v>
      </c>
      <c r="AB16" s="45">
        <v>42</v>
      </c>
      <c r="AC16" s="45">
        <v>42</v>
      </c>
      <c r="AD16" s="45">
        <v>42</v>
      </c>
      <c r="AE16" s="45">
        <v>42</v>
      </c>
      <c r="AF16" s="45">
        <v>42</v>
      </c>
      <c r="AG16" s="49">
        <v>44</v>
      </c>
      <c r="AH16" s="47">
        <f>MAX(B16:AG16)</f>
        <v>44</v>
      </c>
      <c r="AI16" s="48">
        <f>MIN(B16:AG16)</f>
        <v>42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29</v>
      </c>
      <c r="C17" s="45">
        <v>29</v>
      </c>
      <c r="D17" s="45">
        <v>29</v>
      </c>
      <c r="E17" s="45">
        <v>29</v>
      </c>
      <c r="F17" s="45">
        <v>29</v>
      </c>
      <c r="G17" s="45">
        <v>29</v>
      </c>
      <c r="H17" s="45">
        <v>29</v>
      </c>
      <c r="I17" s="45">
        <v>29</v>
      </c>
      <c r="J17" s="45">
        <v>29</v>
      </c>
      <c r="K17" s="45">
        <v>29</v>
      </c>
      <c r="L17" s="45">
        <v>29</v>
      </c>
      <c r="M17" s="45">
        <v>29</v>
      </c>
      <c r="N17" s="45">
        <v>29</v>
      </c>
      <c r="O17" s="45">
        <v>29</v>
      </c>
      <c r="P17" s="45">
        <v>29</v>
      </c>
      <c r="Q17" s="45">
        <v>29</v>
      </c>
      <c r="R17" s="45"/>
      <c r="S17" s="45">
        <v>29</v>
      </c>
      <c r="T17" s="45">
        <v>29</v>
      </c>
      <c r="U17" s="45">
        <v>30.55</v>
      </c>
      <c r="V17" s="45">
        <v>30.55</v>
      </c>
      <c r="W17" s="45">
        <v>30.55</v>
      </c>
      <c r="X17" s="45">
        <v>30.55</v>
      </c>
      <c r="Y17" s="45">
        <v>30.55</v>
      </c>
      <c r="Z17" s="45">
        <v>30.55</v>
      </c>
      <c r="AA17" s="45">
        <v>35</v>
      </c>
      <c r="AB17" s="45">
        <v>36</v>
      </c>
      <c r="AC17" s="45">
        <v>36</v>
      </c>
      <c r="AD17" s="45">
        <v>36</v>
      </c>
      <c r="AE17" s="45">
        <v>36</v>
      </c>
      <c r="AF17" s="45">
        <v>36</v>
      </c>
      <c r="AG17" s="49">
        <v>42</v>
      </c>
      <c r="AH17" s="47">
        <f t="shared" si="2"/>
        <v>36</v>
      </c>
      <c r="AI17" s="48">
        <f t="shared" si="3"/>
        <v>29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36</v>
      </c>
      <c r="C18" s="45">
        <v>36</v>
      </c>
      <c r="D18" s="45">
        <v>36</v>
      </c>
      <c r="E18" s="45">
        <v>36</v>
      </c>
      <c r="F18" s="45">
        <v>36</v>
      </c>
      <c r="G18" s="45">
        <v>36</v>
      </c>
      <c r="H18" s="45">
        <v>36</v>
      </c>
      <c r="I18" s="45">
        <v>36</v>
      </c>
      <c r="J18" s="45">
        <v>36</v>
      </c>
      <c r="K18" s="45">
        <v>36</v>
      </c>
      <c r="L18" s="45">
        <v>36</v>
      </c>
      <c r="M18" s="45">
        <v>36</v>
      </c>
      <c r="N18" s="45">
        <v>36</v>
      </c>
      <c r="O18" s="45">
        <v>36</v>
      </c>
      <c r="P18" s="45">
        <v>36</v>
      </c>
      <c r="Q18" s="45">
        <v>0</v>
      </c>
      <c r="R18" s="45"/>
      <c r="S18" s="45">
        <v>0</v>
      </c>
      <c r="T18" s="45">
        <v>0</v>
      </c>
      <c r="U18" s="45">
        <v>36</v>
      </c>
      <c r="V18" s="45">
        <v>36</v>
      </c>
      <c r="W18" s="45">
        <v>36</v>
      </c>
      <c r="X18" s="45">
        <v>36</v>
      </c>
      <c r="Y18" s="45">
        <v>36</v>
      </c>
      <c r="Z18" s="45">
        <v>36</v>
      </c>
      <c r="AA18" s="45">
        <v>36</v>
      </c>
      <c r="AB18" s="45">
        <v>36</v>
      </c>
      <c r="AC18" s="45">
        <v>36</v>
      </c>
      <c r="AD18" s="45">
        <v>36</v>
      </c>
      <c r="AE18" s="45">
        <v>36</v>
      </c>
      <c r="AF18" s="45">
        <v>36</v>
      </c>
      <c r="AG18" s="49">
        <v>38.46</v>
      </c>
      <c r="AH18" s="47">
        <f t="shared" si="2"/>
        <v>36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/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49">
        <v>36</v>
      </c>
      <c r="AH19" s="47">
        <f t="shared" si="2"/>
        <v>25</v>
      </c>
      <c r="AI19" s="48">
        <f t="shared" si="3"/>
        <v>25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5.3</v>
      </c>
      <c r="C20" s="45">
        <v>5.0999999999999996</v>
      </c>
      <c r="D20" s="45">
        <v>4.8</v>
      </c>
      <c r="E20" s="45">
        <v>4.8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5"/>
      <c r="S20" s="45">
        <v>0</v>
      </c>
      <c r="T20" s="45">
        <v>0</v>
      </c>
      <c r="U20" s="45">
        <v>5</v>
      </c>
      <c r="V20" s="45">
        <v>5</v>
      </c>
      <c r="W20" s="45">
        <v>5</v>
      </c>
      <c r="X20" s="45">
        <v>5</v>
      </c>
      <c r="Y20" s="45">
        <v>5</v>
      </c>
      <c r="Z20" s="45">
        <v>5</v>
      </c>
      <c r="AA20" s="45">
        <v>5</v>
      </c>
      <c r="AB20" s="45">
        <v>25</v>
      </c>
      <c r="AC20" s="45">
        <v>25</v>
      </c>
      <c r="AD20" s="45">
        <v>25</v>
      </c>
      <c r="AE20" s="45">
        <v>25</v>
      </c>
      <c r="AF20" s="45">
        <v>25</v>
      </c>
      <c r="AG20" s="51">
        <v>30</v>
      </c>
      <c r="AH20" s="47">
        <f t="shared" si="2"/>
        <v>25</v>
      </c>
      <c r="AI20" s="48">
        <f t="shared" si="3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20.6</v>
      </c>
      <c r="C21" s="45">
        <v>20.7</v>
      </c>
      <c r="D21" s="45">
        <v>20.7</v>
      </c>
      <c r="E21" s="45">
        <v>20.7</v>
      </c>
      <c r="F21" s="45">
        <v>20.7</v>
      </c>
      <c r="G21" s="45">
        <v>20.7</v>
      </c>
      <c r="H21" s="45">
        <v>20.7</v>
      </c>
      <c r="I21" s="45">
        <v>20.7</v>
      </c>
      <c r="J21" s="45">
        <v>20.7</v>
      </c>
      <c r="K21" s="45">
        <v>20.7</v>
      </c>
      <c r="L21" s="45">
        <v>20.7</v>
      </c>
      <c r="M21" s="45">
        <v>20.7</v>
      </c>
      <c r="N21" s="45">
        <v>20.7</v>
      </c>
      <c r="O21" s="45">
        <v>20.7</v>
      </c>
      <c r="P21" s="45">
        <v>20.7</v>
      </c>
      <c r="Q21" s="45">
        <v>20.7</v>
      </c>
      <c r="R21" s="45"/>
      <c r="S21" s="45">
        <v>20.7</v>
      </c>
      <c r="T21" s="45">
        <v>20.7</v>
      </c>
      <c r="U21" s="45">
        <v>0</v>
      </c>
      <c r="V21" s="45">
        <v>0</v>
      </c>
      <c r="W21" s="45">
        <v>0</v>
      </c>
      <c r="X21" s="45">
        <v>10</v>
      </c>
      <c r="Y21" s="45">
        <v>10</v>
      </c>
      <c r="Z21" s="45">
        <v>20</v>
      </c>
      <c r="AA21" s="45">
        <v>20</v>
      </c>
      <c r="AB21" s="45">
        <v>32.799999999999997</v>
      </c>
      <c r="AC21" s="45">
        <v>32.799999999999997</v>
      </c>
      <c r="AD21" s="45">
        <v>32.799999999999997</v>
      </c>
      <c r="AE21" s="45">
        <v>32.799999999999997</v>
      </c>
      <c r="AF21" s="45">
        <v>32.799999999999997</v>
      </c>
      <c r="AG21" s="49">
        <v>24.2</v>
      </c>
      <c r="AH21" s="47">
        <f t="shared" si="2"/>
        <v>32.799999999999997</v>
      </c>
      <c r="AI21" s="48">
        <f t="shared" si="3"/>
        <v>0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20.6</v>
      </c>
      <c r="C22" s="45">
        <v>20.6</v>
      </c>
      <c r="D22" s="45">
        <v>20.6</v>
      </c>
      <c r="E22" s="45">
        <v>20.6</v>
      </c>
      <c r="F22" s="45">
        <v>20.6</v>
      </c>
      <c r="G22" s="45">
        <v>20.6</v>
      </c>
      <c r="H22" s="45">
        <v>20.6</v>
      </c>
      <c r="I22" s="45">
        <v>20.6</v>
      </c>
      <c r="J22" s="45">
        <v>20.6</v>
      </c>
      <c r="K22" s="45">
        <v>20.6</v>
      </c>
      <c r="L22" s="45">
        <v>20.6</v>
      </c>
      <c r="M22" s="45">
        <v>20.6</v>
      </c>
      <c r="N22" s="45">
        <v>20.6</v>
      </c>
      <c r="O22" s="45">
        <v>20.6</v>
      </c>
      <c r="P22" s="45">
        <v>20.6</v>
      </c>
      <c r="Q22" s="45">
        <v>20.6</v>
      </c>
      <c r="R22" s="45"/>
      <c r="S22" s="45">
        <v>20.6</v>
      </c>
      <c r="T22" s="45">
        <v>20.6</v>
      </c>
      <c r="U22" s="45">
        <v>0</v>
      </c>
      <c r="V22" s="45">
        <v>0</v>
      </c>
      <c r="W22" s="45">
        <v>0</v>
      </c>
      <c r="X22" s="45">
        <v>28</v>
      </c>
      <c r="Y22" s="45">
        <v>28</v>
      </c>
      <c r="Z22" s="45">
        <v>28</v>
      </c>
      <c r="AA22" s="45">
        <v>28</v>
      </c>
      <c r="AB22" s="45">
        <v>28</v>
      </c>
      <c r="AC22" s="45">
        <v>28</v>
      </c>
      <c r="AD22" s="45">
        <v>28</v>
      </c>
      <c r="AE22" s="45">
        <v>28</v>
      </c>
      <c r="AF22" s="45">
        <v>28</v>
      </c>
      <c r="AG22" s="49">
        <v>28</v>
      </c>
      <c r="AH22" s="47">
        <f t="shared" si="2"/>
        <v>28</v>
      </c>
      <c r="AI22" s="48">
        <f t="shared" si="3"/>
        <v>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9</v>
      </c>
      <c r="D23" s="45">
        <v>9</v>
      </c>
      <c r="E23" s="45">
        <v>9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/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5</v>
      </c>
      <c r="AA23" s="45">
        <v>5</v>
      </c>
      <c r="AB23" s="45">
        <v>10</v>
      </c>
      <c r="AC23" s="45">
        <v>10</v>
      </c>
      <c r="AD23" s="45">
        <v>10</v>
      </c>
      <c r="AE23" s="45">
        <v>10</v>
      </c>
      <c r="AF23" s="45">
        <v>10</v>
      </c>
      <c r="AG23" s="51">
        <v>30</v>
      </c>
      <c r="AH23" s="47">
        <f t="shared" si="2"/>
        <v>10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26.4</v>
      </c>
      <c r="C24" s="45">
        <v>26.3</v>
      </c>
      <c r="D24" s="45">
        <v>26.2</v>
      </c>
      <c r="E24" s="45">
        <v>26.2</v>
      </c>
      <c r="F24" s="45">
        <v>26.2</v>
      </c>
      <c r="G24" s="45">
        <v>26.2</v>
      </c>
      <c r="H24" s="45">
        <v>26.2</v>
      </c>
      <c r="I24" s="45">
        <v>26.2</v>
      </c>
      <c r="J24" s="45">
        <v>26.2</v>
      </c>
      <c r="K24" s="45">
        <v>26.2</v>
      </c>
      <c r="L24" s="45">
        <v>26.2</v>
      </c>
      <c r="M24" s="45">
        <v>26.2</v>
      </c>
      <c r="N24" s="45">
        <v>26.2</v>
      </c>
      <c r="O24" s="45">
        <v>26.2</v>
      </c>
      <c r="P24" s="45">
        <v>26.2</v>
      </c>
      <c r="Q24" s="45">
        <v>26.2</v>
      </c>
      <c r="R24" s="45"/>
      <c r="S24" s="45">
        <v>26.2</v>
      </c>
      <c r="T24" s="45">
        <v>26.2</v>
      </c>
      <c r="U24" s="45">
        <v>25.9</v>
      </c>
      <c r="V24" s="45">
        <v>25.9</v>
      </c>
      <c r="W24" s="45">
        <v>25.9</v>
      </c>
      <c r="X24" s="45">
        <v>25.9</v>
      </c>
      <c r="Y24" s="45">
        <v>25.9</v>
      </c>
      <c r="Z24" s="45">
        <v>25.9</v>
      </c>
      <c r="AA24" s="45">
        <v>25.9</v>
      </c>
      <c r="AB24" s="45">
        <v>25.9</v>
      </c>
      <c r="AC24" s="45">
        <v>25.9</v>
      </c>
      <c r="AD24" s="45">
        <v>25.9</v>
      </c>
      <c r="AE24" s="45">
        <v>25.9</v>
      </c>
      <c r="AF24" s="45">
        <v>25.9</v>
      </c>
      <c r="AG24" s="49">
        <v>25</v>
      </c>
      <c r="AH24" s="47">
        <f t="shared" si="2"/>
        <v>26.4</v>
      </c>
      <c r="AI24" s="48">
        <f t="shared" si="3"/>
        <v>25.9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/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/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4</v>
      </c>
      <c r="C27" s="45">
        <v>4</v>
      </c>
      <c r="D27" s="45">
        <v>4</v>
      </c>
      <c r="E27" s="45">
        <v>4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/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5</v>
      </c>
      <c r="AA27" s="45">
        <v>5</v>
      </c>
      <c r="AB27" s="45">
        <v>10</v>
      </c>
      <c r="AC27" s="45">
        <v>10</v>
      </c>
      <c r="AD27" s="45">
        <v>10</v>
      </c>
      <c r="AE27" s="45">
        <v>10</v>
      </c>
      <c r="AF27" s="45">
        <v>10</v>
      </c>
      <c r="AG27" s="49">
        <v>25</v>
      </c>
      <c r="AH27" s="47">
        <f t="shared" si="2"/>
        <v>10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15.5</v>
      </c>
      <c r="C28" s="45">
        <v>15.2</v>
      </c>
      <c r="D28" s="45">
        <v>15.4</v>
      </c>
      <c r="E28" s="45">
        <v>15.4</v>
      </c>
      <c r="F28" s="45">
        <v>15.4</v>
      </c>
      <c r="G28" s="45">
        <v>15.4</v>
      </c>
      <c r="H28" s="45">
        <v>15.4</v>
      </c>
      <c r="I28" s="45">
        <v>15.4</v>
      </c>
      <c r="J28" s="45">
        <v>15.4</v>
      </c>
      <c r="K28" s="45">
        <v>15.4</v>
      </c>
      <c r="L28" s="45">
        <v>15.4</v>
      </c>
      <c r="M28" s="45">
        <v>15.4</v>
      </c>
      <c r="N28" s="45">
        <v>15.4</v>
      </c>
      <c r="O28" s="45">
        <v>15.4</v>
      </c>
      <c r="P28" s="45">
        <v>15.4</v>
      </c>
      <c r="Q28" s="45">
        <v>15.4</v>
      </c>
      <c r="R28" s="45"/>
      <c r="S28" s="45">
        <v>15.4</v>
      </c>
      <c r="T28" s="45">
        <v>15.4</v>
      </c>
      <c r="U28" s="45">
        <v>15.4</v>
      </c>
      <c r="V28" s="45">
        <v>15.4</v>
      </c>
      <c r="W28" s="45">
        <v>15.4</v>
      </c>
      <c r="X28" s="45">
        <v>15.4</v>
      </c>
      <c r="Y28" s="45">
        <v>15.4</v>
      </c>
      <c r="Z28" s="45">
        <v>15.4</v>
      </c>
      <c r="AA28" s="45">
        <v>15.4</v>
      </c>
      <c r="AB28" s="45">
        <v>15.4</v>
      </c>
      <c r="AC28" s="45">
        <v>15.4</v>
      </c>
      <c r="AD28" s="45">
        <v>15.4</v>
      </c>
      <c r="AE28" s="45">
        <v>15.4</v>
      </c>
      <c r="AF28" s="45">
        <v>15.4</v>
      </c>
      <c r="AG28" s="49">
        <v>23.5</v>
      </c>
      <c r="AH28" s="47">
        <f t="shared" si="2"/>
        <v>15.5</v>
      </c>
      <c r="AI28" s="48">
        <f t="shared" si="3"/>
        <v>15.2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20</v>
      </c>
      <c r="C29" s="45">
        <v>20</v>
      </c>
      <c r="D29" s="45">
        <v>20</v>
      </c>
      <c r="E29" s="45">
        <v>20</v>
      </c>
      <c r="F29" s="45">
        <v>20</v>
      </c>
      <c r="G29" s="45">
        <v>20</v>
      </c>
      <c r="H29" s="45">
        <v>20</v>
      </c>
      <c r="I29" s="45">
        <v>20</v>
      </c>
      <c r="J29" s="45">
        <v>20</v>
      </c>
      <c r="K29" s="45">
        <v>20</v>
      </c>
      <c r="L29" s="45">
        <v>20</v>
      </c>
      <c r="M29" s="45">
        <v>20</v>
      </c>
      <c r="N29" s="45">
        <v>20</v>
      </c>
      <c r="O29" s="45">
        <v>20</v>
      </c>
      <c r="P29" s="45">
        <v>20</v>
      </c>
      <c r="Q29" s="45">
        <v>20</v>
      </c>
      <c r="R29" s="45"/>
      <c r="S29" s="45">
        <v>20</v>
      </c>
      <c r="T29" s="45">
        <v>20</v>
      </c>
      <c r="U29" s="45">
        <v>20</v>
      </c>
      <c r="V29" s="45">
        <v>20</v>
      </c>
      <c r="W29" s="45">
        <v>20</v>
      </c>
      <c r="X29" s="45">
        <v>20</v>
      </c>
      <c r="Y29" s="45">
        <v>20</v>
      </c>
      <c r="Z29" s="45">
        <v>20</v>
      </c>
      <c r="AA29" s="45">
        <v>20</v>
      </c>
      <c r="AB29" s="45">
        <v>20</v>
      </c>
      <c r="AC29" s="45">
        <v>20</v>
      </c>
      <c r="AD29" s="45">
        <v>20</v>
      </c>
      <c r="AE29" s="45">
        <v>20</v>
      </c>
      <c r="AF29" s="45">
        <v>20</v>
      </c>
      <c r="AG29" s="49">
        <v>22.2</v>
      </c>
      <c r="AH29" s="47">
        <f t="shared" si="2"/>
        <v>20</v>
      </c>
      <c r="AI29" s="48">
        <f t="shared" si="3"/>
        <v>20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/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/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21</v>
      </c>
      <c r="C32" s="45">
        <v>18.3</v>
      </c>
      <c r="D32" s="45">
        <v>18.2</v>
      </c>
      <c r="E32" s="45">
        <v>18.2</v>
      </c>
      <c r="F32" s="45">
        <v>19</v>
      </c>
      <c r="G32" s="45">
        <v>19</v>
      </c>
      <c r="H32" s="45">
        <v>19</v>
      </c>
      <c r="I32" s="45">
        <v>19</v>
      </c>
      <c r="J32" s="45">
        <v>19</v>
      </c>
      <c r="K32" s="45">
        <v>19</v>
      </c>
      <c r="L32" s="45">
        <v>19</v>
      </c>
      <c r="M32" s="45">
        <v>19</v>
      </c>
      <c r="N32" s="45">
        <v>19</v>
      </c>
      <c r="O32" s="45">
        <v>19</v>
      </c>
      <c r="P32" s="45">
        <v>19</v>
      </c>
      <c r="Q32" s="45">
        <v>19</v>
      </c>
      <c r="R32" s="45"/>
      <c r="S32" s="45">
        <v>19</v>
      </c>
      <c r="T32" s="45">
        <v>19</v>
      </c>
      <c r="U32" s="45">
        <v>19</v>
      </c>
      <c r="V32" s="45">
        <v>19</v>
      </c>
      <c r="W32" s="45">
        <v>19</v>
      </c>
      <c r="X32" s="45">
        <v>19</v>
      </c>
      <c r="Y32" s="45">
        <v>19</v>
      </c>
      <c r="Z32" s="45">
        <v>19</v>
      </c>
      <c r="AA32" s="45">
        <v>19</v>
      </c>
      <c r="AB32" s="45">
        <v>19</v>
      </c>
      <c r="AC32" s="45">
        <v>19</v>
      </c>
      <c r="AD32" s="45">
        <v>19</v>
      </c>
      <c r="AE32" s="45">
        <v>19</v>
      </c>
      <c r="AF32" s="45">
        <v>19</v>
      </c>
      <c r="AG32" s="49">
        <v>22</v>
      </c>
      <c r="AH32" s="47">
        <f t="shared" si="2"/>
        <v>21</v>
      </c>
      <c r="AI32" s="48">
        <f t="shared" si="3"/>
        <v>18.2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4</v>
      </c>
      <c r="C33" s="45">
        <v>4</v>
      </c>
      <c r="D33" s="45">
        <v>4</v>
      </c>
      <c r="E33" s="45">
        <v>4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/>
      <c r="S33" s="56">
        <v>0</v>
      </c>
      <c r="T33" s="56">
        <v>0</v>
      </c>
      <c r="U33" s="56">
        <v>0</v>
      </c>
      <c r="V33" s="56">
        <v>0</v>
      </c>
      <c r="W33" s="56">
        <v>0</v>
      </c>
      <c r="X33" s="56"/>
      <c r="Y33" s="56">
        <v>10</v>
      </c>
      <c r="Z33" s="56">
        <v>10</v>
      </c>
      <c r="AA33" s="45">
        <v>10</v>
      </c>
      <c r="AB33" s="45">
        <v>10</v>
      </c>
      <c r="AC33" s="45">
        <v>10</v>
      </c>
      <c r="AD33" s="45">
        <v>10</v>
      </c>
      <c r="AE33" s="45">
        <v>10</v>
      </c>
      <c r="AF33" s="45">
        <v>10</v>
      </c>
      <c r="AG33" s="49">
        <v>20</v>
      </c>
      <c r="AH33" s="47">
        <f t="shared" si="2"/>
        <v>10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10</v>
      </c>
      <c r="C34" s="45">
        <v>10</v>
      </c>
      <c r="D34" s="45">
        <v>10</v>
      </c>
      <c r="E34" s="45">
        <v>10</v>
      </c>
      <c r="F34" s="45">
        <v>10</v>
      </c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10</v>
      </c>
      <c r="R34" s="45"/>
      <c r="S34" s="50">
        <v>10</v>
      </c>
      <c r="T34" s="50">
        <v>10</v>
      </c>
      <c r="U34" s="50">
        <v>10</v>
      </c>
      <c r="V34" s="50">
        <v>10</v>
      </c>
      <c r="W34" s="50">
        <v>10</v>
      </c>
      <c r="X34" s="50">
        <v>10</v>
      </c>
      <c r="Y34" s="50">
        <v>10</v>
      </c>
      <c r="Z34" s="50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49">
        <v>18</v>
      </c>
      <c r="AH34" s="47">
        <f t="shared" si="2"/>
        <v>10</v>
      </c>
      <c r="AI34" s="48">
        <f t="shared" si="3"/>
        <v>10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0</v>
      </c>
      <c r="R35" s="45"/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/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/>
      <c r="S37" s="64">
        <v>4</v>
      </c>
      <c r="T37" s="64">
        <v>4</v>
      </c>
      <c r="U37" s="64">
        <v>4</v>
      </c>
      <c r="V37" s="64">
        <v>4</v>
      </c>
      <c r="W37" s="64">
        <v>4</v>
      </c>
      <c r="X37" s="64">
        <v>4</v>
      </c>
      <c r="Y37" s="64">
        <v>4</v>
      </c>
      <c r="Z37" s="64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49">
        <v>13.6</v>
      </c>
      <c r="AH37" s="47">
        <f t="shared" si="2"/>
        <v>4</v>
      </c>
      <c r="AI37" s="48">
        <f t="shared" si="3"/>
        <v>4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5.75" thickBot="1" x14ac:dyDescent="0.3">
      <c r="A38" s="44" t="s">
        <v>54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/>
      <c r="S38" s="66">
        <v>6</v>
      </c>
      <c r="T38" s="66">
        <v>6</v>
      </c>
      <c r="U38" s="66">
        <v>6</v>
      </c>
      <c r="V38" s="66">
        <v>6</v>
      </c>
      <c r="W38" s="66">
        <v>6</v>
      </c>
      <c r="X38" s="66">
        <v>6</v>
      </c>
      <c r="Y38" s="66">
        <v>6</v>
      </c>
      <c r="Z38" s="66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5.75" thickBot="1" x14ac:dyDescent="0.3">
      <c r="A39" s="44" t="s">
        <v>55</v>
      </c>
      <c r="B39" s="45">
        <v>6</v>
      </c>
      <c r="C39" s="45">
        <v>6</v>
      </c>
      <c r="D39" s="45">
        <v>6</v>
      </c>
      <c r="E39" s="45">
        <v>6</v>
      </c>
      <c r="F39" s="45">
        <v>6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/>
      <c r="S39" s="59">
        <v>0</v>
      </c>
      <c r="T39" s="59">
        <v>0</v>
      </c>
      <c r="U39" s="59">
        <v>0</v>
      </c>
      <c r="V39" s="59">
        <v>0</v>
      </c>
      <c r="W39" s="59">
        <v>0</v>
      </c>
      <c r="X39" s="59">
        <v>0</v>
      </c>
      <c r="Y39" s="59">
        <v>0</v>
      </c>
      <c r="Z39" s="59">
        <v>0</v>
      </c>
      <c r="AA39" s="45">
        <v>3</v>
      </c>
      <c r="AB39" s="45">
        <v>3</v>
      </c>
      <c r="AC39" s="45">
        <v>3</v>
      </c>
      <c r="AD39" s="45">
        <v>3</v>
      </c>
      <c r="AE39" s="45">
        <v>3</v>
      </c>
      <c r="AF39" s="45">
        <v>3</v>
      </c>
      <c r="AG39" s="49">
        <v>12</v>
      </c>
      <c r="AH39" s="47">
        <f t="shared" si="2"/>
        <v>6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2</v>
      </c>
      <c r="C40" s="45">
        <v>2</v>
      </c>
      <c r="D40" s="45">
        <v>2</v>
      </c>
      <c r="E40" s="45">
        <v>2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/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>
        <v>2</v>
      </c>
      <c r="AB40" s="45">
        <v>2</v>
      </c>
      <c r="AC40" s="45">
        <v>2</v>
      </c>
      <c r="AD40" s="45">
        <v>2</v>
      </c>
      <c r="AE40" s="45">
        <v>2</v>
      </c>
      <c r="AF40" s="45">
        <v>2</v>
      </c>
      <c r="AG40" s="49">
        <v>12</v>
      </c>
      <c r="AH40" s="47">
        <f t="shared" si="2"/>
        <v>2</v>
      </c>
      <c r="AI40" s="48">
        <f t="shared" si="3"/>
        <v>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/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49">
        <v>12</v>
      </c>
      <c r="AH41" s="47">
        <f t="shared" si="2"/>
        <v>8</v>
      </c>
      <c r="AI41" s="48">
        <f t="shared" si="3"/>
        <v>8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/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/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/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9.6</v>
      </c>
      <c r="C45" s="45">
        <v>9.6</v>
      </c>
      <c r="D45" s="45">
        <v>9.6</v>
      </c>
      <c r="E45" s="45">
        <v>9.6</v>
      </c>
      <c r="F45" s="45">
        <v>9.6</v>
      </c>
      <c r="G45" s="45">
        <v>9.6</v>
      </c>
      <c r="H45" s="45">
        <v>9.6</v>
      </c>
      <c r="I45" s="45">
        <v>9.6</v>
      </c>
      <c r="J45" s="45">
        <v>9.6</v>
      </c>
      <c r="K45" s="45">
        <v>9.6</v>
      </c>
      <c r="L45" s="45">
        <v>9.6</v>
      </c>
      <c r="M45" s="45">
        <v>9.6</v>
      </c>
      <c r="N45" s="45">
        <v>9.6</v>
      </c>
      <c r="O45" s="45">
        <v>9.6</v>
      </c>
      <c r="P45" s="45">
        <v>9.6</v>
      </c>
      <c r="Q45" s="45">
        <v>9.6</v>
      </c>
      <c r="R45" s="45"/>
      <c r="S45" s="45">
        <v>9.6</v>
      </c>
      <c r="T45" s="45">
        <v>9.6</v>
      </c>
      <c r="U45" s="45">
        <v>9.6</v>
      </c>
      <c r="V45" s="45">
        <v>9.6</v>
      </c>
      <c r="W45" s="45">
        <v>9.6</v>
      </c>
      <c r="X45" s="45">
        <v>9.6</v>
      </c>
      <c r="Y45" s="45">
        <v>9.6</v>
      </c>
      <c r="Z45" s="45">
        <v>9.6</v>
      </c>
      <c r="AA45" s="45">
        <v>9.6</v>
      </c>
      <c r="AB45" s="45">
        <v>9.6</v>
      </c>
      <c r="AC45" s="45">
        <v>9.6</v>
      </c>
      <c r="AD45" s="45">
        <v>9.6</v>
      </c>
      <c r="AE45" s="45">
        <v>9.6</v>
      </c>
      <c r="AF45" s="45">
        <v>9.6</v>
      </c>
      <c r="AG45" s="54">
        <v>10</v>
      </c>
      <c r="AH45" s="47">
        <f t="shared" si="2"/>
        <v>9.6</v>
      </c>
      <c r="AI45" s="48">
        <f t="shared" si="3"/>
        <v>9.6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0</v>
      </c>
      <c r="R46" s="45"/>
      <c r="S46" s="64">
        <v>10</v>
      </c>
      <c r="T46" s="64">
        <v>10</v>
      </c>
      <c r="U46" s="64">
        <v>10</v>
      </c>
      <c r="V46" s="64">
        <v>10</v>
      </c>
      <c r="W46" s="64">
        <v>10</v>
      </c>
      <c r="X46" s="64">
        <v>10</v>
      </c>
      <c r="Y46" s="64">
        <v>10</v>
      </c>
      <c r="Z46" s="64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2</v>
      </c>
      <c r="M47" s="45">
        <v>2</v>
      </c>
      <c r="N47" s="45">
        <v>2</v>
      </c>
      <c r="O47" s="45">
        <v>2</v>
      </c>
      <c r="P47" s="45">
        <v>2</v>
      </c>
      <c r="Q47" s="45">
        <v>2</v>
      </c>
      <c r="R47" s="45"/>
      <c r="S47" s="64">
        <v>2</v>
      </c>
      <c r="T47" s="64">
        <v>2</v>
      </c>
      <c r="U47" s="64">
        <v>2</v>
      </c>
      <c r="V47" s="64">
        <v>2</v>
      </c>
      <c r="W47" s="64">
        <v>2</v>
      </c>
      <c r="X47" s="64">
        <v>2</v>
      </c>
      <c r="Y47" s="64">
        <v>2</v>
      </c>
      <c r="Z47" s="64">
        <v>2</v>
      </c>
      <c r="AA47" s="45">
        <v>2</v>
      </c>
      <c r="AB47" s="45">
        <v>2</v>
      </c>
      <c r="AC47" s="45">
        <v>2</v>
      </c>
      <c r="AD47" s="45">
        <v>2</v>
      </c>
      <c r="AE47" s="45">
        <v>2</v>
      </c>
      <c r="AF47" s="45">
        <v>2</v>
      </c>
      <c r="AG47" s="54">
        <v>10</v>
      </c>
      <c r="AH47" s="47">
        <f t="shared" si="2"/>
        <v>2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C50" si="4">SUM(B11:B48)</f>
        <v>814.80000000000007</v>
      </c>
      <c r="C50" s="59">
        <f t="shared" si="4"/>
        <v>872.1</v>
      </c>
      <c r="D50" s="59">
        <f t="shared" ref="D50:AF50" si="5">SUM(D11:D48)</f>
        <v>860.9</v>
      </c>
      <c r="E50" s="59">
        <f t="shared" si="5"/>
        <v>860.9</v>
      </c>
      <c r="F50" s="59">
        <f t="shared" si="5"/>
        <v>850.69999999999993</v>
      </c>
      <c r="G50" s="59">
        <f t="shared" si="5"/>
        <v>844.69999999999993</v>
      </c>
      <c r="H50" s="59">
        <f t="shared" si="5"/>
        <v>844.69999999999993</v>
      </c>
      <c r="I50" s="59">
        <f t="shared" si="5"/>
        <v>844.69999999999993</v>
      </c>
      <c r="J50" s="59">
        <f t="shared" si="5"/>
        <v>844.69999999999993</v>
      </c>
      <c r="K50" s="59">
        <f t="shared" si="5"/>
        <v>844.69999999999993</v>
      </c>
      <c r="L50" s="59">
        <f t="shared" si="5"/>
        <v>846.69999999999993</v>
      </c>
      <c r="M50" s="59">
        <f t="shared" si="5"/>
        <v>846.69999999999993</v>
      </c>
      <c r="N50" s="59">
        <f t="shared" si="5"/>
        <v>846.69999999999993</v>
      </c>
      <c r="O50" s="59">
        <f t="shared" si="5"/>
        <v>846.69999999999993</v>
      </c>
      <c r="P50" s="59">
        <f t="shared" si="5"/>
        <v>846.69999999999993</v>
      </c>
      <c r="Q50" s="59">
        <f t="shared" si="5"/>
        <v>785.69999999999993</v>
      </c>
      <c r="R50" s="59">
        <f t="shared" si="5"/>
        <v>250</v>
      </c>
      <c r="S50" s="59">
        <f t="shared" si="5"/>
        <v>777.6</v>
      </c>
      <c r="T50" s="59">
        <f t="shared" si="5"/>
        <v>777.6</v>
      </c>
      <c r="U50" s="59">
        <f t="shared" si="5"/>
        <v>777.84999999999991</v>
      </c>
      <c r="V50" s="59">
        <f t="shared" si="5"/>
        <v>793.44999999999993</v>
      </c>
      <c r="W50" s="59">
        <f t="shared" si="5"/>
        <v>793.44999999999993</v>
      </c>
      <c r="X50" s="59">
        <f t="shared" si="5"/>
        <v>831.44999999999993</v>
      </c>
      <c r="Y50" s="59">
        <f t="shared" si="5"/>
        <v>841.44999999999993</v>
      </c>
      <c r="Z50" s="59">
        <f t="shared" si="5"/>
        <v>843.94999999999993</v>
      </c>
      <c r="AA50" s="59">
        <f t="shared" si="5"/>
        <v>852.3</v>
      </c>
      <c r="AB50" s="59">
        <f t="shared" si="5"/>
        <v>917.1</v>
      </c>
      <c r="AC50" s="59">
        <f t="shared" si="5"/>
        <v>917.1</v>
      </c>
      <c r="AD50" s="59">
        <f t="shared" si="5"/>
        <v>917.1</v>
      </c>
      <c r="AE50" s="59">
        <f t="shared" si="5"/>
        <v>917.1</v>
      </c>
      <c r="AF50" s="59">
        <f t="shared" si="5"/>
        <v>917.1</v>
      </c>
      <c r="AG50" s="60">
        <f>SUM(AG13:AG48)</f>
        <v>922.14</v>
      </c>
      <c r="AH50" s="47">
        <f t="shared" si="2"/>
        <v>917.1</v>
      </c>
      <c r="AI50" s="48">
        <f t="shared" si="3"/>
        <v>250</v>
      </c>
      <c r="AK50" s="74"/>
    </row>
    <row r="51" spans="1:41" x14ac:dyDescent="0.25">
      <c r="A51" s="61" t="s">
        <v>67</v>
      </c>
      <c r="B51" s="45">
        <v>400</v>
      </c>
      <c r="C51" s="45">
        <v>425</v>
      </c>
      <c r="D51" s="45">
        <v>410</v>
      </c>
      <c r="E51" s="45">
        <v>350</v>
      </c>
      <c r="F51" s="45">
        <v>400</v>
      </c>
      <c r="G51" s="45">
        <v>400</v>
      </c>
      <c r="H51" s="45">
        <v>430</v>
      </c>
      <c r="I51" s="45">
        <v>400</v>
      </c>
      <c r="J51" s="45">
        <v>350</v>
      </c>
      <c r="K51" s="45">
        <v>350</v>
      </c>
      <c r="L51" s="45">
        <v>350</v>
      </c>
      <c r="M51" s="45">
        <v>350</v>
      </c>
      <c r="N51" s="62">
        <v>430</v>
      </c>
      <c r="O51" s="62">
        <v>456</v>
      </c>
      <c r="P51" s="62">
        <v>456</v>
      </c>
      <c r="Q51" s="62">
        <v>456</v>
      </c>
      <c r="R51" s="62"/>
      <c r="S51" s="45">
        <v>450</v>
      </c>
      <c r="T51" s="45">
        <v>450</v>
      </c>
      <c r="U51" s="45">
        <v>450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350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/>
      <c r="S52" s="64">
        <v>48</v>
      </c>
      <c r="T52" s="64">
        <v>48</v>
      </c>
      <c r="U52" s="64">
        <v>48</v>
      </c>
      <c r="V52" s="64">
        <v>48</v>
      </c>
      <c r="W52" s="64">
        <v>48</v>
      </c>
      <c r="X52" s="64">
        <v>48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50</v>
      </c>
      <c r="AG52" s="54">
        <v>60</v>
      </c>
      <c r="AH52" s="47">
        <f t="shared" si="2"/>
        <v>55</v>
      </c>
      <c r="AI52" s="48">
        <f t="shared" si="3"/>
        <v>48</v>
      </c>
      <c r="AK52" s="74"/>
    </row>
    <row r="53" spans="1:41" ht="15.75" thickBot="1" x14ac:dyDescent="0.3">
      <c r="A53" s="65" t="s">
        <v>69</v>
      </c>
      <c r="B53" s="66">
        <v>22.4</v>
      </c>
      <c r="C53" s="66">
        <v>22.4</v>
      </c>
      <c r="D53" s="66">
        <v>22.4</v>
      </c>
      <c r="E53" s="66">
        <v>22.4</v>
      </c>
      <c r="F53" s="66">
        <v>22.4</v>
      </c>
      <c r="G53" s="66">
        <v>22.5</v>
      </c>
      <c r="H53" s="66">
        <v>22.5</v>
      </c>
      <c r="I53" s="66">
        <v>22.4</v>
      </c>
      <c r="J53" s="66">
        <v>22</v>
      </c>
      <c r="K53" s="66">
        <v>22</v>
      </c>
      <c r="L53" s="66">
        <v>22.4</v>
      </c>
      <c r="M53" s="66">
        <v>22</v>
      </c>
      <c r="N53" s="66">
        <v>22</v>
      </c>
      <c r="O53" s="66">
        <v>22</v>
      </c>
      <c r="P53" s="66">
        <v>22</v>
      </c>
      <c r="Q53" s="66">
        <v>22</v>
      </c>
      <c r="R53" s="66"/>
      <c r="S53" s="66">
        <v>22</v>
      </c>
      <c r="T53" s="66">
        <v>22</v>
      </c>
      <c r="U53" s="66">
        <v>22</v>
      </c>
      <c r="V53" s="66">
        <v>22</v>
      </c>
      <c r="W53" s="66">
        <v>22</v>
      </c>
      <c r="X53" s="66">
        <v>22</v>
      </c>
      <c r="Y53" s="66">
        <v>22</v>
      </c>
      <c r="Z53" s="66">
        <v>22</v>
      </c>
      <c r="AA53" s="66">
        <v>22</v>
      </c>
      <c r="AB53" s="66">
        <v>22</v>
      </c>
      <c r="AC53" s="66">
        <v>22</v>
      </c>
      <c r="AD53" s="66">
        <v>22</v>
      </c>
      <c r="AE53" s="66">
        <v>22</v>
      </c>
      <c r="AF53" s="66">
        <v>22</v>
      </c>
      <c r="AG53" s="67">
        <v>22.1</v>
      </c>
      <c r="AH53" s="47">
        <f t="shared" si="2"/>
        <v>22.5</v>
      </c>
      <c r="AI53" s="48">
        <f t="shared" si="3"/>
        <v>22</v>
      </c>
      <c r="AK53" s="74"/>
    </row>
    <row r="54" spans="1:41" ht="15.75" thickBot="1" x14ac:dyDescent="0.3">
      <c r="A54" s="68" t="s">
        <v>70</v>
      </c>
      <c r="B54" s="59">
        <f t="shared" ref="B54:C54" si="6">SUM(B51:B53)</f>
        <v>477.4</v>
      </c>
      <c r="C54" s="59">
        <f t="shared" si="6"/>
        <v>502.4</v>
      </c>
      <c r="D54" s="59">
        <f t="shared" ref="D54:AG54" si="7">SUM(D51:D53)</f>
        <v>487.4</v>
      </c>
      <c r="E54" s="59">
        <f t="shared" si="7"/>
        <v>427.4</v>
      </c>
      <c r="F54" s="59">
        <f t="shared" si="7"/>
        <v>477.4</v>
      </c>
      <c r="G54" s="59">
        <f t="shared" si="7"/>
        <v>477.5</v>
      </c>
      <c r="H54" s="59">
        <f t="shared" si="7"/>
        <v>507.5</v>
      </c>
      <c r="I54" s="59">
        <f t="shared" si="7"/>
        <v>477.4</v>
      </c>
      <c r="J54" s="59">
        <f t="shared" si="7"/>
        <v>427</v>
      </c>
      <c r="K54" s="59">
        <f t="shared" si="7"/>
        <v>427</v>
      </c>
      <c r="L54" s="59">
        <f t="shared" si="7"/>
        <v>427.4</v>
      </c>
      <c r="M54" s="59">
        <f t="shared" si="7"/>
        <v>427</v>
      </c>
      <c r="N54" s="59">
        <f t="shared" si="7"/>
        <v>507</v>
      </c>
      <c r="O54" s="59">
        <f t="shared" si="7"/>
        <v>533</v>
      </c>
      <c r="P54" s="59">
        <f t="shared" si="7"/>
        <v>533</v>
      </c>
      <c r="Q54" s="59">
        <f t="shared" si="7"/>
        <v>533</v>
      </c>
      <c r="R54" s="59">
        <f t="shared" si="7"/>
        <v>0</v>
      </c>
      <c r="S54" s="59">
        <f t="shared" si="7"/>
        <v>520</v>
      </c>
      <c r="T54" s="59">
        <f t="shared" si="7"/>
        <v>520</v>
      </c>
      <c r="U54" s="59">
        <f t="shared" si="7"/>
        <v>520</v>
      </c>
      <c r="V54" s="59">
        <f t="shared" si="7"/>
        <v>526</v>
      </c>
      <c r="W54" s="59">
        <f t="shared" si="7"/>
        <v>526</v>
      </c>
      <c r="X54" s="59">
        <f t="shared" si="7"/>
        <v>526</v>
      </c>
      <c r="Y54" s="59">
        <f t="shared" si="7"/>
        <v>533</v>
      </c>
      <c r="Z54" s="59">
        <f t="shared" si="7"/>
        <v>533</v>
      </c>
      <c r="AA54" s="59">
        <f t="shared" si="7"/>
        <v>533</v>
      </c>
      <c r="AB54" s="59">
        <f t="shared" si="7"/>
        <v>533</v>
      </c>
      <c r="AC54" s="59">
        <f t="shared" si="7"/>
        <v>533</v>
      </c>
      <c r="AD54" s="59">
        <f t="shared" si="7"/>
        <v>533</v>
      </c>
      <c r="AE54" s="59">
        <f t="shared" si="7"/>
        <v>533</v>
      </c>
      <c r="AF54" s="59">
        <f t="shared" si="7"/>
        <v>528</v>
      </c>
      <c r="AG54" s="60">
        <f t="shared" si="7"/>
        <v>538.1</v>
      </c>
      <c r="AH54" s="47">
        <f t="shared" si="2"/>
        <v>533</v>
      </c>
      <c r="AI54" s="48">
        <f t="shared" si="3"/>
        <v>0</v>
      </c>
      <c r="AK54" s="74"/>
    </row>
    <row r="55" spans="1:41" x14ac:dyDescent="0.25">
      <c r="A55" s="44" t="s">
        <v>71</v>
      </c>
      <c r="B55" s="45">
        <v>144.30000000000001</v>
      </c>
      <c r="C55" s="45">
        <v>145</v>
      </c>
      <c r="D55" s="45">
        <v>144.69999999999999</v>
      </c>
      <c r="E55" s="45">
        <v>145.19999999999999</v>
      </c>
      <c r="F55" s="45">
        <v>145.1</v>
      </c>
      <c r="G55" s="45">
        <v>145.69999999999999</v>
      </c>
      <c r="H55" s="45">
        <v>145.69999999999999</v>
      </c>
      <c r="I55" s="45">
        <v>145.69999999999999</v>
      </c>
      <c r="J55" s="45">
        <v>145.69999999999999</v>
      </c>
      <c r="K55" s="45">
        <v>145.69999999999999</v>
      </c>
      <c r="L55" s="45">
        <v>145.69999999999999</v>
      </c>
      <c r="M55" s="45">
        <v>144.6</v>
      </c>
      <c r="N55" s="45">
        <v>143.9</v>
      </c>
      <c r="O55" s="45">
        <v>143.9</v>
      </c>
      <c r="P55" s="45">
        <v>143.9</v>
      </c>
      <c r="Q55" s="45">
        <v>143.9</v>
      </c>
      <c r="R55" s="45"/>
      <c r="S55" s="45">
        <v>80</v>
      </c>
      <c r="T55" s="45">
        <v>144</v>
      </c>
      <c r="U55" s="45">
        <v>135.5</v>
      </c>
      <c r="V55" s="45">
        <v>135.69999999999999</v>
      </c>
      <c r="W55" s="45">
        <v>144</v>
      </c>
      <c r="X55" s="45">
        <v>140</v>
      </c>
      <c r="Y55" s="45">
        <v>140</v>
      </c>
      <c r="Z55" s="45">
        <v>140</v>
      </c>
      <c r="AA55" s="45">
        <v>143.5</v>
      </c>
      <c r="AB55" s="45">
        <v>143.5</v>
      </c>
      <c r="AC55" s="45">
        <v>143.5</v>
      </c>
      <c r="AD55" s="45">
        <v>143.5</v>
      </c>
      <c r="AE55" s="45">
        <v>143.5</v>
      </c>
      <c r="AF55" s="45">
        <v>143.5</v>
      </c>
      <c r="AG55" s="51">
        <v>144</v>
      </c>
      <c r="AH55" s="47">
        <f t="shared" si="2"/>
        <v>145.69999999999999</v>
      </c>
      <c r="AI55" s="48">
        <f t="shared" si="3"/>
        <v>80</v>
      </c>
      <c r="AK55" s="74"/>
    </row>
    <row r="56" spans="1:41" x14ac:dyDescent="0.25">
      <c r="A56" s="53" t="s">
        <v>72</v>
      </c>
      <c r="B56" s="45">
        <v>70.7</v>
      </c>
      <c r="C56" s="45">
        <v>65</v>
      </c>
      <c r="D56" s="64">
        <v>60.7</v>
      </c>
      <c r="E56" s="64">
        <v>61</v>
      </c>
      <c r="F56" s="64">
        <v>60</v>
      </c>
      <c r="G56" s="64">
        <v>61.1</v>
      </c>
      <c r="H56" s="64">
        <v>68.400000000000006</v>
      </c>
      <c r="I56" s="64">
        <v>70.900000000000006</v>
      </c>
      <c r="J56" s="64">
        <v>70.900000000000006</v>
      </c>
      <c r="K56" s="64">
        <v>70.900000000000006</v>
      </c>
      <c r="L56" s="64">
        <v>70.900000000000006</v>
      </c>
      <c r="M56" s="64">
        <v>70.900000000000006</v>
      </c>
      <c r="N56" s="64">
        <v>64.8</v>
      </c>
      <c r="O56" s="64">
        <v>69</v>
      </c>
      <c r="P56" s="64">
        <v>69</v>
      </c>
      <c r="Q56" s="64">
        <v>70.400000000000006</v>
      </c>
      <c r="R56" s="64"/>
      <c r="S56" s="45">
        <v>55</v>
      </c>
      <c r="T56" s="45">
        <v>71.599999999999994</v>
      </c>
      <c r="U56" s="45">
        <v>50</v>
      </c>
      <c r="V56" s="45">
        <v>59</v>
      </c>
      <c r="W56" s="45">
        <v>59</v>
      </c>
      <c r="X56" s="45">
        <v>59</v>
      </c>
      <c r="Y56" s="45">
        <v>59</v>
      </c>
      <c r="Z56" s="45">
        <v>70</v>
      </c>
      <c r="AA56" s="45">
        <v>69.5</v>
      </c>
      <c r="AB56" s="45">
        <v>69.5</v>
      </c>
      <c r="AC56" s="45">
        <v>69.5</v>
      </c>
      <c r="AD56" s="45">
        <v>69.5</v>
      </c>
      <c r="AE56" s="45">
        <v>69.5</v>
      </c>
      <c r="AF56" s="45">
        <v>69.5</v>
      </c>
      <c r="AG56" s="54">
        <v>70</v>
      </c>
      <c r="AH56" s="47">
        <f t="shared" si="2"/>
        <v>71.599999999999994</v>
      </c>
      <c r="AI56" s="48">
        <f t="shared" si="3"/>
        <v>50</v>
      </c>
      <c r="AK56" s="74"/>
    </row>
    <row r="57" spans="1:41" x14ac:dyDescent="0.25">
      <c r="A57" s="53" t="s">
        <v>73</v>
      </c>
      <c r="B57" s="45">
        <v>61</v>
      </c>
      <c r="C57" s="45">
        <v>62.7</v>
      </c>
      <c r="D57" s="64">
        <v>65.099999999999994</v>
      </c>
      <c r="E57" s="64">
        <v>65.099999999999994</v>
      </c>
      <c r="F57" s="64">
        <v>56.6</v>
      </c>
      <c r="G57" s="64">
        <v>68.900000000000006</v>
      </c>
      <c r="H57" s="64">
        <v>68.900000000000006</v>
      </c>
      <c r="I57" s="64">
        <v>68.099999999999994</v>
      </c>
      <c r="J57" s="64">
        <v>68.099999999999994</v>
      </c>
      <c r="K57" s="64">
        <v>68.099999999999994</v>
      </c>
      <c r="L57" s="64">
        <v>68.099999999999994</v>
      </c>
      <c r="M57" s="64">
        <v>68.099999999999994</v>
      </c>
      <c r="N57" s="64">
        <v>63.8</v>
      </c>
      <c r="O57" s="64">
        <v>69</v>
      </c>
      <c r="P57" s="64">
        <v>69</v>
      </c>
      <c r="Q57" s="64">
        <v>62.1</v>
      </c>
      <c r="R57" s="64"/>
      <c r="S57" s="45">
        <v>60</v>
      </c>
      <c r="T57" s="45">
        <v>69.400000000000006</v>
      </c>
      <c r="U57" s="45">
        <v>60</v>
      </c>
      <c r="V57" s="45">
        <v>53</v>
      </c>
      <c r="W57" s="45">
        <v>62</v>
      </c>
      <c r="X57" s="45">
        <v>62</v>
      </c>
      <c r="Y57" s="45">
        <v>62</v>
      </c>
      <c r="Z57" s="45">
        <v>69</v>
      </c>
      <c r="AA57" s="45">
        <v>70.5</v>
      </c>
      <c r="AB57" s="45">
        <v>69</v>
      </c>
      <c r="AC57" s="45">
        <v>69</v>
      </c>
      <c r="AD57" s="45">
        <v>69</v>
      </c>
      <c r="AE57" s="45">
        <v>69</v>
      </c>
      <c r="AF57" s="45">
        <v>69</v>
      </c>
      <c r="AG57" s="54">
        <v>69</v>
      </c>
      <c r="AH57" s="47">
        <f t="shared" si="2"/>
        <v>70.5</v>
      </c>
      <c r="AI57" s="48">
        <f t="shared" si="3"/>
        <v>53</v>
      </c>
      <c r="AK57" s="74"/>
    </row>
    <row r="58" spans="1:41" x14ac:dyDescent="0.25">
      <c r="A58" s="53" t="s">
        <v>74</v>
      </c>
      <c r="B58" s="45">
        <v>55</v>
      </c>
      <c r="C58" s="45">
        <v>55</v>
      </c>
      <c r="D58" s="64">
        <v>60</v>
      </c>
      <c r="E58" s="64">
        <v>60</v>
      </c>
      <c r="F58" s="64">
        <v>60</v>
      </c>
      <c r="G58" s="64">
        <v>60</v>
      </c>
      <c r="H58" s="64">
        <v>60</v>
      </c>
      <c r="I58" s="64">
        <v>60</v>
      </c>
      <c r="J58" s="64">
        <v>60</v>
      </c>
      <c r="K58" s="64">
        <v>60</v>
      </c>
      <c r="L58" s="64">
        <v>60</v>
      </c>
      <c r="M58" s="64">
        <v>60</v>
      </c>
      <c r="N58" s="64">
        <v>60</v>
      </c>
      <c r="O58" s="64">
        <v>60</v>
      </c>
      <c r="P58" s="64">
        <v>60</v>
      </c>
      <c r="Q58" s="64">
        <v>60</v>
      </c>
      <c r="R58" s="64"/>
      <c r="S58" s="45">
        <v>50.2</v>
      </c>
      <c r="T58" s="45">
        <v>50.2</v>
      </c>
      <c r="U58" s="45">
        <v>60</v>
      </c>
      <c r="V58" s="45">
        <v>51</v>
      </c>
      <c r="W58" s="45">
        <v>55.7</v>
      </c>
      <c r="X58" s="45">
        <v>55</v>
      </c>
      <c r="Y58" s="45">
        <v>55</v>
      </c>
      <c r="Z58" s="45">
        <v>60</v>
      </c>
      <c r="AA58" s="45">
        <v>60.4</v>
      </c>
      <c r="AB58" s="45">
        <v>60.4</v>
      </c>
      <c r="AC58" s="45">
        <v>60.4</v>
      </c>
      <c r="AD58" s="45">
        <v>60.4</v>
      </c>
      <c r="AE58" s="45">
        <v>60.4</v>
      </c>
      <c r="AF58" s="45">
        <v>60.4</v>
      </c>
      <c r="AG58" s="54">
        <v>60</v>
      </c>
      <c r="AH58" s="47">
        <f t="shared" si="2"/>
        <v>60.4</v>
      </c>
      <c r="AI58" s="48">
        <f t="shared" si="3"/>
        <v>50.2</v>
      </c>
      <c r="AK58" s="74"/>
    </row>
    <row r="59" spans="1:41" x14ac:dyDescent="0.25">
      <c r="A59" s="53" t="s">
        <v>75</v>
      </c>
      <c r="B59" s="45">
        <v>30</v>
      </c>
      <c r="C59" s="45">
        <v>30</v>
      </c>
      <c r="D59" s="64">
        <v>30</v>
      </c>
      <c r="E59" s="64">
        <v>30</v>
      </c>
      <c r="F59" s="64">
        <v>30</v>
      </c>
      <c r="G59" s="64">
        <v>30</v>
      </c>
      <c r="H59" s="64">
        <v>30</v>
      </c>
      <c r="I59" s="64">
        <v>30</v>
      </c>
      <c r="J59" s="64">
        <v>30</v>
      </c>
      <c r="K59" s="64">
        <v>30</v>
      </c>
      <c r="L59" s="64">
        <v>30</v>
      </c>
      <c r="M59" s="64">
        <v>30</v>
      </c>
      <c r="N59" s="64">
        <v>30</v>
      </c>
      <c r="O59" s="64">
        <v>30</v>
      </c>
      <c r="P59" s="64">
        <v>30</v>
      </c>
      <c r="Q59" s="64">
        <v>0</v>
      </c>
      <c r="R59" s="64"/>
      <c r="S59" s="45">
        <v>30</v>
      </c>
      <c r="T59" s="45">
        <v>30</v>
      </c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45">
        <v>0</v>
      </c>
      <c r="C60" s="45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1.3</v>
      </c>
      <c r="J60" s="64">
        <v>2</v>
      </c>
      <c r="K60" s="64">
        <v>5</v>
      </c>
      <c r="L60" s="64">
        <v>6.4</v>
      </c>
      <c r="M60" s="64">
        <v>6.4</v>
      </c>
      <c r="N60" s="64">
        <v>6.4</v>
      </c>
      <c r="O60" s="64">
        <v>6.4</v>
      </c>
      <c r="P60" s="64">
        <v>6.4</v>
      </c>
      <c r="Q60" s="64">
        <v>6.4</v>
      </c>
      <c r="R60" s="64"/>
      <c r="S60" s="45">
        <v>6.4</v>
      </c>
      <c r="T60" s="45">
        <v>6.4</v>
      </c>
      <c r="U60" s="45">
        <v>6.5</v>
      </c>
      <c r="V60" s="45">
        <v>2.7</v>
      </c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6.5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10</v>
      </c>
      <c r="C61" s="64">
        <v>10</v>
      </c>
      <c r="D61" s="64">
        <v>10</v>
      </c>
      <c r="E61" s="64">
        <v>10</v>
      </c>
      <c r="F61" s="64">
        <v>10</v>
      </c>
      <c r="G61" s="64">
        <v>10</v>
      </c>
      <c r="H61" s="64">
        <v>10</v>
      </c>
      <c r="I61" s="64">
        <v>12</v>
      </c>
      <c r="J61" s="64">
        <v>12</v>
      </c>
      <c r="K61" s="64">
        <v>12</v>
      </c>
      <c r="L61" s="64">
        <v>12</v>
      </c>
      <c r="M61" s="64">
        <v>12</v>
      </c>
      <c r="N61" s="64">
        <v>12</v>
      </c>
      <c r="O61" s="64">
        <v>12</v>
      </c>
      <c r="P61" s="64">
        <v>12</v>
      </c>
      <c r="Q61" s="64">
        <v>12</v>
      </c>
      <c r="R61" s="64"/>
      <c r="S61" s="64">
        <v>12</v>
      </c>
      <c r="T61" s="64">
        <v>12</v>
      </c>
      <c r="U61" s="64">
        <v>12</v>
      </c>
      <c r="V61" s="64">
        <v>12</v>
      </c>
      <c r="W61" s="64">
        <v>12</v>
      </c>
      <c r="X61" s="64">
        <v>12</v>
      </c>
      <c r="Y61" s="64">
        <v>12</v>
      </c>
      <c r="Z61" s="64">
        <v>12</v>
      </c>
      <c r="AA61" s="64">
        <v>18</v>
      </c>
      <c r="AB61" s="64">
        <v>18</v>
      </c>
      <c r="AC61" s="64">
        <v>18</v>
      </c>
      <c r="AD61" s="64">
        <v>18</v>
      </c>
      <c r="AE61" s="64">
        <v>18</v>
      </c>
      <c r="AF61" s="64">
        <v>18</v>
      </c>
      <c r="AG61" s="54">
        <v>24</v>
      </c>
      <c r="AH61" s="47">
        <f t="shared" si="2"/>
        <v>18</v>
      </c>
      <c r="AI61" s="48">
        <f t="shared" si="3"/>
        <v>10</v>
      </c>
      <c r="AK61" s="74"/>
    </row>
    <row r="62" spans="1:41" x14ac:dyDescent="0.25">
      <c r="A62" s="53" t="s">
        <v>78</v>
      </c>
      <c r="B62" s="64">
        <v>2.4</v>
      </c>
      <c r="C62" s="64">
        <v>2.4</v>
      </c>
      <c r="D62" s="64">
        <v>2.4</v>
      </c>
      <c r="E62" s="64">
        <v>2.4</v>
      </c>
      <c r="F62" s="64">
        <v>2.4</v>
      </c>
      <c r="G62" s="64">
        <v>2.4</v>
      </c>
      <c r="H62" s="64">
        <v>2.4</v>
      </c>
      <c r="I62" s="64">
        <v>2.4</v>
      </c>
      <c r="J62" s="64">
        <v>2.4</v>
      </c>
      <c r="K62" s="64">
        <v>2.4</v>
      </c>
      <c r="L62" s="64">
        <v>2.4</v>
      </c>
      <c r="M62" s="64">
        <v>2.4</v>
      </c>
      <c r="N62" s="64">
        <v>2.4</v>
      </c>
      <c r="O62" s="64">
        <v>2.4</v>
      </c>
      <c r="P62" s="64">
        <v>2.4</v>
      </c>
      <c r="Q62" s="64">
        <v>2.4</v>
      </c>
      <c r="R62" s="64"/>
      <c r="S62" s="64">
        <v>2.4</v>
      </c>
      <c r="T62" s="64">
        <v>2.4</v>
      </c>
      <c r="U62" s="64">
        <v>2.4</v>
      </c>
      <c r="V62" s="64">
        <v>2.4</v>
      </c>
      <c r="W62" s="64">
        <v>2.4</v>
      </c>
      <c r="X62" s="64">
        <v>2.4</v>
      </c>
      <c r="Y62" s="64">
        <v>2.4</v>
      </c>
      <c r="Z62" s="64">
        <v>2.4</v>
      </c>
      <c r="AA62" s="64">
        <v>2.4</v>
      </c>
      <c r="AB62" s="64">
        <v>2.4</v>
      </c>
      <c r="AC62" s="64">
        <v>2.4</v>
      </c>
      <c r="AD62" s="64">
        <v>2.4</v>
      </c>
      <c r="AE62" s="64">
        <v>2.4</v>
      </c>
      <c r="AF62" s="64">
        <v>2.4</v>
      </c>
      <c r="AG62" s="54">
        <v>15</v>
      </c>
      <c r="AH62" s="47">
        <f t="shared" si="2"/>
        <v>2.4</v>
      </c>
      <c r="AI62" s="48">
        <f t="shared" si="3"/>
        <v>2.4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5</v>
      </c>
      <c r="C63" s="64">
        <v>5</v>
      </c>
      <c r="D63" s="64">
        <v>4.9000000000000004</v>
      </c>
      <c r="E63" s="64">
        <v>4.9000000000000004</v>
      </c>
      <c r="F63" s="64">
        <v>0</v>
      </c>
      <c r="G63" s="64">
        <v>4.9000000000000004</v>
      </c>
      <c r="H63" s="64">
        <v>4.9000000000000004</v>
      </c>
      <c r="I63" s="64">
        <v>4.9000000000000004</v>
      </c>
      <c r="J63" s="64">
        <v>4.9000000000000004</v>
      </c>
      <c r="K63" s="64">
        <v>4.9000000000000004</v>
      </c>
      <c r="L63" s="64">
        <v>4.9000000000000004</v>
      </c>
      <c r="M63" s="64">
        <v>4.9000000000000004</v>
      </c>
      <c r="N63" s="64">
        <v>4.9000000000000004</v>
      </c>
      <c r="O63" s="64">
        <v>4.9000000000000004</v>
      </c>
      <c r="P63" s="64">
        <v>4.9000000000000004</v>
      </c>
      <c r="Q63" s="64">
        <v>4.9000000000000004</v>
      </c>
      <c r="R63" s="64"/>
      <c r="S63" s="64">
        <v>4.9000000000000004</v>
      </c>
      <c r="T63" s="64">
        <v>4.9000000000000004</v>
      </c>
      <c r="U63" s="64">
        <v>4.9000000000000004</v>
      </c>
      <c r="V63" s="64">
        <v>4.9000000000000004</v>
      </c>
      <c r="W63" s="64">
        <v>4.9000000000000004</v>
      </c>
      <c r="X63" s="64">
        <v>4.9000000000000004</v>
      </c>
      <c r="Y63" s="64">
        <v>4.9000000000000004</v>
      </c>
      <c r="Z63" s="64">
        <v>4.9000000000000004</v>
      </c>
      <c r="AA63" s="64">
        <v>12.3</v>
      </c>
      <c r="AB63" s="64">
        <v>12.3</v>
      </c>
      <c r="AC63" s="64">
        <v>12.3</v>
      </c>
      <c r="AD63" s="64">
        <v>12.3</v>
      </c>
      <c r="AE63" s="64">
        <v>12.3</v>
      </c>
      <c r="AF63" s="64">
        <v>12.3</v>
      </c>
      <c r="AG63" s="54">
        <v>14.1</v>
      </c>
      <c r="AH63" s="47">
        <f t="shared" si="2"/>
        <v>12.3</v>
      </c>
      <c r="AI63" s="48">
        <f t="shared" si="3"/>
        <v>0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14.2</v>
      </c>
      <c r="C64" s="64">
        <v>14.2</v>
      </c>
      <c r="D64" s="64">
        <v>14.3</v>
      </c>
      <c r="E64" s="64">
        <v>14.3</v>
      </c>
      <c r="F64" s="64">
        <v>14.3</v>
      </c>
      <c r="G64" s="64">
        <v>14.2</v>
      </c>
      <c r="H64" s="64">
        <v>14.2</v>
      </c>
      <c r="I64" s="64">
        <v>14.2</v>
      </c>
      <c r="J64" s="64">
        <v>14.2</v>
      </c>
      <c r="K64" s="64">
        <v>14.2</v>
      </c>
      <c r="L64" s="64">
        <v>14.2</v>
      </c>
      <c r="M64" s="64">
        <v>14.2</v>
      </c>
      <c r="N64" s="64">
        <v>14.2</v>
      </c>
      <c r="O64" s="64">
        <v>14.2</v>
      </c>
      <c r="P64" s="64">
        <v>14.2</v>
      </c>
      <c r="Q64" s="64">
        <v>14.2</v>
      </c>
      <c r="R64" s="64"/>
      <c r="S64" s="64">
        <v>7</v>
      </c>
      <c r="T64" s="64">
        <v>7</v>
      </c>
      <c r="U64" s="64">
        <v>7</v>
      </c>
      <c r="V64" s="64">
        <v>7</v>
      </c>
      <c r="W64" s="64">
        <v>7</v>
      </c>
      <c r="X64" s="64">
        <v>7</v>
      </c>
      <c r="Y64" s="64">
        <v>7</v>
      </c>
      <c r="Z64" s="64">
        <v>7</v>
      </c>
      <c r="AA64" s="64">
        <v>14.2</v>
      </c>
      <c r="AB64" s="64">
        <v>14.2</v>
      </c>
      <c r="AC64" s="64">
        <v>14.2</v>
      </c>
      <c r="AD64" s="64">
        <v>14.2</v>
      </c>
      <c r="AE64" s="64">
        <v>14.2</v>
      </c>
      <c r="AF64" s="64">
        <v>14.2</v>
      </c>
      <c r="AG64" s="54">
        <v>14</v>
      </c>
      <c r="AH64" s="47">
        <f t="shared" si="2"/>
        <v>14.3</v>
      </c>
      <c r="AI64" s="48">
        <f t="shared" si="3"/>
        <v>7</v>
      </c>
      <c r="AK64" s="74"/>
    </row>
    <row r="65" spans="1:40" x14ac:dyDescent="0.25">
      <c r="A65" s="53" t="s">
        <v>81</v>
      </c>
      <c r="B65" s="64">
        <v>7.5</v>
      </c>
      <c r="C65" s="64">
        <v>7.5</v>
      </c>
      <c r="D65" s="64">
        <v>7.5</v>
      </c>
      <c r="E65" s="64">
        <v>7.5</v>
      </c>
      <c r="F65" s="64">
        <v>7.5</v>
      </c>
      <c r="G65" s="64">
        <v>7.5</v>
      </c>
      <c r="H65" s="64">
        <v>7.5</v>
      </c>
      <c r="I65" s="64">
        <v>7.5</v>
      </c>
      <c r="J65" s="64">
        <v>7.5</v>
      </c>
      <c r="K65" s="64">
        <v>7.5</v>
      </c>
      <c r="L65" s="64">
        <v>7.5</v>
      </c>
      <c r="M65" s="64">
        <v>7.5</v>
      </c>
      <c r="N65" s="64">
        <v>7.5</v>
      </c>
      <c r="O65" s="64">
        <v>7.5</v>
      </c>
      <c r="P65" s="64">
        <v>7.5</v>
      </c>
      <c r="Q65" s="64">
        <v>7.5</v>
      </c>
      <c r="R65" s="64"/>
      <c r="S65" s="64">
        <v>7.5</v>
      </c>
      <c r="T65" s="64">
        <v>7.5</v>
      </c>
      <c r="U65" s="64">
        <v>7.5</v>
      </c>
      <c r="V65" s="64">
        <v>7.5</v>
      </c>
      <c r="W65" s="64">
        <v>7.5</v>
      </c>
      <c r="X65" s="64">
        <v>7.5</v>
      </c>
      <c r="Y65" s="64">
        <v>7.5</v>
      </c>
      <c r="Z65" s="64">
        <v>7.5</v>
      </c>
      <c r="AA65" s="64">
        <v>7.5</v>
      </c>
      <c r="AB65" s="64">
        <v>7.5</v>
      </c>
      <c r="AC65" s="64">
        <v>7.5</v>
      </c>
      <c r="AD65" s="64">
        <v>7.5</v>
      </c>
      <c r="AE65" s="64">
        <v>7.5</v>
      </c>
      <c r="AF65" s="64">
        <v>7.5</v>
      </c>
      <c r="AG65" s="54">
        <v>10.050000000000001</v>
      </c>
      <c r="AH65" s="47">
        <f t="shared" si="2"/>
        <v>7.5</v>
      </c>
      <c r="AI65" s="48">
        <f t="shared" si="3"/>
        <v>7.5</v>
      </c>
      <c r="AK65" s="74"/>
    </row>
    <row r="66" spans="1:40" x14ac:dyDescent="0.25">
      <c r="A66" s="53" t="s">
        <v>82</v>
      </c>
      <c r="B66" s="64">
        <v>2.2000000000000002</v>
      </c>
      <c r="C66" s="64">
        <v>2.2000000000000002</v>
      </c>
      <c r="D66" s="64">
        <v>2.2000000000000002</v>
      </c>
      <c r="E66" s="64">
        <v>2.2000000000000002</v>
      </c>
      <c r="F66" s="64">
        <v>2.2000000000000002</v>
      </c>
      <c r="G66" s="64">
        <v>2.2000000000000002</v>
      </c>
      <c r="H66" s="64">
        <v>2.2000000000000002</v>
      </c>
      <c r="I66" s="64">
        <v>2.2000000000000002</v>
      </c>
      <c r="J66" s="64">
        <v>2.2000000000000002</v>
      </c>
      <c r="K66" s="64">
        <v>2.2000000000000002</v>
      </c>
      <c r="L66" s="64">
        <v>2.2000000000000002</v>
      </c>
      <c r="M66" s="64">
        <v>2.2000000000000002</v>
      </c>
      <c r="N66" s="64">
        <v>2.2000000000000002</v>
      </c>
      <c r="O66" s="64">
        <v>2.2000000000000002</v>
      </c>
      <c r="P66" s="64">
        <v>2.2000000000000002</v>
      </c>
      <c r="Q66" s="64">
        <v>2.2000000000000002</v>
      </c>
      <c r="R66" s="64"/>
      <c r="S66" s="64">
        <v>2.2000000000000002</v>
      </c>
      <c r="T66" s="64">
        <v>2.2000000000000002</v>
      </c>
      <c r="U66" s="64">
        <v>2.2000000000000002</v>
      </c>
      <c r="V66" s="64">
        <v>2.2000000000000002</v>
      </c>
      <c r="W66" s="64">
        <v>2.2000000000000002</v>
      </c>
      <c r="X66" s="64">
        <v>2.2000000000000002</v>
      </c>
      <c r="Y66" s="64">
        <v>2.2000000000000002</v>
      </c>
      <c r="Z66" s="64">
        <v>2.2000000000000002</v>
      </c>
      <c r="AA66" s="64">
        <v>2.2000000000000002</v>
      </c>
      <c r="AB66" s="64">
        <v>2.2000000000000002</v>
      </c>
      <c r="AC66" s="64">
        <v>2.2000000000000002</v>
      </c>
      <c r="AD66" s="64">
        <v>2.2000000000000002</v>
      </c>
      <c r="AE66" s="64">
        <v>2.2000000000000002</v>
      </c>
      <c r="AF66" s="64">
        <v>2.2000000000000002</v>
      </c>
      <c r="AG66" s="54">
        <v>6.2</v>
      </c>
      <c r="AH66" s="47">
        <f t="shared" si="2"/>
        <v>2.2000000000000002</v>
      </c>
      <c r="AI66" s="48">
        <f t="shared" si="3"/>
        <v>2.2000000000000002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C68" si="8">SUM(B55:B67)</f>
        <v>405.84</v>
      </c>
      <c r="C68" s="59">
        <f t="shared" si="8"/>
        <v>402.53999999999996</v>
      </c>
      <c r="D68" s="59">
        <f t="shared" ref="D68:AG68" si="9">SUM(D55:D67)</f>
        <v>405.34</v>
      </c>
      <c r="E68" s="59">
        <f t="shared" si="9"/>
        <v>406.13999999999993</v>
      </c>
      <c r="F68" s="59">
        <f t="shared" si="9"/>
        <v>391.64</v>
      </c>
      <c r="G68" s="59">
        <f t="shared" si="9"/>
        <v>410.43999999999994</v>
      </c>
      <c r="H68" s="59">
        <f t="shared" si="9"/>
        <v>417.73999999999995</v>
      </c>
      <c r="I68" s="59">
        <f t="shared" si="9"/>
        <v>422.73999999999995</v>
      </c>
      <c r="J68" s="59">
        <f t="shared" si="9"/>
        <v>423.43999999999994</v>
      </c>
      <c r="K68" s="59">
        <f t="shared" si="9"/>
        <v>426.43999999999994</v>
      </c>
      <c r="L68" s="59">
        <f t="shared" si="9"/>
        <v>427.83999999999992</v>
      </c>
      <c r="M68" s="59">
        <f t="shared" si="9"/>
        <v>426.73999999999995</v>
      </c>
      <c r="N68" s="59">
        <f t="shared" si="9"/>
        <v>415.63999999999993</v>
      </c>
      <c r="O68" s="59">
        <f t="shared" si="9"/>
        <v>425.03999999999991</v>
      </c>
      <c r="P68" s="59">
        <f t="shared" si="9"/>
        <v>425.03999999999991</v>
      </c>
      <c r="Q68" s="59">
        <f t="shared" si="9"/>
        <v>389.53999999999996</v>
      </c>
      <c r="R68" s="59">
        <f t="shared" si="9"/>
        <v>3.54</v>
      </c>
      <c r="S68" s="59">
        <f t="shared" si="9"/>
        <v>321.13999999999993</v>
      </c>
      <c r="T68" s="59">
        <f t="shared" si="9"/>
        <v>411.13999999999993</v>
      </c>
      <c r="U68" s="59">
        <f t="shared" si="9"/>
        <v>381.53999999999996</v>
      </c>
      <c r="V68" s="59">
        <f t="shared" si="9"/>
        <v>370.93999999999994</v>
      </c>
      <c r="W68" s="59">
        <f t="shared" si="9"/>
        <v>390.23999999999995</v>
      </c>
      <c r="X68" s="59">
        <f t="shared" si="9"/>
        <v>385.53999999999996</v>
      </c>
      <c r="Y68" s="59">
        <f t="shared" si="9"/>
        <v>385.53999999999996</v>
      </c>
      <c r="Z68" s="59">
        <f t="shared" si="9"/>
        <v>408.53999999999996</v>
      </c>
      <c r="AA68" s="59">
        <f t="shared" si="9"/>
        <v>434.03999999999996</v>
      </c>
      <c r="AB68" s="59">
        <f t="shared" si="9"/>
        <v>432.53999999999996</v>
      </c>
      <c r="AC68" s="59">
        <f t="shared" si="9"/>
        <v>432.53999999999996</v>
      </c>
      <c r="AD68" s="59">
        <f t="shared" si="9"/>
        <v>432.53999999999996</v>
      </c>
      <c r="AE68" s="59">
        <f t="shared" si="9"/>
        <v>432.53999999999996</v>
      </c>
      <c r="AF68" s="59">
        <f t="shared" si="9"/>
        <v>432.53999999999996</v>
      </c>
      <c r="AG68" s="60">
        <f t="shared" si="9"/>
        <v>489.91</v>
      </c>
      <c r="AH68" s="47">
        <f t="shared" si="2"/>
        <v>434.03999999999996</v>
      </c>
      <c r="AI68" s="48">
        <f t="shared" si="3"/>
        <v>3.54</v>
      </c>
      <c r="AK68" s="74"/>
    </row>
    <row r="69" spans="1:40" x14ac:dyDescent="0.25">
      <c r="A69" s="44" t="s">
        <v>85</v>
      </c>
      <c r="B69" s="45">
        <v>10.199999999999999</v>
      </c>
      <c r="C69" s="45">
        <v>10.199999999999999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10.3</v>
      </c>
      <c r="L69" s="45">
        <v>10.3</v>
      </c>
      <c r="M69" s="45">
        <v>10.199999999999999</v>
      </c>
      <c r="N69" s="45">
        <v>10.199999999999999</v>
      </c>
      <c r="O69" s="45">
        <v>14.2</v>
      </c>
      <c r="P69" s="45">
        <v>40</v>
      </c>
      <c r="Q69" s="45">
        <v>40</v>
      </c>
      <c r="R69" s="45"/>
      <c r="S69" s="45">
        <v>30</v>
      </c>
      <c r="T69" s="45">
        <v>13</v>
      </c>
      <c r="U69" s="45">
        <v>13</v>
      </c>
      <c r="V69" s="45">
        <v>13</v>
      </c>
      <c r="W69" s="45">
        <v>13</v>
      </c>
      <c r="X69" s="45">
        <v>13</v>
      </c>
      <c r="Y69" s="45">
        <v>13</v>
      </c>
      <c r="Z69" s="45">
        <v>13</v>
      </c>
      <c r="AA69" s="45">
        <v>29.4</v>
      </c>
      <c r="AB69" s="45">
        <v>14.4</v>
      </c>
      <c r="AC69" s="45">
        <v>14.4</v>
      </c>
      <c r="AD69" s="45">
        <v>14.4</v>
      </c>
      <c r="AE69" s="45">
        <v>14.4</v>
      </c>
      <c r="AF69" s="45">
        <v>0</v>
      </c>
      <c r="AG69" s="51">
        <v>60</v>
      </c>
      <c r="AH69" s="47">
        <f t="shared" si="2"/>
        <v>40</v>
      </c>
      <c r="AI69" s="48">
        <f t="shared" si="3"/>
        <v>0</v>
      </c>
      <c r="AK69" s="74"/>
    </row>
    <row r="70" spans="1:40" x14ac:dyDescent="0.25">
      <c r="A70" s="53" t="s">
        <v>86</v>
      </c>
      <c r="B70" s="64">
        <v>6.2</v>
      </c>
      <c r="C70" s="64">
        <v>6.2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4.5</v>
      </c>
      <c r="L70" s="64">
        <v>4.5</v>
      </c>
      <c r="M70" s="64">
        <v>3.7</v>
      </c>
      <c r="N70" s="64">
        <v>3.7</v>
      </c>
      <c r="O70" s="64">
        <v>6.7</v>
      </c>
      <c r="P70" s="64">
        <v>29</v>
      </c>
      <c r="Q70" s="64">
        <v>20</v>
      </c>
      <c r="R70" s="64"/>
      <c r="S70" s="64">
        <v>14</v>
      </c>
      <c r="T70" s="64">
        <v>4.9000000000000004</v>
      </c>
      <c r="U70" s="64">
        <v>4.9000000000000004</v>
      </c>
      <c r="V70" s="64">
        <v>4.9000000000000004</v>
      </c>
      <c r="W70" s="64">
        <v>4.9000000000000004</v>
      </c>
      <c r="X70" s="64">
        <v>4.9000000000000004</v>
      </c>
      <c r="Y70" s="64">
        <v>4.9000000000000004</v>
      </c>
      <c r="Z70" s="64">
        <v>4.9000000000000004</v>
      </c>
      <c r="AA70" s="64">
        <v>3.8</v>
      </c>
      <c r="AB70" s="64">
        <v>4.9000000000000004</v>
      </c>
      <c r="AC70" s="64">
        <v>5.7</v>
      </c>
      <c r="AD70" s="64">
        <v>5.7</v>
      </c>
      <c r="AE70" s="64">
        <v>5.7</v>
      </c>
      <c r="AF70" s="64">
        <v>0</v>
      </c>
      <c r="AG70" s="54">
        <v>32</v>
      </c>
      <c r="AH70" s="47">
        <f t="shared" si="2"/>
        <v>29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66">
        <v>2.2999999999999998</v>
      </c>
      <c r="C71" s="66">
        <v>2.2999999999999998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1.6</v>
      </c>
      <c r="L71" s="66">
        <v>1.6</v>
      </c>
      <c r="M71" s="66">
        <v>1.3</v>
      </c>
      <c r="N71" s="66">
        <v>1.3</v>
      </c>
      <c r="O71" s="66">
        <v>2.4</v>
      </c>
      <c r="P71" s="66">
        <v>10.5</v>
      </c>
      <c r="Q71" s="66">
        <v>7</v>
      </c>
      <c r="R71" s="66"/>
      <c r="S71" s="66">
        <v>4</v>
      </c>
      <c r="T71" s="66">
        <v>1.8</v>
      </c>
      <c r="U71" s="66">
        <v>1.8</v>
      </c>
      <c r="V71" s="66">
        <v>1.8</v>
      </c>
      <c r="W71" s="66">
        <v>1.8</v>
      </c>
      <c r="X71" s="66">
        <v>1.8</v>
      </c>
      <c r="Y71" s="66">
        <v>1.8</v>
      </c>
      <c r="Z71" s="66">
        <v>1.8</v>
      </c>
      <c r="AA71" s="66">
        <v>1.4</v>
      </c>
      <c r="AB71" s="66">
        <v>1.8</v>
      </c>
      <c r="AC71" s="66">
        <v>2.1</v>
      </c>
      <c r="AD71" s="66">
        <v>2.1</v>
      </c>
      <c r="AE71" s="66">
        <v>2.1</v>
      </c>
      <c r="AF71" s="66">
        <v>0</v>
      </c>
      <c r="AG71" s="67">
        <v>14</v>
      </c>
      <c r="AH71" s="47">
        <f t="shared" si="2"/>
        <v>10.5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 t="shared" ref="B72:C72" si="10">B69+B70+B71</f>
        <v>18.7</v>
      </c>
      <c r="C72" s="59">
        <f t="shared" si="10"/>
        <v>18.7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16.400000000000002</v>
      </c>
      <c r="M72" s="59">
        <f t="shared" ref="M72:AF72" si="11">M69+M70+M71</f>
        <v>15.2</v>
      </c>
      <c r="N72" s="59">
        <f t="shared" si="11"/>
        <v>15.2</v>
      </c>
      <c r="O72" s="59">
        <f t="shared" si="11"/>
        <v>23.299999999999997</v>
      </c>
      <c r="P72" s="59">
        <f t="shared" si="11"/>
        <v>79.5</v>
      </c>
      <c r="Q72" s="59">
        <f t="shared" si="11"/>
        <v>67</v>
      </c>
      <c r="R72" s="59">
        <f t="shared" si="11"/>
        <v>0</v>
      </c>
      <c r="S72" s="59">
        <f t="shared" si="11"/>
        <v>48</v>
      </c>
      <c r="T72" s="59">
        <f t="shared" si="11"/>
        <v>19.7</v>
      </c>
      <c r="U72" s="59">
        <f t="shared" si="11"/>
        <v>19.7</v>
      </c>
      <c r="V72" s="59">
        <f t="shared" si="11"/>
        <v>19.7</v>
      </c>
      <c r="W72" s="59">
        <f t="shared" si="11"/>
        <v>19.7</v>
      </c>
      <c r="X72" s="59">
        <f t="shared" si="11"/>
        <v>19.7</v>
      </c>
      <c r="Y72" s="59">
        <f t="shared" si="11"/>
        <v>19.7</v>
      </c>
      <c r="Z72" s="59">
        <f t="shared" si="11"/>
        <v>19.7</v>
      </c>
      <c r="AA72" s="59">
        <f t="shared" si="11"/>
        <v>34.599999999999994</v>
      </c>
      <c r="AB72" s="59">
        <f t="shared" si="11"/>
        <v>21.1</v>
      </c>
      <c r="AC72" s="59">
        <f t="shared" si="11"/>
        <v>22.200000000000003</v>
      </c>
      <c r="AD72" s="59">
        <f t="shared" si="11"/>
        <v>22.200000000000003</v>
      </c>
      <c r="AE72" s="59">
        <f t="shared" si="11"/>
        <v>22.200000000000003</v>
      </c>
      <c r="AF72" s="59">
        <f t="shared" si="11"/>
        <v>0</v>
      </c>
      <c r="AG72" s="60">
        <f>SUM(AG69:AG71)</f>
        <v>106</v>
      </c>
      <c r="AH72" s="47">
        <f t="shared" si="2"/>
        <v>79.5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35.4</v>
      </c>
      <c r="C73" s="45">
        <v>32.1</v>
      </c>
      <c r="D73" s="45">
        <v>41</v>
      </c>
      <c r="E73" s="45">
        <v>23</v>
      </c>
      <c r="F73" s="45">
        <v>23.4</v>
      </c>
      <c r="G73" s="45">
        <v>29.4</v>
      </c>
      <c r="H73" s="45">
        <v>16.100000000000001</v>
      </c>
      <c r="I73" s="45">
        <v>11.6</v>
      </c>
      <c r="J73" s="45">
        <v>22</v>
      </c>
      <c r="K73" s="45">
        <v>30.7</v>
      </c>
      <c r="L73" s="45">
        <v>43</v>
      </c>
      <c r="M73" s="45">
        <v>40</v>
      </c>
      <c r="N73" s="45">
        <v>52.3</v>
      </c>
      <c r="O73" s="45">
        <v>40</v>
      </c>
      <c r="P73" s="45">
        <v>64</v>
      </c>
      <c r="Q73" s="45">
        <v>56</v>
      </c>
      <c r="R73" s="45"/>
      <c r="S73" s="45">
        <v>60</v>
      </c>
      <c r="T73" s="45">
        <v>25</v>
      </c>
      <c r="U73" s="45">
        <v>64.8</v>
      </c>
      <c r="V73" s="45">
        <v>39</v>
      </c>
      <c r="W73" s="45">
        <v>39</v>
      </c>
      <c r="X73" s="45">
        <v>39</v>
      </c>
      <c r="Y73" s="45">
        <v>42</v>
      </c>
      <c r="Z73" s="45">
        <v>52</v>
      </c>
      <c r="AA73" s="45">
        <v>64.099999999999994</v>
      </c>
      <c r="AB73" s="45">
        <v>70.900000000000006</v>
      </c>
      <c r="AC73" s="45">
        <v>74.3</v>
      </c>
      <c r="AD73" s="45">
        <v>75.3</v>
      </c>
      <c r="AE73" s="45">
        <v>30</v>
      </c>
      <c r="AF73" s="45">
        <v>39</v>
      </c>
      <c r="AG73" s="51"/>
      <c r="AH73" s="47">
        <f t="shared" si="2"/>
        <v>75.3</v>
      </c>
      <c r="AI73" s="48">
        <f t="shared" si="3"/>
        <v>11.6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/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-274</v>
      </c>
      <c r="C75" s="64">
        <v>-375</v>
      </c>
      <c r="D75" s="64">
        <v>-374</v>
      </c>
      <c r="E75" s="64">
        <v>-405</v>
      </c>
      <c r="F75" s="64">
        <v>-364.1</v>
      </c>
      <c r="G75" s="64">
        <v>-378</v>
      </c>
      <c r="H75" s="64">
        <v>-358</v>
      </c>
      <c r="I75" s="64">
        <v>-371.2</v>
      </c>
      <c r="J75" s="64">
        <v>-248.2</v>
      </c>
      <c r="K75" s="64">
        <v>-226.1</v>
      </c>
      <c r="L75" s="64">
        <v>-228.1</v>
      </c>
      <c r="M75" s="64">
        <v>-250</v>
      </c>
      <c r="N75" s="64">
        <v>-191</v>
      </c>
      <c r="O75" s="64">
        <v>-250</v>
      </c>
      <c r="P75" s="64">
        <v>-266</v>
      </c>
      <c r="Q75" s="64">
        <v>-299</v>
      </c>
      <c r="R75" s="64"/>
      <c r="S75" s="64">
        <v>-350</v>
      </c>
      <c r="T75" s="64">
        <v>-260</v>
      </c>
      <c r="U75" s="64">
        <v>-276</v>
      </c>
      <c r="V75" s="64">
        <v>-280</v>
      </c>
      <c r="W75" s="64">
        <v>-280</v>
      </c>
      <c r="X75" s="64">
        <v>-280</v>
      </c>
      <c r="Y75" s="64">
        <v>-280</v>
      </c>
      <c r="Z75" s="64">
        <v>-217</v>
      </c>
      <c r="AA75" s="64">
        <v>-142.1</v>
      </c>
      <c r="AB75" s="64">
        <v>-194</v>
      </c>
      <c r="AC75" s="64">
        <v>-222</v>
      </c>
      <c r="AD75" s="64">
        <v>-224</v>
      </c>
      <c r="AE75" s="64">
        <v>-234</v>
      </c>
      <c r="AF75" s="64">
        <v>-282</v>
      </c>
      <c r="AG75" s="75"/>
      <c r="AH75" s="47">
        <f t="shared" si="2"/>
        <v>-142.1</v>
      </c>
      <c r="AI75" s="48">
        <f t="shared" si="3"/>
        <v>-405</v>
      </c>
      <c r="AK75" s="74"/>
    </row>
    <row r="76" spans="1:40" x14ac:dyDescent="0.25">
      <c r="A76" s="53" t="s">
        <v>92</v>
      </c>
      <c r="B76" s="76">
        <v>51.8</v>
      </c>
      <c r="C76" s="76">
        <v>53.6</v>
      </c>
      <c r="D76" s="76">
        <v>52.9</v>
      </c>
      <c r="E76" s="76">
        <v>52.7</v>
      </c>
      <c r="F76" s="76">
        <v>34.5</v>
      </c>
      <c r="G76" s="76">
        <v>10</v>
      </c>
      <c r="H76" s="76">
        <v>10</v>
      </c>
      <c r="I76" s="76">
        <v>10</v>
      </c>
      <c r="J76" s="76">
        <v>10</v>
      </c>
      <c r="K76" s="76">
        <v>10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/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12</v>
      </c>
      <c r="AF76" s="76">
        <v>12</v>
      </c>
      <c r="AG76" s="75"/>
      <c r="AH76" s="47">
        <f t="shared" si="2"/>
        <v>53.6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/>
      <c r="S77" s="45">
        <v>25</v>
      </c>
      <c r="T77" s="45">
        <v>25</v>
      </c>
      <c r="U77" s="45">
        <v>25</v>
      </c>
      <c r="V77" s="45">
        <v>25</v>
      </c>
      <c r="W77" s="45">
        <v>25</v>
      </c>
      <c r="X77" s="45">
        <v>25</v>
      </c>
      <c r="Y77" s="45">
        <v>25</v>
      </c>
      <c r="Z77" s="45">
        <v>0</v>
      </c>
      <c r="AA77" s="45">
        <v>0</v>
      </c>
      <c r="AB77" s="45">
        <v>0</v>
      </c>
      <c r="AC77" s="45">
        <v>30</v>
      </c>
      <c r="AD77" s="45">
        <v>30</v>
      </c>
      <c r="AE77" s="45">
        <v>30</v>
      </c>
      <c r="AF77" s="45">
        <v>30</v>
      </c>
      <c r="AG77" s="75"/>
      <c r="AH77" s="47">
        <f t="shared" ref="AH77:AH120" si="12">MAX(B77:AF77)</f>
        <v>30</v>
      </c>
      <c r="AI77" s="48">
        <f t="shared" ref="AI77:AI120" si="13">MIN(B77:AF77)</f>
        <v>0</v>
      </c>
      <c r="AK77" s="74"/>
    </row>
    <row r="78" spans="1:40" x14ac:dyDescent="0.25">
      <c r="A78" s="53" t="s">
        <v>94</v>
      </c>
      <c r="B78" s="77">
        <v>6</v>
      </c>
      <c r="C78" s="77">
        <v>6</v>
      </c>
      <c r="D78" s="77">
        <v>6</v>
      </c>
      <c r="E78" s="77">
        <v>5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5</v>
      </c>
      <c r="R78" s="77"/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5</v>
      </c>
      <c r="AA78" s="77">
        <v>4</v>
      </c>
      <c r="AB78" s="77">
        <v>4</v>
      </c>
      <c r="AC78" s="77">
        <v>4</v>
      </c>
      <c r="AD78" s="77">
        <v>4</v>
      </c>
      <c r="AE78" s="77">
        <v>4</v>
      </c>
      <c r="AF78" s="77">
        <v>4</v>
      </c>
      <c r="AG78" s="75"/>
      <c r="AH78" s="47">
        <f t="shared" si="12"/>
        <v>6</v>
      </c>
      <c r="AI78" s="48">
        <f t="shared" si="13"/>
        <v>0</v>
      </c>
      <c r="AK78" s="74"/>
    </row>
    <row r="79" spans="1:40" ht="15.75" thickBot="1" x14ac:dyDescent="0.3">
      <c r="A79" s="53" t="s">
        <v>95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/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2"/>
        <v>0</v>
      </c>
      <c r="AI79" s="48">
        <f t="shared" si="13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/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12"/>
        <v>0</v>
      </c>
      <c r="AI80" s="48">
        <f t="shared" si="13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/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2"/>
        <v>0</v>
      </c>
      <c r="AI81" s="48">
        <f t="shared" si="13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77">
        <v>0</v>
      </c>
      <c r="C82" s="77">
        <v>0</v>
      </c>
      <c r="D82" s="77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/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2"/>
        <v>0</v>
      </c>
      <c r="AI82" s="48">
        <f t="shared" si="13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77">
        <v>0</v>
      </c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/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2"/>
        <v>0</v>
      </c>
      <c r="AI83" s="48">
        <f t="shared" si="13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" si="14">SUMIF(B73:B83,"&gt;0")</f>
        <v>93.199999999999989</v>
      </c>
      <c r="C84" s="59">
        <f t="shared" ref="C84:AF84" si="15">SUMIF(C73:C83,"&gt;0")</f>
        <v>91.7</v>
      </c>
      <c r="D84" s="59">
        <f t="shared" si="15"/>
        <v>99.9</v>
      </c>
      <c r="E84" s="59">
        <f t="shared" si="15"/>
        <v>80.7</v>
      </c>
      <c r="F84" s="59">
        <f t="shared" si="15"/>
        <v>57.9</v>
      </c>
      <c r="G84" s="59">
        <f t="shared" si="15"/>
        <v>39.4</v>
      </c>
      <c r="H84" s="59">
        <f t="shared" si="15"/>
        <v>26.1</v>
      </c>
      <c r="I84" s="59">
        <f t="shared" si="15"/>
        <v>21.6</v>
      </c>
      <c r="J84" s="59">
        <f t="shared" si="15"/>
        <v>32</v>
      </c>
      <c r="K84" s="59">
        <f t="shared" si="15"/>
        <v>40.700000000000003</v>
      </c>
      <c r="L84" s="59">
        <f t="shared" si="15"/>
        <v>43</v>
      </c>
      <c r="M84" s="59">
        <f t="shared" si="15"/>
        <v>40</v>
      </c>
      <c r="N84" s="59">
        <f t="shared" si="15"/>
        <v>52.3</v>
      </c>
      <c r="O84" s="59">
        <f t="shared" si="15"/>
        <v>40</v>
      </c>
      <c r="P84" s="59">
        <f t="shared" si="15"/>
        <v>64</v>
      </c>
      <c r="Q84" s="59">
        <f t="shared" si="15"/>
        <v>61</v>
      </c>
      <c r="R84" s="59">
        <f t="shared" si="15"/>
        <v>0</v>
      </c>
      <c r="S84" s="59">
        <f t="shared" si="15"/>
        <v>90</v>
      </c>
      <c r="T84" s="59">
        <f t="shared" si="15"/>
        <v>55</v>
      </c>
      <c r="U84" s="59">
        <f t="shared" si="15"/>
        <v>94.8</v>
      </c>
      <c r="V84" s="59">
        <f t="shared" si="15"/>
        <v>69</v>
      </c>
      <c r="W84" s="59">
        <f t="shared" si="15"/>
        <v>69</v>
      </c>
      <c r="X84" s="59">
        <f t="shared" si="15"/>
        <v>69</v>
      </c>
      <c r="Y84" s="59">
        <f t="shared" si="15"/>
        <v>72</v>
      </c>
      <c r="Z84" s="59">
        <f t="shared" si="15"/>
        <v>57</v>
      </c>
      <c r="AA84" s="59">
        <f t="shared" si="15"/>
        <v>68.099999999999994</v>
      </c>
      <c r="AB84" s="59">
        <f t="shared" si="15"/>
        <v>74.900000000000006</v>
      </c>
      <c r="AC84" s="59">
        <f t="shared" si="15"/>
        <v>108.3</v>
      </c>
      <c r="AD84" s="59">
        <f t="shared" si="15"/>
        <v>109.3</v>
      </c>
      <c r="AE84" s="59">
        <f t="shared" si="15"/>
        <v>76</v>
      </c>
      <c r="AF84" s="59">
        <f t="shared" si="15"/>
        <v>85</v>
      </c>
      <c r="AG84" s="88">
        <f>SUM(AG73:AG83)</f>
        <v>0</v>
      </c>
      <c r="AH84" s="47">
        <f t="shared" si="12"/>
        <v>109.3</v>
      </c>
      <c r="AI84" s="48">
        <f t="shared" si="13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2"/>
        <v>0</v>
      </c>
      <c r="AI85" s="48">
        <f t="shared" si="13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2"/>
        <v>0</v>
      </c>
      <c r="AI86" s="48">
        <f t="shared" si="13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2"/>
        <v>0</v>
      </c>
      <c r="AI87" s="48">
        <f t="shared" si="13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>
        <v>0</v>
      </c>
      <c r="Z88" s="59">
        <v>0</v>
      </c>
      <c r="AA88" s="59">
        <v>0</v>
      </c>
      <c r="AB88" s="59"/>
      <c r="AC88" s="59"/>
      <c r="AD88" s="59"/>
      <c r="AE88" s="59"/>
      <c r="AF88" s="59"/>
      <c r="AG88" s="88">
        <f>SUM(AG85:AG87)</f>
        <v>55.4</v>
      </c>
      <c r="AH88" s="47">
        <f t="shared" si="12"/>
        <v>0</v>
      </c>
      <c r="AI88" s="48">
        <f t="shared" si="13"/>
        <v>0</v>
      </c>
    </row>
    <row r="89" spans="1:40" ht="15.75" thickBot="1" x14ac:dyDescent="0.3">
      <c r="A89" s="73" t="s">
        <v>108</v>
      </c>
      <c r="B89" s="95">
        <f t="shared" ref="B89" si="16">B50+B54+B72+B68+B84+B88</f>
        <v>1809.94</v>
      </c>
      <c r="C89" s="95">
        <f t="shared" ref="C89:AG89" si="17">C50+C54+C72+C68+C84+C88</f>
        <v>1887.44</v>
      </c>
      <c r="D89" s="95">
        <f t="shared" si="17"/>
        <v>1853.54</v>
      </c>
      <c r="E89" s="95">
        <f t="shared" si="17"/>
        <v>1775.1399999999999</v>
      </c>
      <c r="F89" s="95">
        <f t="shared" si="17"/>
        <v>1777.6399999999999</v>
      </c>
      <c r="G89" s="95">
        <f t="shared" si="17"/>
        <v>1772.04</v>
      </c>
      <c r="H89" s="95">
        <f t="shared" si="17"/>
        <v>1796.0399999999997</v>
      </c>
      <c r="I89" s="95">
        <f t="shared" si="17"/>
        <v>1766.4399999999998</v>
      </c>
      <c r="J89" s="95">
        <f t="shared" si="17"/>
        <v>1727.1399999999999</v>
      </c>
      <c r="K89" s="95">
        <f t="shared" si="17"/>
        <v>1738.84</v>
      </c>
      <c r="L89" s="95">
        <f t="shared" si="17"/>
        <v>1761.34</v>
      </c>
      <c r="M89" s="95">
        <f t="shared" si="17"/>
        <v>1755.6399999999999</v>
      </c>
      <c r="N89" s="95">
        <f t="shared" si="17"/>
        <v>1836.8399999999997</v>
      </c>
      <c r="O89" s="95">
        <f t="shared" si="17"/>
        <v>1868.0399999999997</v>
      </c>
      <c r="P89" s="95">
        <f t="shared" si="17"/>
        <v>1948.2399999999998</v>
      </c>
      <c r="Q89" s="95">
        <f t="shared" si="17"/>
        <v>1836.2399999999998</v>
      </c>
      <c r="R89" s="95">
        <f t="shared" si="17"/>
        <v>253.54</v>
      </c>
      <c r="S89" s="95">
        <f t="shared" si="17"/>
        <v>1756.7399999999998</v>
      </c>
      <c r="T89" s="95">
        <f t="shared" si="17"/>
        <v>1783.4399999999998</v>
      </c>
      <c r="U89" s="95">
        <f t="shared" si="17"/>
        <v>1793.8899999999999</v>
      </c>
      <c r="V89" s="95">
        <f t="shared" si="17"/>
        <v>1779.0899999999997</v>
      </c>
      <c r="W89" s="95">
        <f t="shared" si="17"/>
        <v>1798.3899999999999</v>
      </c>
      <c r="X89" s="95">
        <f t="shared" si="17"/>
        <v>1831.6899999999998</v>
      </c>
      <c r="Y89" s="95">
        <f t="shared" si="17"/>
        <v>1851.6899999999998</v>
      </c>
      <c r="Z89" s="95">
        <f t="shared" si="17"/>
        <v>1862.1899999999998</v>
      </c>
      <c r="AA89" s="95">
        <f t="shared" si="17"/>
        <v>1922.0399999999997</v>
      </c>
      <c r="AB89" s="95">
        <f t="shared" si="17"/>
        <v>1978.6399999999999</v>
      </c>
      <c r="AC89" s="95">
        <f t="shared" si="17"/>
        <v>2013.1399999999999</v>
      </c>
      <c r="AD89" s="95">
        <f t="shared" si="17"/>
        <v>2014.1399999999999</v>
      </c>
      <c r="AE89" s="95">
        <f t="shared" si="17"/>
        <v>1980.84</v>
      </c>
      <c r="AF89" s="95">
        <f t="shared" si="17"/>
        <v>1962.6399999999999</v>
      </c>
      <c r="AG89" s="60">
        <f t="shared" si="17"/>
        <v>2111.5500000000002</v>
      </c>
      <c r="AH89" s="47">
        <f t="shared" si="12"/>
        <v>2014.1399999999999</v>
      </c>
      <c r="AI89" s="48">
        <f t="shared" si="13"/>
        <v>253.54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>
        <v>50</v>
      </c>
      <c r="L90" s="97">
        <v>50</v>
      </c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>
        <v>110</v>
      </c>
      <c r="AB90" s="97">
        <v>110</v>
      </c>
      <c r="AC90" s="97">
        <v>110</v>
      </c>
      <c r="AD90" s="97">
        <v>110</v>
      </c>
      <c r="AE90" s="97">
        <v>50</v>
      </c>
      <c r="AF90" s="97">
        <v>50</v>
      </c>
      <c r="AG90" s="88"/>
      <c r="AH90" s="47">
        <f t="shared" si="12"/>
        <v>110</v>
      </c>
      <c r="AI90" s="48">
        <f t="shared" si="13"/>
        <v>50</v>
      </c>
    </row>
    <row r="91" spans="1:40" ht="15.75" thickBot="1" x14ac:dyDescent="0.3">
      <c r="A91" s="73" t="s">
        <v>110</v>
      </c>
      <c r="B91" s="95">
        <f t="shared" ref="B91" si="18">B89+B90</f>
        <v>1809.94</v>
      </c>
      <c r="C91" s="95">
        <f t="shared" ref="C91:AF91" si="19">C89+C90</f>
        <v>1887.44</v>
      </c>
      <c r="D91" s="95">
        <f t="shared" si="19"/>
        <v>1853.54</v>
      </c>
      <c r="E91" s="95">
        <f t="shared" si="19"/>
        <v>1775.1399999999999</v>
      </c>
      <c r="F91" s="95">
        <f t="shared" si="19"/>
        <v>1777.6399999999999</v>
      </c>
      <c r="G91" s="95">
        <f t="shared" si="19"/>
        <v>1772.04</v>
      </c>
      <c r="H91" s="95">
        <f t="shared" si="19"/>
        <v>1796.0399999999997</v>
      </c>
      <c r="I91" s="95">
        <f t="shared" si="19"/>
        <v>1766.4399999999998</v>
      </c>
      <c r="J91" s="95">
        <f t="shared" si="19"/>
        <v>1727.1399999999999</v>
      </c>
      <c r="K91" s="95">
        <f t="shared" si="19"/>
        <v>1788.84</v>
      </c>
      <c r="L91" s="95">
        <f t="shared" si="19"/>
        <v>1811.34</v>
      </c>
      <c r="M91" s="95">
        <f t="shared" si="19"/>
        <v>1755.6399999999999</v>
      </c>
      <c r="N91" s="95">
        <f t="shared" si="19"/>
        <v>1836.8399999999997</v>
      </c>
      <c r="O91" s="95">
        <f t="shared" si="19"/>
        <v>1868.0399999999997</v>
      </c>
      <c r="P91" s="95">
        <f t="shared" si="19"/>
        <v>1948.2399999999998</v>
      </c>
      <c r="Q91" s="95">
        <f t="shared" si="19"/>
        <v>1836.2399999999998</v>
      </c>
      <c r="R91" s="95">
        <f t="shared" si="19"/>
        <v>253.54</v>
      </c>
      <c r="S91" s="95">
        <f t="shared" si="19"/>
        <v>1756.7399999999998</v>
      </c>
      <c r="T91" s="95">
        <f t="shared" si="19"/>
        <v>1783.4399999999998</v>
      </c>
      <c r="U91" s="95">
        <f t="shared" si="19"/>
        <v>1793.8899999999999</v>
      </c>
      <c r="V91" s="95">
        <f t="shared" si="19"/>
        <v>1779.0899999999997</v>
      </c>
      <c r="W91" s="95">
        <f t="shared" si="19"/>
        <v>1798.3899999999999</v>
      </c>
      <c r="X91" s="95">
        <f t="shared" si="19"/>
        <v>1831.6899999999998</v>
      </c>
      <c r="Y91" s="95">
        <f t="shared" si="19"/>
        <v>1851.6899999999998</v>
      </c>
      <c r="Z91" s="95">
        <f t="shared" si="19"/>
        <v>1862.1899999999998</v>
      </c>
      <c r="AA91" s="95">
        <f t="shared" si="19"/>
        <v>2032.0399999999997</v>
      </c>
      <c r="AB91" s="95">
        <f t="shared" si="19"/>
        <v>2088.64</v>
      </c>
      <c r="AC91" s="95">
        <f t="shared" si="19"/>
        <v>2123.14</v>
      </c>
      <c r="AD91" s="95">
        <f t="shared" si="19"/>
        <v>2124.14</v>
      </c>
      <c r="AE91" s="95">
        <f t="shared" si="19"/>
        <v>2030.84</v>
      </c>
      <c r="AF91" s="95">
        <f t="shared" si="19"/>
        <v>2012.6399999999999</v>
      </c>
      <c r="AG91" s="88">
        <f>AG88+AG84+AG72+AG68+AG50+AG90</f>
        <v>1573.45</v>
      </c>
      <c r="AH91" s="47">
        <f t="shared" si="12"/>
        <v>2124.14</v>
      </c>
      <c r="AI91" s="48">
        <f t="shared" si="13"/>
        <v>253.54</v>
      </c>
    </row>
    <row r="92" spans="1:40" ht="15.75" thickBot="1" x14ac:dyDescent="0.3">
      <c r="A92" s="73" t="s">
        <v>111</v>
      </c>
      <c r="B92" s="95">
        <f t="shared" ref="B92" si="20">B91-B99</f>
        <v>1809.94</v>
      </c>
      <c r="C92" s="95">
        <f t="shared" ref="C92:AF92" si="21">C91-C99</f>
        <v>1887.44</v>
      </c>
      <c r="D92" s="95">
        <f t="shared" si="21"/>
        <v>1853.54</v>
      </c>
      <c r="E92" s="95">
        <f t="shared" si="21"/>
        <v>1775.1399999999999</v>
      </c>
      <c r="F92" s="95">
        <f t="shared" si="21"/>
        <v>1777.6399999999999</v>
      </c>
      <c r="G92" s="95">
        <f t="shared" si="21"/>
        <v>1772.04</v>
      </c>
      <c r="H92" s="95">
        <f t="shared" si="21"/>
        <v>1796.0399999999997</v>
      </c>
      <c r="I92" s="95">
        <f t="shared" si="21"/>
        <v>1766.4399999999998</v>
      </c>
      <c r="J92" s="95">
        <f t="shared" si="21"/>
        <v>1727.1399999999999</v>
      </c>
      <c r="K92" s="95">
        <f t="shared" si="21"/>
        <v>1788.84</v>
      </c>
      <c r="L92" s="95">
        <f t="shared" si="21"/>
        <v>1811.34</v>
      </c>
      <c r="M92" s="95">
        <f t="shared" si="21"/>
        <v>1755.6399999999999</v>
      </c>
      <c r="N92" s="95">
        <f t="shared" si="21"/>
        <v>1836.8399999999997</v>
      </c>
      <c r="O92" s="95">
        <f t="shared" si="21"/>
        <v>1868.0399999999997</v>
      </c>
      <c r="P92" s="95">
        <f t="shared" si="21"/>
        <v>1948.2399999999998</v>
      </c>
      <c r="Q92" s="95">
        <f t="shared" si="21"/>
        <v>1836.2399999999998</v>
      </c>
      <c r="R92" s="95">
        <f t="shared" si="21"/>
        <v>253.54</v>
      </c>
      <c r="S92" s="95">
        <f t="shared" si="21"/>
        <v>1756.7399999999998</v>
      </c>
      <c r="T92" s="95">
        <f t="shared" si="21"/>
        <v>1783.4399999999998</v>
      </c>
      <c r="U92" s="95">
        <f t="shared" si="21"/>
        <v>1793.8899999999999</v>
      </c>
      <c r="V92" s="95">
        <f t="shared" si="21"/>
        <v>1779.0899999999997</v>
      </c>
      <c r="W92" s="95">
        <f t="shared" si="21"/>
        <v>1798.3899999999999</v>
      </c>
      <c r="X92" s="95">
        <f t="shared" si="21"/>
        <v>1831.6899999999998</v>
      </c>
      <c r="Y92" s="95">
        <f t="shared" si="21"/>
        <v>1851.6899999999998</v>
      </c>
      <c r="Z92" s="95">
        <f t="shared" si="21"/>
        <v>1862.1899999999998</v>
      </c>
      <c r="AA92" s="95">
        <f t="shared" si="21"/>
        <v>2032.0399999999997</v>
      </c>
      <c r="AB92" s="95">
        <f t="shared" si="21"/>
        <v>2088.64</v>
      </c>
      <c r="AC92" s="95">
        <f t="shared" si="21"/>
        <v>2123.14</v>
      </c>
      <c r="AD92" s="95">
        <f t="shared" si="21"/>
        <v>2124.14</v>
      </c>
      <c r="AE92" s="95">
        <f t="shared" si="21"/>
        <v>2030.84</v>
      </c>
      <c r="AF92" s="95">
        <f t="shared" si="21"/>
        <v>2012.6399999999999</v>
      </c>
      <c r="AG92" s="88"/>
      <c r="AH92" s="47">
        <f t="shared" si="12"/>
        <v>2124.14</v>
      </c>
      <c r="AI92" s="48">
        <f t="shared" si="13"/>
        <v>253.54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2"/>
        <v>0</v>
      </c>
      <c r="AI93" s="48">
        <f t="shared" si="13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2"/>
        <v>0</v>
      </c>
      <c r="AI94" s="48">
        <f t="shared" si="13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2"/>
        <v>0</v>
      </c>
      <c r="AI95" s="48">
        <f t="shared" si="13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2"/>
        <v>0</v>
      </c>
      <c r="AI96" s="48">
        <f t="shared" si="13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2"/>
        <v>0</v>
      </c>
      <c r="AI97" s="48">
        <f t="shared" si="13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2"/>
        <v>0</v>
      </c>
      <c r="AI98" s="48">
        <f t="shared" si="13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>
        <v>0</v>
      </c>
      <c r="AA99" s="59">
        <v>0</v>
      </c>
      <c r="AB99" s="59"/>
      <c r="AC99" s="59"/>
      <c r="AD99" s="59"/>
      <c r="AE99" s="59"/>
      <c r="AF99" s="59"/>
      <c r="AG99" s="88"/>
      <c r="AH99" s="47">
        <f t="shared" si="12"/>
        <v>0</v>
      </c>
      <c r="AI99" s="48">
        <f t="shared" si="13"/>
        <v>0</v>
      </c>
      <c r="AK99" s="74"/>
    </row>
    <row r="100" spans="1:37" ht="15.75" thickBot="1" x14ac:dyDescent="0.3">
      <c r="A100" s="73" t="s">
        <v>116</v>
      </c>
      <c r="B100" s="59">
        <f t="shared" ref="B100" si="22">B84-B99</f>
        <v>93.199999999999989</v>
      </c>
      <c r="C100" s="59">
        <f t="shared" ref="C100:AF100" si="23">C84-C99</f>
        <v>91.7</v>
      </c>
      <c r="D100" s="59">
        <f t="shared" si="23"/>
        <v>99.9</v>
      </c>
      <c r="E100" s="59">
        <f t="shared" si="23"/>
        <v>80.7</v>
      </c>
      <c r="F100" s="59">
        <f t="shared" si="23"/>
        <v>57.9</v>
      </c>
      <c r="G100" s="59">
        <f t="shared" si="23"/>
        <v>39.4</v>
      </c>
      <c r="H100" s="59">
        <f t="shared" si="23"/>
        <v>26.1</v>
      </c>
      <c r="I100" s="59">
        <f t="shared" si="23"/>
        <v>21.6</v>
      </c>
      <c r="J100" s="59">
        <f t="shared" si="23"/>
        <v>32</v>
      </c>
      <c r="K100" s="59">
        <f t="shared" si="23"/>
        <v>40.700000000000003</v>
      </c>
      <c r="L100" s="59">
        <f t="shared" si="23"/>
        <v>43</v>
      </c>
      <c r="M100" s="59">
        <f t="shared" si="23"/>
        <v>40</v>
      </c>
      <c r="N100" s="59">
        <f t="shared" si="23"/>
        <v>52.3</v>
      </c>
      <c r="O100" s="59">
        <f t="shared" si="23"/>
        <v>40</v>
      </c>
      <c r="P100" s="59">
        <f t="shared" si="23"/>
        <v>64</v>
      </c>
      <c r="Q100" s="59">
        <f t="shared" si="23"/>
        <v>61</v>
      </c>
      <c r="R100" s="59">
        <f t="shared" si="23"/>
        <v>0</v>
      </c>
      <c r="S100" s="59">
        <f t="shared" si="23"/>
        <v>90</v>
      </c>
      <c r="T100" s="59">
        <f t="shared" si="23"/>
        <v>55</v>
      </c>
      <c r="U100" s="59">
        <f t="shared" si="23"/>
        <v>94.8</v>
      </c>
      <c r="V100" s="59">
        <f t="shared" si="23"/>
        <v>69</v>
      </c>
      <c r="W100" s="59">
        <f t="shared" si="23"/>
        <v>69</v>
      </c>
      <c r="X100" s="59">
        <f t="shared" si="23"/>
        <v>69</v>
      </c>
      <c r="Y100" s="59">
        <f t="shared" si="23"/>
        <v>72</v>
      </c>
      <c r="Z100" s="59">
        <f t="shared" si="23"/>
        <v>57</v>
      </c>
      <c r="AA100" s="59">
        <f t="shared" si="23"/>
        <v>68.099999999999994</v>
      </c>
      <c r="AB100" s="59">
        <f t="shared" si="23"/>
        <v>74.900000000000006</v>
      </c>
      <c r="AC100" s="59">
        <f t="shared" si="23"/>
        <v>108.3</v>
      </c>
      <c r="AD100" s="59">
        <f t="shared" si="23"/>
        <v>109.3</v>
      </c>
      <c r="AE100" s="59">
        <f t="shared" si="23"/>
        <v>76</v>
      </c>
      <c r="AF100" s="59">
        <f t="shared" si="23"/>
        <v>85</v>
      </c>
      <c r="AG100" s="88"/>
      <c r="AH100" s="47">
        <f t="shared" si="12"/>
        <v>109.3</v>
      </c>
      <c r="AI100" s="48">
        <f t="shared" si="13"/>
        <v>0</v>
      </c>
    </row>
    <row r="101" spans="1:37" x14ac:dyDescent="0.25">
      <c r="A101" s="100" t="s">
        <v>117</v>
      </c>
      <c r="B101" s="101">
        <v>50.03</v>
      </c>
      <c r="C101" s="101">
        <v>49.91</v>
      </c>
      <c r="D101" s="101">
        <v>50.03</v>
      </c>
      <c r="E101" s="101">
        <v>49.953000000000003</v>
      </c>
      <c r="F101" s="101">
        <v>50.048000000000002</v>
      </c>
      <c r="G101" s="101">
        <v>50.015000000000001</v>
      </c>
      <c r="H101" s="101">
        <v>49.942999999999998</v>
      </c>
      <c r="I101" s="101">
        <v>49.914000000000001</v>
      </c>
      <c r="J101" s="101">
        <v>50.04</v>
      </c>
      <c r="K101" s="101">
        <v>50.067999999999998</v>
      </c>
      <c r="L101" s="101">
        <v>49.975999999999999</v>
      </c>
      <c r="M101" s="101">
        <v>50.033000000000001</v>
      </c>
      <c r="N101" s="101">
        <v>50.027000000000001</v>
      </c>
      <c r="O101" s="101">
        <v>50.018000000000001</v>
      </c>
      <c r="P101" s="101">
        <v>50.018999999999998</v>
      </c>
      <c r="Q101" s="101">
        <v>49.962000000000003</v>
      </c>
      <c r="R101" s="101"/>
      <c r="S101" s="101">
        <v>50</v>
      </c>
      <c r="T101" s="101">
        <v>50</v>
      </c>
      <c r="U101" s="101">
        <v>50.036999999999999</v>
      </c>
      <c r="V101" s="101">
        <v>50.62</v>
      </c>
      <c r="W101" s="101">
        <v>50</v>
      </c>
      <c r="X101" s="101">
        <v>50</v>
      </c>
      <c r="Y101" s="101">
        <v>50</v>
      </c>
      <c r="Z101" s="101">
        <v>50</v>
      </c>
      <c r="AA101" s="101">
        <v>50.076000000000001</v>
      </c>
      <c r="AB101" s="101">
        <v>49.926000000000002</v>
      </c>
      <c r="AC101" s="101">
        <v>50.040999999999997</v>
      </c>
      <c r="AD101" s="101">
        <v>49.923999999999999</v>
      </c>
      <c r="AE101" s="101">
        <v>50.078000000000003</v>
      </c>
      <c r="AF101" s="101">
        <v>50.017000000000003</v>
      </c>
      <c r="AG101" s="102"/>
      <c r="AH101" s="47">
        <f t="shared" si="12"/>
        <v>50.62</v>
      </c>
      <c r="AI101" s="48">
        <f t="shared" si="13"/>
        <v>49.91</v>
      </c>
    </row>
    <row r="102" spans="1:37" x14ac:dyDescent="0.25">
      <c r="A102" s="103" t="s">
        <v>118</v>
      </c>
      <c r="B102" s="64">
        <v>126.8</v>
      </c>
      <c r="C102" s="64">
        <v>122.5</v>
      </c>
      <c r="D102" s="64">
        <v>124.3</v>
      </c>
      <c r="E102" s="64">
        <v>122.4</v>
      </c>
      <c r="F102" s="64">
        <v>123.3</v>
      </c>
      <c r="G102" s="64">
        <v>122.4</v>
      </c>
      <c r="H102" s="64">
        <v>121</v>
      </c>
      <c r="I102" s="64">
        <v>125</v>
      </c>
      <c r="J102" s="64">
        <v>125</v>
      </c>
      <c r="K102" s="64">
        <v>124.6</v>
      </c>
      <c r="L102" s="64">
        <v>124.7</v>
      </c>
      <c r="M102" s="64">
        <v>123.1</v>
      </c>
      <c r="N102" s="64">
        <v>118.7</v>
      </c>
      <c r="O102" s="64">
        <v>120.5</v>
      </c>
      <c r="P102" s="64">
        <v>124.7</v>
      </c>
      <c r="Q102" s="64">
        <v>126.7</v>
      </c>
      <c r="R102" s="64"/>
      <c r="S102" s="64">
        <v>125</v>
      </c>
      <c r="T102" s="64">
        <v>125</v>
      </c>
      <c r="U102" s="64">
        <v>125</v>
      </c>
      <c r="V102" s="64">
        <v>127</v>
      </c>
      <c r="W102" s="64">
        <v>127</v>
      </c>
      <c r="X102" s="64">
        <v>127</v>
      </c>
      <c r="Y102" s="64">
        <v>127</v>
      </c>
      <c r="Z102" s="64">
        <v>127</v>
      </c>
      <c r="AA102" s="64">
        <v>122</v>
      </c>
      <c r="AB102" s="64">
        <v>123.1</v>
      </c>
      <c r="AC102" s="64">
        <v>124</v>
      </c>
      <c r="AD102" s="64">
        <v>123.6</v>
      </c>
      <c r="AE102" s="64">
        <v>121.6</v>
      </c>
      <c r="AF102" s="64">
        <v>123</v>
      </c>
      <c r="AG102" s="104"/>
      <c r="AH102" s="47">
        <f t="shared" si="12"/>
        <v>127</v>
      </c>
      <c r="AI102" s="48">
        <f t="shared" si="13"/>
        <v>118.7</v>
      </c>
    </row>
    <row r="103" spans="1:37" x14ac:dyDescent="0.25">
      <c r="A103" s="103" t="s">
        <v>119</v>
      </c>
      <c r="B103" s="64">
        <v>130.5</v>
      </c>
      <c r="C103" s="64">
        <v>127.8</v>
      </c>
      <c r="D103" s="64">
        <v>129.30000000000001</v>
      </c>
      <c r="E103" s="64">
        <v>128.1</v>
      </c>
      <c r="F103" s="64">
        <v>128.80000000000001</v>
      </c>
      <c r="G103" s="64">
        <v>128</v>
      </c>
      <c r="H103" s="64">
        <v>126</v>
      </c>
      <c r="I103" s="64">
        <v>128.5</v>
      </c>
      <c r="J103" s="64">
        <v>128.5</v>
      </c>
      <c r="K103" s="64">
        <v>127.5</v>
      </c>
      <c r="L103" s="64">
        <v>127.5</v>
      </c>
      <c r="M103" s="64">
        <v>122.7</v>
      </c>
      <c r="N103" s="64">
        <v>60.4</v>
      </c>
      <c r="O103" s="64">
        <v>123.9</v>
      </c>
      <c r="P103" s="64">
        <v>127.5</v>
      </c>
      <c r="Q103" s="64">
        <v>128.30000000000001</v>
      </c>
      <c r="R103" s="64"/>
      <c r="S103" s="64">
        <v>127</v>
      </c>
      <c r="T103" s="64">
        <v>127</v>
      </c>
      <c r="U103" s="64">
        <v>127</v>
      </c>
      <c r="V103" s="64">
        <v>129</v>
      </c>
      <c r="W103" s="64">
        <v>129</v>
      </c>
      <c r="X103" s="64">
        <v>129</v>
      </c>
      <c r="Y103" s="64">
        <v>129</v>
      </c>
      <c r="Z103" s="64">
        <v>129</v>
      </c>
      <c r="AA103" s="64">
        <v>125.6</v>
      </c>
      <c r="AB103" s="64">
        <v>126.8</v>
      </c>
      <c r="AC103" s="64">
        <v>127.6</v>
      </c>
      <c r="AD103" s="64">
        <v>128.19999999999999</v>
      </c>
      <c r="AE103" s="64">
        <v>127.3</v>
      </c>
      <c r="AF103" s="64">
        <v>128.19999999999999</v>
      </c>
      <c r="AG103" s="104"/>
      <c r="AH103" s="47">
        <f t="shared" si="12"/>
        <v>130.5</v>
      </c>
      <c r="AI103" s="48">
        <f t="shared" si="13"/>
        <v>60.4</v>
      </c>
    </row>
    <row r="104" spans="1:37" x14ac:dyDescent="0.25">
      <c r="A104" s="103" t="s">
        <v>120</v>
      </c>
      <c r="B104" s="64">
        <v>127</v>
      </c>
      <c r="C104" s="64">
        <v>131.19999999999999</v>
      </c>
      <c r="D104" s="64">
        <v>131.5</v>
      </c>
      <c r="E104" s="64">
        <v>129.1</v>
      </c>
      <c r="F104" s="64">
        <v>128</v>
      </c>
      <c r="G104" s="64">
        <v>128.69999999999999</v>
      </c>
      <c r="H104" s="64">
        <v>126.3</v>
      </c>
      <c r="I104" s="64">
        <v>129.4</v>
      </c>
      <c r="J104" s="64">
        <v>129.4</v>
      </c>
      <c r="K104" s="64">
        <v>128.80000000000001</v>
      </c>
      <c r="L104" s="64">
        <v>125.5</v>
      </c>
      <c r="M104" s="64">
        <v>127.7</v>
      </c>
      <c r="N104" s="64">
        <v>123.8</v>
      </c>
      <c r="O104" s="64">
        <v>124.7</v>
      </c>
      <c r="P104" s="64">
        <v>124.4</v>
      </c>
      <c r="Q104" s="64">
        <v>124.7</v>
      </c>
      <c r="R104" s="64"/>
      <c r="S104" s="64">
        <v>129</v>
      </c>
      <c r="T104" s="64">
        <v>129</v>
      </c>
      <c r="U104" s="64">
        <v>123.5</v>
      </c>
      <c r="V104" s="64">
        <v>128</v>
      </c>
      <c r="W104" s="64">
        <v>128</v>
      </c>
      <c r="X104" s="64">
        <v>128</v>
      </c>
      <c r="Y104" s="64">
        <v>128</v>
      </c>
      <c r="Z104" s="64">
        <v>128</v>
      </c>
      <c r="AA104" s="64">
        <v>123.9</v>
      </c>
      <c r="AB104" s="64">
        <v>125</v>
      </c>
      <c r="AC104" s="64">
        <v>124.6</v>
      </c>
      <c r="AD104" s="64">
        <v>128.30000000000001</v>
      </c>
      <c r="AE104" s="64">
        <v>128.30000000000001</v>
      </c>
      <c r="AF104" s="64">
        <v>129</v>
      </c>
      <c r="AG104" s="104"/>
      <c r="AH104" s="47">
        <f t="shared" si="12"/>
        <v>131.5</v>
      </c>
      <c r="AI104" s="48">
        <f t="shared" si="13"/>
        <v>123.5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2"/>
        <v>0</v>
      </c>
      <c r="AI105" s="48">
        <f t="shared" si="13"/>
        <v>0</v>
      </c>
    </row>
    <row r="106" spans="1:37" x14ac:dyDescent="0.25">
      <c r="A106" s="105" t="s">
        <v>122</v>
      </c>
      <c r="B106" s="106">
        <v>132.30000000000001</v>
      </c>
      <c r="C106" s="106">
        <v>131</v>
      </c>
      <c r="D106" s="106">
        <v>130.80000000000001</v>
      </c>
      <c r="E106" s="106">
        <v>129.6</v>
      </c>
      <c r="F106" s="106">
        <v>133.6</v>
      </c>
      <c r="G106" s="106">
        <v>134.6</v>
      </c>
      <c r="H106" s="106">
        <v>129.80000000000001</v>
      </c>
      <c r="I106" s="106">
        <v>134.30000000000001</v>
      </c>
      <c r="J106" s="106">
        <v>134.30000000000001</v>
      </c>
      <c r="K106" s="106">
        <v>133.80000000000001</v>
      </c>
      <c r="L106" s="106">
        <v>135.5</v>
      </c>
      <c r="M106" s="106">
        <v>133.30000000000001</v>
      </c>
      <c r="N106" s="106">
        <v>132.5</v>
      </c>
      <c r="O106" s="106">
        <v>143.6</v>
      </c>
      <c r="P106" s="106">
        <v>134</v>
      </c>
      <c r="Q106" s="106">
        <v>130.1</v>
      </c>
      <c r="R106" s="106"/>
      <c r="S106" s="106">
        <v>132</v>
      </c>
      <c r="T106" s="106">
        <v>132</v>
      </c>
      <c r="U106" s="106">
        <v>129.5</v>
      </c>
      <c r="V106" s="106">
        <v>134.6</v>
      </c>
      <c r="W106" s="106">
        <v>134.6</v>
      </c>
      <c r="X106" s="106">
        <v>134.6</v>
      </c>
      <c r="Y106" s="106">
        <v>134.6</v>
      </c>
      <c r="Z106" s="106">
        <v>134.6</v>
      </c>
      <c r="AA106" s="106">
        <v>129.5</v>
      </c>
      <c r="AB106" s="106">
        <v>132</v>
      </c>
      <c r="AC106" s="106">
        <v>128.5</v>
      </c>
      <c r="AD106" s="106">
        <v>130.6</v>
      </c>
      <c r="AE106" s="106">
        <v>132.5</v>
      </c>
      <c r="AF106" s="106">
        <v>130.6</v>
      </c>
      <c r="AG106" s="107"/>
      <c r="AH106" s="47">
        <f t="shared" si="12"/>
        <v>143.6</v>
      </c>
      <c r="AI106" s="48">
        <f t="shared" si="13"/>
        <v>128.5</v>
      </c>
    </row>
    <row r="107" spans="1:37" x14ac:dyDescent="0.25">
      <c r="A107" s="103" t="s">
        <v>123</v>
      </c>
      <c r="B107" s="64">
        <v>128.80000000000001</v>
      </c>
      <c r="C107" s="64">
        <v>129.4</v>
      </c>
      <c r="D107" s="64">
        <v>129.6</v>
      </c>
      <c r="E107" s="64">
        <v>1232.2</v>
      </c>
      <c r="F107" s="64">
        <v>129.4</v>
      </c>
      <c r="G107" s="64">
        <v>130.5</v>
      </c>
      <c r="H107" s="64">
        <v>126</v>
      </c>
      <c r="I107" s="64">
        <v>131.1</v>
      </c>
      <c r="J107" s="64">
        <v>131.1</v>
      </c>
      <c r="K107" s="64">
        <v>131.80000000000001</v>
      </c>
      <c r="L107" s="64">
        <v>130.4</v>
      </c>
      <c r="M107" s="64">
        <v>131.19999999999999</v>
      </c>
      <c r="N107" s="64">
        <v>123.8</v>
      </c>
      <c r="O107" s="64">
        <v>125.3</v>
      </c>
      <c r="P107" s="64">
        <v>131.5</v>
      </c>
      <c r="Q107" s="64">
        <v>135.6</v>
      </c>
      <c r="R107" s="64"/>
      <c r="S107" s="64">
        <v>131</v>
      </c>
      <c r="T107" s="64">
        <v>131</v>
      </c>
      <c r="U107" s="64">
        <v>122</v>
      </c>
      <c r="V107" s="64">
        <v>121</v>
      </c>
      <c r="W107" s="64">
        <v>121</v>
      </c>
      <c r="X107" s="64">
        <v>121</v>
      </c>
      <c r="Y107" s="64">
        <v>121</v>
      </c>
      <c r="Z107" s="64">
        <v>121</v>
      </c>
      <c r="AA107" s="64">
        <v>127.1</v>
      </c>
      <c r="AB107" s="64">
        <v>128.1</v>
      </c>
      <c r="AC107" s="64">
        <v>129</v>
      </c>
      <c r="AD107" s="64">
        <v>131.19999999999999</v>
      </c>
      <c r="AE107" s="64">
        <v>129.19999999999999</v>
      </c>
      <c r="AF107" s="64">
        <v>128</v>
      </c>
      <c r="AG107" s="104"/>
      <c r="AH107" s="47">
        <f t="shared" si="12"/>
        <v>1232.2</v>
      </c>
      <c r="AI107" s="48">
        <f t="shared" si="13"/>
        <v>121</v>
      </c>
    </row>
    <row r="108" spans="1:37" ht="15.75" thickBot="1" x14ac:dyDescent="0.3">
      <c r="A108" s="103" t="s">
        <v>124</v>
      </c>
      <c r="B108" s="92">
        <v>65.5</v>
      </c>
      <c r="C108" s="92">
        <v>64.5</v>
      </c>
      <c r="D108" s="92">
        <v>64.8</v>
      </c>
      <c r="E108" s="92">
        <v>64.2</v>
      </c>
      <c r="F108" s="92">
        <v>64.7</v>
      </c>
      <c r="G108" s="92">
        <v>64.5</v>
      </c>
      <c r="H108" s="92">
        <v>63</v>
      </c>
      <c r="I108" s="92">
        <v>64.5</v>
      </c>
      <c r="J108" s="92">
        <v>64.5</v>
      </c>
      <c r="K108" s="92">
        <v>63.6</v>
      </c>
      <c r="L108" s="92">
        <v>63.2</v>
      </c>
      <c r="M108" s="92">
        <v>62.7</v>
      </c>
      <c r="N108" s="92">
        <v>60.4</v>
      </c>
      <c r="O108" s="92">
        <v>61.3</v>
      </c>
      <c r="P108" s="92">
        <v>62.8</v>
      </c>
      <c r="Q108" s="92">
        <v>63.4</v>
      </c>
      <c r="R108" s="92"/>
      <c r="S108" s="92">
        <v>63</v>
      </c>
      <c r="T108" s="92">
        <v>63</v>
      </c>
      <c r="U108" s="92">
        <v>63.2</v>
      </c>
      <c r="V108" s="92">
        <v>64.400000000000006</v>
      </c>
      <c r="W108" s="92">
        <v>64.400000000000006</v>
      </c>
      <c r="X108" s="92">
        <v>64.400000000000006</v>
      </c>
      <c r="Y108" s="92">
        <v>64.400000000000006</v>
      </c>
      <c r="Z108" s="92">
        <v>64.400000000000006</v>
      </c>
      <c r="AA108" s="92">
        <v>62.4</v>
      </c>
      <c r="AB108" s="92">
        <v>63.4</v>
      </c>
      <c r="AC108" s="92">
        <v>64</v>
      </c>
      <c r="AD108" s="92">
        <v>64.3</v>
      </c>
      <c r="AE108" s="92">
        <v>63.5</v>
      </c>
      <c r="AF108" s="92">
        <v>64.099999999999994</v>
      </c>
      <c r="AG108" s="108"/>
      <c r="AH108" s="47">
        <f t="shared" si="12"/>
        <v>65.5</v>
      </c>
      <c r="AI108" s="48">
        <f t="shared" si="13"/>
        <v>60.4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 t="s">
        <v>125</v>
      </c>
      <c r="AB109" s="92"/>
      <c r="AC109" s="92"/>
      <c r="AD109" s="92"/>
      <c r="AE109" s="92"/>
      <c r="AF109" s="92"/>
      <c r="AG109" s="108"/>
      <c r="AH109" s="47">
        <f t="shared" si="12"/>
        <v>0</v>
      </c>
      <c r="AI109" s="48">
        <f t="shared" si="13"/>
        <v>0</v>
      </c>
    </row>
    <row r="110" spans="1:37" ht="15.75" thickBot="1" x14ac:dyDescent="0.3">
      <c r="A110" s="110" t="s">
        <v>126</v>
      </c>
      <c r="B110" s="111">
        <f t="shared" ref="B110" si="24">SUM(B20,B26,B29:B30,B58,B60:B61,B63,B65,B111:B115,B138,B144,B150,B159,B161,B173,B180,B183:B184,B191,B193,B195,B199:B201,B203:B205,B210,B216:B217,B219:B221,B229,B234)</f>
        <v>43.2</v>
      </c>
      <c r="C110" s="111">
        <f t="shared" ref="C110:O110" si="25">SUM(C20,C26,C29:C30,C58,C60:C61,C63,C65,C111:C115,C138,C144,C150,C159,C161,C173,C180,C183:C184,C191,C193,C195,C199:C201,C203:C205,C210,C216:C217,C219:C221,C229,C234)</f>
        <v>33.14</v>
      </c>
      <c r="D110" s="111">
        <f t="shared" si="25"/>
        <v>38.339999999999989</v>
      </c>
      <c r="E110" s="111">
        <f t="shared" si="25"/>
        <v>31.339999999999971</v>
      </c>
      <c r="F110" s="111">
        <f t="shared" si="25"/>
        <v>43.04</v>
      </c>
      <c r="G110" s="111">
        <f t="shared" si="25"/>
        <v>62.84</v>
      </c>
      <c r="H110" s="111">
        <f t="shared" si="25"/>
        <v>89.04000000000002</v>
      </c>
      <c r="I110" s="111">
        <f t="shared" si="25"/>
        <v>119.93999999999998</v>
      </c>
      <c r="J110" s="111">
        <f t="shared" si="25"/>
        <v>120.63999999999997</v>
      </c>
      <c r="K110" s="111">
        <f t="shared" si="25"/>
        <v>179.94</v>
      </c>
      <c r="L110" s="111">
        <f t="shared" si="25"/>
        <v>186.94</v>
      </c>
      <c r="M110" s="111">
        <f t="shared" si="25"/>
        <v>202.24</v>
      </c>
      <c r="N110" s="111">
        <f t="shared" si="25"/>
        <v>369.34000000000003</v>
      </c>
      <c r="O110" s="111">
        <f t="shared" si="25"/>
        <v>226.64000000000001</v>
      </c>
      <c r="P110" s="111">
        <v>42</v>
      </c>
      <c r="Q110" s="111">
        <f t="shared" ref="Q110:AF110" si="26">SUM(Q20,Q26,Q29:Q30,Q58,Q60:Q61,Q63,Q65,Q111:Q115,Q138,Q144,Q150,Q159,Q161,Q173,Q180,Q183:Q184,Q191,Q193,Q195,Q199:Q201,Q203:Q205,Q210,Q216:Q217,Q219:Q221,Q229,Q234)</f>
        <v>223.20000000000002</v>
      </c>
      <c r="R110" s="111">
        <f t="shared" si="26"/>
        <v>0</v>
      </c>
      <c r="S110" s="111">
        <f t="shared" si="26"/>
        <v>192.8</v>
      </c>
      <c r="T110" s="111">
        <f t="shared" si="26"/>
        <v>192.8</v>
      </c>
      <c r="U110" s="111">
        <f t="shared" si="26"/>
        <v>173.5</v>
      </c>
      <c r="V110" s="111">
        <f t="shared" si="26"/>
        <v>152.30000000000004</v>
      </c>
      <c r="W110" s="111">
        <f t="shared" si="26"/>
        <v>154.30000000000004</v>
      </c>
      <c r="X110" s="111">
        <f t="shared" si="26"/>
        <v>188.1</v>
      </c>
      <c r="Y110" s="111">
        <f t="shared" si="26"/>
        <v>181.3</v>
      </c>
      <c r="Z110" s="111">
        <f t="shared" si="26"/>
        <v>186.3</v>
      </c>
      <c r="AA110" s="111">
        <f t="shared" si="26"/>
        <v>247.80000000000004</v>
      </c>
      <c r="AB110" s="111">
        <f t="shared" si="26"/>
        <v>256</v>
      </c>
      <c r="AC110" s="111">
        <f t="shared" si="26"/>
        <v>239.10000000000002</v>
      </c>
      <c r="AD110" s="111"/>
      <c r="AE110" s="111">
        <f t="shared" si="26"/>
        <v>157.20000000000005</v>
      </c>
      <c r="AF110" s="111">
        <f t="shared" si="26"/>
        <v>109.2</v>
      </c>
      <c r="AG110" s="112"/>
      <c r="AH110" s="47">
        <f t="shared" si="12"/>
        <v>369.34000000000003</v>
      </c>
      <c r="AI110" s="48">
        <f t="shared" si="13"/>
        <v>0</v>
      </c>
    </row>
    <row r="111" spans="1:37" x14ac:dyDescent="0.25">
      <c r="A111" s="100" t="s">
        <v>127</v>
      </c>
      <c r="B111" s="113">
        <v>6.6</v>
      </c>
      <c r="C111" s="113">
        <v>15.6</v>
      </c>
      <c r="D111" s="113">
        <v>14.3</v>
      </c>
      <c r="E111" s="113">
        <v>15.1</v>
      </c>
      <c r="F111" s="113">
        <v>13.5</v>
      </c>
      <c r="G111" s="113">
        <v>18</v>
      </c>
      <c r="H111" s="113">
        <v>21.8</v>
      </c>
      <c r="I111" s="113">
        <v>21.7</v>
      </c>
      <c r="J111" s="113">
        <v>21.7</v>
      </c>
      <c r="K111" s="113">
        <v>19.7</v>
      </c>
      <c r="L111" s="113">
        <v>24.2</v>
      </c>
      <c r="M111" s="113">
        <v>37.299999999999997</v>
      </c>
      <c r="N111" s="113">
        <v>26.2</v>
      </c>
      <c r="O111" s="113">
        <v>27</v>
      </c>
      <c r="P111" s="113">
        <v>30.8</v>
      </c>
      <c r="Q111" s="113">
        <v>23.8</v>
      </c>
      <c r="R111" s="113"/>
      <c r="S111" s="113">
        <v>11</v>
      </c>
      <c r="T111" s="113">
        <v>11</v>
      </c>
      <c r="U111" s="113">
        <v>3.3</v>
      </c>
      <c r="V111" s="113">
        <v>6.8</v>
      </c>
      <c r="W111" s="113">
        <v>6.8</v>
      </c>
      <c r="X111" s="113">
        <v>12.2</v>
      </c>
      <c r="Y111" s="113">
        <v>11.2</v>
      </c>
      <c r="Z111" s="113">
        <v>11.2</v>
      </c>
      <c r="AA111" s="113">
        <v>17.899999999999999</v>
      </c>
      <c r="AB111" s="113">
        <v>28.5</v>
      </c>
      <c r="AC111" s="113">
        <v>30.1</v>
      </c>
      <c r="AD111" s="113">
        <v>26</v>
      </c>
      <c r="AE111" s="113">
        <v>28</v>
      </c>
      <c r="AF111" s="113">
        <v>24.2</v>
      </c>
      <c r="AG111" s="114">
        <v>75</v>
      </c>
      <c r="AH111" s="47">
        <f t="shared" si="12"/>
        <v>37.299999999999997</v>
      </c>
      <c r="AI111" s="48">
        <f t="shared" si="13"/>
        <v>3.3</v>
      </c>
    </row>
    <row r="112" spans="1:37" x14ac:dyDescent="0.25">
      <c r="A112" s="103" t="s">
        <v>128</v>
      </c>
      <c r="B112" s="115">
        <v>19</v>
      </c>
      <c r="C112" s="115">
        <v>32.4</v>
      </c>
      <c r="D112" s="115">
        <v>29.1</v>
      </c>
      <c r="E112" s="115">
        <v>29.7</v>
      </c>
      <c r="F112" s="115">
        <v>26</v>
      </c>
      <c r="G112" s="115">
        <v>30.9</v>
      </c>
      <c r="H112" s="115">
        <v>35.4</v>
      </c>
      <c r="I112" s="115">
        <v>35.299999999999997</v>
      </c>
      <c r="J112" s="115">
        <v>35.299999999999997</v>
      </c>
      <c r="K112" s="115">
        <v>31.7</v>
      </c>
      <c r="L112" s="115">
        <v>38.9</v>
      </c>
      <c r="M112" s="115">
        <v>53.1</v>
      </c>
      <c r="N112" s="115">
        <v>36.1</v>
      </c>
      <c r="O112" s="115">
        <v>41.4</v>
      </c>
      <c r="P112" s="115">
        <v>48.2</v>
      </c>
      <c r="Q112" s="115">
        <v>39.6</v>
      </c>
      <c r="R112" s="115"/>
      <c r="S112" s="115">
        <v>16.8</v>
      </c>
      <c r="T112" s="115">
        <v>16.8</v>
      </c>
      <c r="U112" s="115">
        <v>7.5</v>
      </c>
      <c r="V112" s="115">
        <v>11.3</v>
      </c>
      <c r="W112" s="115">
        <v>11.3</v>
      </c>
      <c r="X112" s="115">
        <v>18.8</v>
      </c>
      <c r="Y112" s="115">
        <v>13</v>
      </c>
      <c r="Z112" s="115">
        <v>13</v>
      </c>
      <c r="AA112" s="115">
        <v>25.8</v>
      </c>
      <c r="AB112" s="115">
        <v>44.3</v>
      </c>
      <c r="AC112" s="115">
        <v>47.8</v>
      </c>
      <c r="AD112" s="115">
        <v>43.3</v>
      </c>
      <c r="AE112" s="115">
        <v>46.2</v>
      </c>
      <c r="AF112" s="115">
        <v>44.1</v>
      </c>
      <c r="AG112" s="114">
        <v>240</v>
      </c>
      <c r="AH112" s="47">
        <f t="shared" si="12"/>
        <v>53.1</v>
      </c>
      <c r="AI112" s="48">
        <f t="shared" si="13"/>
        <v>7.5</v>
      </c>
    </row>
    <row r="113" spans="1:37" x14ac:dyDescent="0.25">
      <c r="A113" s="103" t="s">
        <v>129</v>
      </c>
      <c r="B113" s="115">
        <f>-56-60.2</f>
        <v>-116.2</v>
      </c>
      <c r="C113" s="115">
        <f>-66.4-71.8</f>
        <v>-138.19999999999999</v>
      </c>
      <c r="D113" s="115">
        <f>-64-69</f>
        <v>-133</v>
      </c>
      <c r="E113" s="115">
        <v>-139</v>
      </c>
      <c r="F113" s="115">
        <v>-117</v>
      </c>
      <c r="G113" s="115">
        <v>-115</v>
      </c>
      <c r="H113" s="115">
        <v>-101</v>
      </c>
      <c r="I113" s="115">
        <v>-79</v>
      </c>
      <c r="J113" s="115">
        <v>-79</v>
      </c>
      <c r="K113" s="115">
        <v>-77</v>
      </c>
      <c r="L113" s="115">
        <v>-77</v>
      </c>
      <c r="M113" s="115">
        <v>-77</v>
      </c>
      <c r="N113" s="115">
        <f>--78</f>
        <v>78</v>
      </c>
      <c r="O113" s="115">
        <v>-75</v>
      </c>
      <c r="P113" s="115">
        <v>-70</v>
      </c>
      <c r="Q113" s="115">
        <v>-60</v>
      </c>
      <c r="R113" s="115"/>
      <c r="S113" s="115">
        <v>-42</v>
      </c>
      <c r="T113" s="115">
        <v>-42</v>
      </c>
      <c r="U113" s="115">
        <v>-40</v>
      </c>
      <c r="V113" s="115">
        <v>-37.9</v>
      </c>
      <c r="W113" s="115">
        <v>-37.9</v>
      </c>
      <c r="X113" s="115">
        <v>-63</v>
      </c>
      <c r="Y113" s="115">
        <v>-63</v>
      </c>
      <c r="Z113" s="115">
        <v>-63</v>
      </c>
      <c r="AA113" s="115">
        <v>-56.6</v>
      </c>
      <c r="AB113" s="115">
        <v>-77</v>
      </c>
      <c r="AC113" s="115">
        <v>-85</v>
      </c>
      <c r="AD113" s="115">
        <v>-98</v>
      </c>
      <c r="AE113" s="115">
        <v>-140</v>
      </c>
      <c r="AF113" s="115">
        <v>-139</v>
      </c>
      <c r="AG113" s="114">
        <v>240</v>
      </c>
      <c r="AH113" s="47">
        <f t="shared" si="12"/>
        <v>78</v>
      </c>
      <c r="AI113" s="48">
        <f t="shared" si="13"/>
        <v>-140</v>
      </c>
    </row>
    <row r="114" spans="1:37" x14ac:dyDescent="0.25">
      <c r="A114" s="103" t="s">
        <v>130</v>
      </c>
      <c r="B114" s="115">
        <v>-4</v>
      </c>
      <c r="C114" s="115">
        <v>-15.2</v>
      </c>
      <c r="D114" s="115">
        <v>-15.2</v>
      </c>
      <c r="E114" s="115">
        <v>-17.3</v>
      </c>
      <c r="F114" s="115">
        <v>-13</v>
      </c>
      <c r="G114" s="115">
        <v>-9.6</v>
      </c>
      <c r="H114" s="115">
        <v>-9.1</v>
      </c>
      <c r="I114" s="115">
        <v>-3</v>
      </c>
      <c r="J114" s="115">
        <v>-3</v>
      </c>
      <c r="K114" s="115">
        <v>15.4</v>
      </c>
      <c r="L114" s="115">
        <v>13.7</v>
      </c>
      <c r="M114" s="115">
        <v>15.8</v>
      </c>
      <c r="N114" s="115">
        <v>13.8</v>
      </c>
      <c r="O114" s="115">
        <v>15</v>
      </c>
      <c r="P114" s="115">
        <v>32.5</v>
      </c>
      <c r="Q114" s="115">
        <v>34.5</v>
      </c>
      <c r="R114" s="115"/>
      <c r="S114" s="115">
        <v>21</v>
      </c>
      <c r="T114" s="115">
        <v>21</v>
      </c>
      <c r="U114" s="115">
        <v>20</v>
      </c>
      <c r="V114" s="115">
        <v>20.399999999999999</v>
      </c>
      <c r="W114" s="115">
        <v>20.399999999999999</v>
      </c>
      <c r="X114" s="115">
        <v>30.7</v>
      </c>
      <c r="Y114" s="115">
        <v>30.7</v>
      </c>
      <c r="Z114" s="115">
        <v>30.7</v>
      </c>
      <c r="AA114" s="115">
        <v>28.5</v>
      </c>
      <c r="AB114" s="115">
        <v>20</v>
      </c>
      <c r="AC114" s="115">
        <v>16</v>
      </c>
      <c r="AD114" s="115">
        <v>11</v>
      </c>
      <c r="AE114" s="115">
        <v>0.2</v>
      </c>
      <c r="AF114" s="115">
        <v>-9.5</v>
      </c>
      <c r="AG114" s="114">
        <v>60</v>
      </c>
      <c r="AH114" s="47">
        <f t="shared" si="12"/>
        <v>34.5</v>
      </c>
      <c r="AI114" s="48">
        <f t="shared" si="13"/>
        <v>-17.3</v>
      </c>
    </row>
    <row r="115" spans="1:37" x14ac:dyDescent="0.25">
      <c r="A115" s="116" t="s">
        <v>131</v>
      </c>
      <c r="B115" s="117">
        <v>10</v>
      </c>
      <c r="C115" s="117">
        <v>10</v>
      </c>
      <c r="D115" s="117">
        <v>10</v>
      </c>
      <c r="E115" s="117">
        <v>9.6999999999999993</v>
      </c>
      <c r="F115" s="117">
        <v>10.1</v>
      </c>
      <c r="G115" s="117">
        <v>10.199999999999999</v>
      </c>
      <c r="H115" s="117">
        <v>13.6</v>
      </c>
      <c r="I115" s="117">
        <v>13.3</v>
      </c>
      <c r="J115" s="117">
        <v>13.3</v>
      </c>
      <c r="K115" s="117">
        <v>54.8</v>
      </c>
      <c r="L115" s="117">
        <v>50.4</v>
      </c>
      <c r="M115" s="117">
        <v>36.299999999999997</v>
      </c>
      <c r="N115" s="117">
        <v>78.5</v>
      </c>
      <c r="O115" s="117">
        <v>81.5</v>
      </c>
      <c r="P115" s="117">
        <v>60</v>
      </c>
      <c r="Q115" s="117">
        <v>49.5</v>
      </c>
      <c r="R115" s="117"/>
      <c r="S115" s="117">
        <v>60</v>
      </c>
      <c r="T115" s="117">
        <v>60</v>
      </c>
      <c r="U115" s="117">
        <v>41.8</v>
      </c>
      <c r="V115" s="117">
        <v>23.6</v>
      </c>
      <c r="W115" s="117">
        <v>23.6</v>
      </c>
      <c r="X115" s="117">
        <v>60</v>
      </c>
      <c r="Y115" s="117">
        <v>60</v>
      </c>
      <c r="Z115" s="117">
        <v>60</v>
      </c>
      <c r="AA115" s="117">
        <v>84</v>
      </c>
      <c r="AB115" s="117">
        <v>72</v>
      </c>
      <c r="AC115" s="117">
        <v>62</v>
      </c>
      <c r="AD115" s="117">
        <v>63</v>
      </c>
      <c r="AE115" s="117">
        <v>54.6</v>
      </c>
      <c r="AF115" s="117">
        <v>21.2</v>
      </c>
      <c r="AG115" s="118">
        <v>120</v>
      </c>
      <c r="AH115" s="47">
        <f t="shared" si="12"/>
        <v>84</v>
      </c>
      <c r="AI115" s="48">
        <f t="shared" si="13"/>
        <v>9.6999999999999993</v>
      </c>
    </row>
    <row r="116" spans="1:37" x14ac:dyDescent="0.25">
      <c r="A116" s="116" t="s">
        <v>132</v>
      </c>
      <c r="B116" s="117">
        <v>30</v>
      </c>
      <c r="C116" s="117">
        <v>40</v>
      </c>
      <c r="D116" s="117">
        <v>47.8</v>
      </c>
      <c r="E116" s="117">
        <v>52.5</v>
      </c>
      <c r="F116" s="117">
        <v>67.7</v>
      </c>
      <c r="G116" s="117">
        <v>56.6</v>
      </c>
      <c r="H116" s="117">
        <v>67.099999999999994</v>
      </c>
      <c r="I116" s="117">
        <v>66.5</v>
      </c>
      <c r="J116" s="117">
        <v>66.5</v>
      </c>
      <c r="K116" s="117">
        <v>63.5</v>
      </c>
      <c r="L116" s="117">
        <v>57.5</v>
      </c>
      <c r="M116" s="117">
        <v>50.4</v>
      </c>
      <c r="N116" s="117">
        <v>80.3</v>
      </c>
      <c r="O116" s="117">
        <v>74</v>
      </c>
      <c r="P116" s="117">
        <v>47.8</v>
      </c>
      <c r="Q116" s="117">
        <v>45.54</v>
      </c>
      <c r="R116" s="117"/>
      <c r="S116" s="117">
        <v>89.6</v>
      </c>
      <c r="T116" s="117">
        <v>89.6</v>
      </c>
      <c r="U116" s="117">
        <v>62.8</v>
      </c>
      <c r="V116" s="117">
        <v>64</v>
      </c>
      <c r="W116" s="117">
        <v>64</v>
      </c>
      <c r="X116" s="117">
        <v>68</v>
      </c>
      <c r="Y116" s="117">
        <v>68</v>
      </c>
      <c r="Z116" s="117">
        <v>68</v>
      </c>
      <c r="AA116" s="117">
        <v>69.3</v>
      </c>
      <c r="AB116" s="117">
        <v>58</v>
      </c>
      <c r="AC116" s="117">
        <v>45</v>
      </c>
      <c r="AD116" s="117">
        <v>56</v>
      </c>
      <c r="AE116" s="117">
        <v>60</v>
      </c>
      <c r="AF116" s="117">
        <v>48</v>
      </c>
      <c r="AG116" s="118"/>
      <c r="AH116" s="47">
        <f t="shared" si="12"/>
        <v>89.6</v>
      </c>
      <c r="AI116" s="48">
        <f t="shared" si="13"/>
        <v>30</v>
      </c>
    </row>
    <row r="117" spans="1:37" x14ac:dyDescent="0.25">
      <c r="A117" s="116" t="s">
        <v>133</v>
      </c>
      <c r="B117" s="117">
        <v>34.1</v>
      </c>
      <c r="C117" s="117">
        <v>23.3</v>
      </c>
      <c r="D117" s="117">
        <v>25.1</v>
      </c>
      <c r="E117" s="117">
        <v>19</v>
      </c>
      <c r="F117" s="117">
        <v>16.600000000000001</v>
      </c>
      <c r="G117" s="117">
        <v>11.6</v>
      </c>
      <c r="H117" s="117">
        <v>12.1</v>
      </c>
      <c r="I117" s="117">
        <v>14.4</v>
      </c>
      <c r="J117" s="117">
        <v>14.4</v>
      </c>
      <c r="K117" s="117">
        <v>14.5</v>
      </c>
      <c r="L117" s="117">
        <v>6</v>
      </c>
      <c r="M117" s="117">
        <v>-14.9</v>
      </c>
      <c r="N117" s="117">
        <v>-0.9</v>
      </c>
      <c r="O117" s="117">
        <v>2</v>
      </c>
      <c r="P117" s="117">
        <v>32.299999999999997</v>
      </c>
      <c r="Q117" s="117">
        <v>41.4</v>
      </c>
      <c r="R117" s="117"/>
      <c r="S117" s="117">
        <v>88</v>
      </c>
      <c r="T117" s="117">
        <v>88</v>
      </c>
      <c r="U117" s="117">
        <v>46.9</v>
      </c>
      <c r="V117" s="117">
        <v>41.5</v>
      </c>
      <c r="W117" s="117">
        <v>41.5</v>
      </c>
      <c r="X117" s="117">
        <v>43</v>
      </c>
      <c r="Y117" s="117">
        <v>43</v>
      </c>
      <c r="Z117" s="117">
        <v>43</v>
      </c>
      <c r="AA117" s="117">
        <v>39.5</v>
      </c>
      <c r="AB117" s="117">
        <v>25</v>
      </c>
      <c r="AC117" s="117">
        <v>28</v>
      </c>
      <c r="AD117" s="117">
        <v>27</v>
      </c>
      <c r="AE117" s="117">
        <v>35</v>
      </c>
      <c r="AF117" s="117">
        <v>42</v>
      </c>
      <c r="AG117" s="119"/>
      <c r="AH117" s="47">
        <f t="shared" si="12"/>
        <v>88</v>
      </c>
      <c r="AI117" s="48">
        <f t="shared" si="13"/>
        <v>-14.9</v>
      </c>
    </row>
    <row r="118" spans="1:37" x14ac:dyDescent="0.25">
      <c r="A118" s="120" t="s">
        <v>134</v>
      </c>
      <c r="B118" s="106">
        <v>54.8</v>
      </c>
      <c r="C118" s="106">
        <v>55.8</v>
      </c>
      <c r="D118" s="106">
        <v>51.9</v>
      </c>
      <c r="E118" s="106">
        <v>51</v>
      </c>
      <c r="F118" s="106">
        <v>68.400000000000006</v>
      </c>
      <c r="G118" s="106">
        <v>76</v>
      </c>
      <c r="H118" s="106">
        <v>60.3</v>
      </c>
      <c r="I118" s="106">
        <v>61.4</v>
      </c>
      <c r="J118" s="106">
        <v>61.4</v>
      </c>
      <c r="K118" s="106">
        <v>49.3</v>
      </c>
      <c r="L118" s="106">
        <v>48</v>
      </c>
      <c r="M118" s="106">
        <v>43.2</v>
      </c>
      <c r="N118" s="106">
        <v>33.299999999999997</v>
      </c>
      <c r="O118" s="106">
        <v>31.4</v>
      </c>
      <c r="P118" s="106">
        <v>12.5</v>
      </c>
      <c r="Q118" s="106">
        <v>0.8</v>
      </c>
      <c r="R118" s="106"/>
      <c r="S118" s="106">
        <v>24.9</v>
      </c>
      <c r="T118" s="106">
        <v>24.9</v>
      </c>
      <c r="U118" s="106">
        <v>27.2</v>
      </c>
      <c r="V118" s="106">
        <v>27.7</v>
      </c>
      <c r="W118" s="106">
        <v>27.7</v>
      </c>
      <c r="X118" s="106">
        <v>30.7</v>
      </c>
      <c r="Y118" s="106">
        <v>30.7</v>
      </c>
      <c r="Z118" s="106">
        <v>30.7</v>
      </c>
      <c r="AA118" s="106">
        <v>8.3000000000000007</v>
      </c>
      <c r="AB118" s="106">
        <v>16</v>
      </c>
      <c r="AC118" s="106">
        <v>14</v>
      </c>
      <c r="AD118" s="106">
        <v>19</v>
      </c>
      <c r="AE118" s="106">
        <v>34</v>
      </c>
      <c r="AF118" s="106">
        <v>42.2</v>
      </c>
      <c r="AG118" s="119"/>
      <c r="AH118" s="47">
        <f t="shared" si="12"/>
        <v>76</v>
      </c>
      <c r="AI118" s="48">
        <f t="shared" si="13"/>
        <v>0.8</v>
      </c>
    </row>
    <row r="119" spans="1:37" x14ac:dyDescent="0.25">
      <c r="A119" s="121" t="s">
        <v>135</v>
      </c>
      <c r="B119" s="106">
        <v>83.4</v>
      </c>
      <c r="C119" s="106">
        <v>87.5</v>
      </c>
      <c r="D119" s="106">
        <v>85.1</v>
      </c>
      <c r="E119" s="106">
        <v>90</v>
      </c>
      <c r="F119" s="106">
        <v>71.599999999999994</v>
      </c>
      <c r="G119" s="106">
        <v>77.599999999999994</v>
      </c>
      <c r="H119" s="106">
        <v>66</v>
      </c>
      <c r="I119" s="106">
        <v>53.8</v>
      </c>
      <c r="J119" s="106">
        <v>53.8</v>
      </c>
      <c r="K119" s="106">
        <v>55</v>
      </c>
      <c r="L119" s="106">
        <v>0</v>
      </c>
      <c r="M119" s="106">
        <v>0</v>
      </c>
      <c r="N119" s="106">
        <v>0</v>
      </c>
      <c r="O119" s="106">
        <v>0</v>
      </c>
      <c r="P119" s="106">
        <v>0</v>
      </c>
      <c r="Q119" s="106">
        <v>0</v>
      </c>
      <c r="R119" s="106"/>
      <c r="S119" s="106">
        <v>0</v>
      </c>
      <c r="T119" s="106">
        <v>0</v>
      </c>
      <c r="U119" s="106">
        <v>0</v>
      </c>
      <c r="V119" s="106">
        <v>0</v>
      </c>
      <c r="W119" s="106">
        <v>0</v>
      </c>
      <c r="X119" s="106">
        <v>0</v>
      </c>
      <c r="Y119" s="106">
        <v>0</v>
      </c>
      <c r="Z119" s="106">
        <v>0</v>
      </c>
      <c r="AA119" s="106">
        <v>0</v>
      </c>
      <c r="AB119" s="106">
        <v>8</v>
      </c>
      <c r="AC119" s="106">
        <v>11</v>
      </c>
      <c r="AD119" s="106">
        <v>20</v>
      </c>
      <c r="AE119" s="106">
        <v>30</v>
      </c>
      <c r="AF119" s="106">
        <v>82</v>
      </c>
      <c r="AG119" s="119"/>
      <c r="AH119" s="47">
        <f t="shared" si="12"/>
        <v>90</v>
      </c>
      <c r="AI119" s="48">
        <f t="shared" si="13"/>
        <v>0</v>
      </c>
    </row>
    <row r="120" spans="1:37" ht="15.75" thickBot="1" x14ac:dyDescent="0.3">
      <c r="A120" s="120" t="s">
        <v>136</v>
      </c>
      <c r="B120" s="106">
        <v>68.900000000000006</v>
      </c>
      <c r="C120" s="106">
        <v>22.6</v>
      </c>
      <c r="D120" s="106">
        <v>11</v>
      </c>
      <c r="E120" s="106">
        <v>14.1</v>
      </c>
      <c r="F120" s="106">
        <v>-9.1999999999999993</v>
      </c>
      <c r="G120" s="106">
        <v>-13.8</v>
      </c>
      <c r="H120" s="106">
        <v>-9.6999999999999993</v>
      </c>
      <c r="I120" s="106">
        <v>-8.6999999999999993</v>
      </c>
      <c r="J120" s="106">
        <v>-8.6999999999999993</v>
      </c>
      <c r="K120" s="106">
        <v>18.5</v>
      </c>
      <c r="L120" s="106">
        <v>19.8</v>
      </c>
      <c r="M120" s="106">
        <v>19.2</v>
      </c>
      <c r="N120" s="106">
        <v>40.4</v>
      </c>
      <c r="O120" s="106">
        <v>45.3</v>
      </c>
      <c r="P120" s="106">
        <v>69.599999999999994</v>
      </c>
      <c r="Q120" s="106">
        <v>80.3</v>
      </c>
      <c r="R120" s="106"/>
      <c r="S120" s="106">
        <v>26.2</v>
      </c>
      <c r="T120" s="106">
        <v>26.2</v>
      </c>
      <c r="U120" s="106">
        <v>28.8</v>
      </c>
      <c r="V120" s="106">
        <v>35.9</v>
      </c>
      <c r="W120" s="106">
        <v>35.9</v>
      </c>
      <c r="X120" s="106">
        <v>35.9</v>
      </c>
      <c r="Y120" s="106">
        <v>35.9</v>
      </c>
      <c r="Z120" s="106">
        <v>35.9</v>
      </c>
      <c r="AA120" s="106">
        <v>72.3</v>
      </c>
      <c r="AB120" s="106">
        <v>75</v>
      </c>
      <c r="AC120" s="106">
        <v>84</v>
      </c>
      <c r="AD120" s="106">
        <v>76</v>
      </c>
      <c r="AE120" s="106">
        <v>63</v>
      </c>
      <c r="AF120" s="106">
        <v>60</v>
      </c>
      <c r="AG120" s="119"/>
      <c r="AH120" s="47">
        <f t="shared" si="12"/>
        <v>84</v>
      </c>
      <c r="AI120" s="48">
        <f t="shared" si="13"/>
        <v>-13.8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 t="s">
        <v>270</v>
      </c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27">SUM(B122:B226)</f>
        <v>0</v>
      </c>
      <c r="C227" s="137">
        <f t="shared" si="27"/>
        <v>0</v>
      </c>
      <c r="D227" s="137">
        <f t="shared" si="27"/>
        <v>0</v>
      </c>
      <c r="E227" s="137">
        <f t="shared" si="27"/>
        <v>0</v>
      </c>
      <c r="F227" s="137">
        <f t="shared" si="27"/>
        <v>0</v>
      </c>
      <c r="G227" s="137">
        <f t="shared" si="27"/>
        <v>0</v>
      </c>
      <c r="H227" s="137">
        <f t="shared" si="27"/>
        <v>0</v>
      </c>
      <c r="I227" s="137">
        <f t="shared" si="27"/>
        <v>0</v>
      </c>
      <c r="J227" s="137">
        <f t="shared" si="27"/>
        <v>0</v>
      </c>
      <c r="K227" s="137">
        <f t="shared" si="27"/>
        <v>0</v>
      </c>
      <c r="L227" s="137">
        <f t="shared" si="27"/>
        <v>0</v>
      </c>
      <c r="M227" s="137">
        <f t="shared" si="27"/>
        <v>0</v>
      </c>
      <c r="N227" s="137">
        <f t="shared" si="27"/>
        <v>0</v>
      </c>
      <c r="O227" s="137">
        <f t="shared" si="27"/>
        <v>0</v>
      </c>
      <c r="P227" s="137">
        <f t="shared" si="27"/>
        <v>0</v>
      </c>
      <c r="Q227" s="137">
        <f t="shared" si="27"/>
        <v>0</v>
      </c>
      <c r="R227" s="137">
        <f t="shared" si="27"/>
        <v>0</v>
      </c>
      <c r="S227" s="137">
        <f t="shared" si="27"/>
        <v>0</v>
      </c>
      <c r="T227" s="137">
        <f t="shared" si="27"/>
        <v>0</v>
      </c>
      <c r="U227" s="137">
        <f t="shared" si="27"/>
        <v>0</v>
      </c>
      <c r="V227" s="137">
        <f t="shared" si="27"/>
        <v>0</v>
      </c>
      <c r="W227" s="137">
        <f t="shared" si="27"/>
        <v>0</v>
      </c>
      <c r="X227" s="137">
        <f t="shared" si="27"/>
        <v>0</v>
      </c>
      <c r="Y227" s="137">
        <f t="shared" si="27"/>
        <v>0</v>
      </c>
      <c r="Z227" s="137">
        <f t="shared" si="27"/>
        <v>0</v>
      </c>
      <c r="AA227" s="137">
        <f t="shared" si="27"/>
        <v>0</v>
      </c>
      <c r="AB227" s="137">
        <f t="shared" si="27"/>
        <v>0</v>
      </c>
      <c r="AC227" s="137">
        <f t="shared" si="27"/>
        <v>0</v>
      </c>
      <c r="AD227" s="137">
        <f t="shared" si="27"/>
        <v>0</v>
      </c>
      <c r="AE227" s="137">
        <f t="shared" si="27"/>
        <v>0</v>
      </c>
      <c r="AF227" s="138">
        <f t="shared" si="27"/>
        <v>0</v>
      </c>
      <c r="AG227" s="139">
        <f t="shared" si="27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28">AF229</f>
        <v>0</v>
      </c>
      <c r="C229" s="141">
        <v>0.3</v>
      </c>
      <c r="D229" s="141">
        <f t="shared" ref="D229:P234" si="29">C229</f>
        <v>0.3</v>
      </c>
      <c r="E229" s="141">
        <f t="shared" si="29"/>
        <v>0.3</v>
      </c>
      <c r="F229" s="141">
        <f t="shared" si="29"/>
        <v>0.3</v>
      </c>
      <c r="G229" s="141">
        <f t="shared" si="29"/>
        <v>0.3</v>
      </c>
      <c r="H229" s="141">
        <f t="shared" si="29"/>
        <v>0.3</v>
      </c>
      <c r="I229" s="141">
        <f t="shared" si="29"/>
        <v>0.3</v>
      </c>
      <c r="J229" s="141">
        <f t="shared" si="29"/>
        <v>0.3</v>
      </c>
      <c r="K229" s="141">
        <f t="shared" si="29"/>
        <v>0.3</v>
      </c>
      <c r="L229" s="141">
        <f t="shared" si="29"/>
        <v>0.3</v>
      </c>
      <c r="M229" s="141">
        <f t="shared" si="29"/>
        <v>0.3</v>
      </c>
      <c r="N229" s="141">
        <f t="shared" si="29"/>
        <v>0.3</v>
      </c>
      <c r="O229" s="141">
        <f t="shared" si="29"/>
        <v>0.3</v>
      </c>
      <c r="P229" s="141">
        <f t="shared" si="29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28"/>
        <v>0</v>
      </c>
      <c r="C230" s="129">
        <v>0.4</v>
      </c>
      <c r="D230" s="129">
        <f t="shared" si="29"/>
        <v>0.4</v>
      </c>
      <c r="E230" s="129">
        <f t="shared" si="29"/>
        <v>0.4</v>
      </c>
      <c r="F230" s="129">
        <f t="shared" si="29"/>
        <v>0.4</v>
      </c>
      <c r="G230" s="129">
        <f t="shared" si="29"/>
        <v>0.4</v>
      </c>
      <c r="H230" s="129">
        <f t="shared" si="29"/>
        <v>0.4</v>
      </c>
      <c r="I230" s="129">
        <f t="shared" si="29"/>
        <v>0.4</v>
      </c>
      <c r="J230" s="129">
        <f t="shared" si="29"/>
        <v>0.4</v>
      </c>
      <c r="K230" s="129">
        <f t="shared" si="29"/>
        <v>0.4</v>
      </c>
      <c r="L230" s="129">
        <f t="shared" si="29"/>
        <v>0.4</v>
      </c>
      <c r="M230" s="129">
        <f t="shared" si="29"/>
        <v>0.4</v>
      </c>
      <c r="N230" s="129">
        <f t="shared" si="29"/>
        <v>0.4</v>
      </c>
      <c r="O230" s="129">
        <f t="shared" si="29"/>
        <v>0.4</v>
      </c>
      <c r="P230" s="129">
        <f t="shared" si="29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28"/>
        <v>0</v>
      </c>
      <c r="C231" s="129">
        <v>1.5</v>
      </c>
      <c r="D231" s="129">
        <f t="shared" si="29"/>
        <v>1.5</v>
      </c>
      <c r="E231" s="129">
        <f t="shared" si="29"/>
        <v>1.5</v>
      </c>
      <c r="F231" s="129">
        <f t="shared" si="29"/>
        <v>1.5</v>
      </c>
      <c r="G231" s="129">
        <f t="shared" si="29"/>
        <v>1.5</v>
      </c>
      <c r="H231" s="129">
        <f t="shared" si="2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29"/>
        <v>123.21900000000009</v>
      </c>
      <c r="K231" s="129">
        <f t="shared" ca="1" si="29"/>
        <v>123.21900000000009</v>
      </c>
      <c r="L231" s="129">
        <f t="shared" ca="1" si="29"/>
        <v>123.21900000000009</v>
      </c>
      <c r="M231" s="129">
        <f t="shared" ca="1" si="29"/>
        <v>119.19900000000008</v>
      </c>
      <c r="N231" s="129">
        <f t="shared" ca="1" si="29"/>
        <v>119.19900000000008</v>
      </c>
      <c r="O231" s="129">
        <f t="shared" ca="1" si="29"/>
        <v>119.19900000000008</v>
      </c>
      <c r="P231" s="129">
        <f t="shared" ca="1" si="29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28"/>
        <v>0</v>
      </c>
      <c r="C232" s="129">
        <v>0.3</v>
      </c>
      <c r="D232" s="129">
        <f t="shared" si="29"/>
        <v>0.3</v>
      </c>
      <c r="E232" s="129">
        <f t="shared" si="29"/>
        <v>0.3</v>
      </c>
      <c r="F232" s="129">
        <f t="shared" si="29"/>
        <v>0.3</v>
      </c>
      <c r="G232" s="129">
        <f t="shared" si="29"/>
        <v>0.3</v>
      </c>
      <c r="H232" s="129">
        <f t="shared" si="29"/>
        <v>0.3</v>
      </c>
      <c r="I232" s="129">
        <f t="shared" si="29"/>
        <v>0.3</v>
      </c>
      <c r="J232" s="129">
        <f t="shared" si="29"/>
        <v>0.3</v>
      </c>
      <c r="K232" s="129">
        <f t="shared" si="29"/>
        <v>0.3</v>
      </c>
      <c r="L232" s="129">
        <f t="shared" si="29"/>
        <v>0.3</v>
      </c>
      <c r="M232" s="129">
        <f t="shared" si="29"/>
        <v>0.3</v>
      </c>
      <c r="N232" s="129">
        <f t="shared" si="29"/>
        <v>0.3</v>
      </c>
      <c r="O232" s="129">
        <f t="shared" si="29"/>
        <v>0.3</v>
      </c>
      <c r="P232" s="129">
        <f t="shared" si="29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28"/>
        <v>0</v>
      </c>
      <c r="C233" s="129">
        <v>0.4</v>
      </c>
      <c r="D233" s="129">
        <f t="shared" si="29"/>
        <v>0.4</v>
      </c>
      <c r="E233" s="129">
        <f t="shared" si="29"/>
        <v>0.4</v>
      </c>
      <c r="F233" s="129">
        <f t="shared" si="29"/>
        <v>0.4</v>
      </c>
      <c r="G233" s="129">
        <f t="shared" si="29"/>
        <v>0.4</v>
      </c>
      <c r="H233" s="129">
        <f t="shared" si="29"/>
        <v>0.4</v>
      </c>
      <c r="I233" s="129">
        <f t="shared" si="29"/>
        <v>0.4</v>
      </c>
      <c r="J233" s="129">
        <f t="shared" si="29"/>
        <v>0.4</v>
      </c>
      <c r="K233" s="129">
        <f t="shared" si="29"/>
        <v>0.4</v>
      </c>
      <c r="L233" s="129">
        <f t="shared" si="29"/>
        <v>0.4</v>
      </c>
      <c r="M233" s="129">
        <f t="shared" si="29"/>
        <v>0.4</v>
      </c>
      <c r="N233" s="129">
        <f t="shared" si="29"/>
        <v>0.4</v>
      </c>
      <c r="O233" s="129">
        <f t="shared" si="29"/>
        <v>0.4</v>
      </c>
      <c r="P233" s="129">
        <f t="shared" si="29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28"/>
        <v>0</v>
      </c>
      <c r="C234" s="133">
        <v>0.64</v>
      </c>
      <c r="D234" s="133">
        <f t="shared" si="29"/>
        <v>0.64</v>
      </c>
      <c r="E234" s="133">
        <f t="shared" si="29"/>
        <v>0.64</v>
      </c>
      <c r="F234" s="133">
        <f t="shared" si="29"/>
        <v>0.64</v>
      </c>
      <c r="G234" s="133">
        <f t="shared" si="29"/>
        <v>0.64</v>
      </c>
      <c r="H234" s="133">
        <f t="shared" si="29"/>
        <v>0.64</v>
      </c>
      <c r="I234" s="133">
        <f t="shared" si="29"/>
        <v>0.64</v>
      </c>
      <c r="J234" s="133">
        <f t="shared" si="29"/>
        <v>0.64</v>
      </c>
      <c r="K234" s="133">
        <f t="shared" si="29"/>
        <v>0.64</v>
      </c>
      <c r="L234" s="133">
        <f t="shared" si="29"/>
        <v>0.64</v>
      </c>
      <c r="M234" s="133">
        <f t="shared" si="29"/>
        <v>0.64</v>
      </c>
      <c r="N234" s="133">
        <f t="shared" si="29"/>
        <v>0.64</v>
      </c>
      <c r="O234" s="133">
        <f t="shared" si="29"/>
        <v>0.64</v>
      </c>
      <c r="P234" s="133">
        <f t="shared" si="29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30">SUM(B229:B234)</f>
        <v>0</v>
      </c>
      <c r="C235" s="137">
        <f t="shared" si="30"/>
        <v>3.54</v>
      </c>
      <c r="D235" s="137">
        <f t="shared" si="30"/>
        <v>3.54</v>
      </c>
      <c r="E235" s="137">
        <f t="shared" si="30"/>
        <v>3.54</v>
      </c>
      <c r="F235" s="137">
        <f t="shared" si="30"/>
        <v>3.54</v>
      </c>
      <c r="G235" s="137">
        <f t="shared" si="30"/>
        <v>3.54</v>
      </c>
      <c r="H235" s="137">
        <f t="shared" si="30"/>
        <v>3.54</v>
      </c>
      <c r="I235" s="137">
        <f t="shared" ca="1" si="30"/>
        <v>121.23900000000009</v>
      </c>
      <c r="J235" s="137">
        <f t="shared" ca="1" si="30"/>
        <v>121.23900000000009</v>
      </c>
      <c r="K235" s="137">
        <f t="shared" ca="1" si="30"/>
        <v>121.23900000000009</v>
      </c>
      <c r="L235" s="137">
        <f t="shared" ca="1" si="30"/>
        <v>125.2590000000001</v>
      </c>
      <c r="M235" s="137">
        <f t="shared" ca="1" si="30"/>
        <v>121.23900000000009</v>
      </c>
      <c r="N235" s="137">
        <f t="shared" ca="1" si="30"/>
        <v>121.23900000000009</v>
      </c>
      <c r="O235" s="137">
        <f t="shared" ca="1" si="30"/>
        <v>121.23900000000009</v>
      </c>
      <c r="P235" s="137">
        <f t="shared" ca="1" si="30"/>
        <v>121.23900000000009</v>
      </c>
      <c r="Q235" s="137">
        <f t="shared" si="30"/>
        <v>0</v>
      </c>
      <c r="R235" s="137">
        <f t="shared" si="30"/>
        <v>0</v>
      </c>
      <c r="S235" s="137">
        <f t="shared" si="30"/>
        <v>0</v>
      </c>
      <c r="T235" s="137">
        <f t="shared" si="30"/>
        <v>0</v>
      </c>
      <c r="U235" s="137">
        <f t="shared" si="30"/>
        <v>0</v>
      </c>
      <c r="V235" s="137">
        <f t="shared" si="30"/>
        <v>0</v>
      </c>
      <c r="W235" s="137">
        <f t="shared" si="30"/>
        <v>0</v>
      </c>
      <c r="X235" s="137">
        <f t="shared" si="30"/>
        <v>0</v>
      </c>
      <c r="Y235" s="137">
        <f t="shared" si="30"/>
        <v>0</v>
      </c>
      <c r="Z235" s="137">
        <f t="shared" si="30"/>
        <v>0</v>
      </c>
      <c r="AA235" s="137">
        <f t="shared" si="30"/>
        <v>0</v>
      </c>
      <c r="AB235" s="137">
        <f t="shared" si="30"/>
        <v>0</v>
      </c>
      <c r="AC235" s="137">
        <f t="shared" si="30"/>
        <v>0</v>
      </c>
      <c r="AD235" s="137">
        <f t="shared" si="30"/>
        <v>0</v>
      </c>
      <c r="AE235" s="137">
        <f t="shared" si="30"/>
        <v>0</v>
      </c>
      <c r="AF235" s="137">
        <f t="shared" si="30"/>
        <v>0</v>
      </c>
      <c r="AG235" s="146">
        <f t="shared" si="3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1836.8399999999997</v>
      </c>
      <c r="C244" s="162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05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2080/03/5)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2080/03/5)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31">B91</f>
        <v>1809.94</v>
      </c>
      <c r="U249" s="171">
        <f t="shared" si="31"/>
        <v>1887.44</v>
      </c>
      <c r="V249" s="171">
        <f t="shared" si="31"/>
        <v>1853.54</v>
      </c>
      <c r="W249" s="171">
        <f t="shared" si="31"/>
        <v>1775.1399999999999</v>
      </c>
      <c r="X249" s="171">
        <f t="shared" si="31"/>
        <v>1777.6399999999999</v>
      </c>
      <c r="Y249" s="171">
        <f t="shared" si="31"/>
        <v>1772.04</v>
      </c>
      <c r="Z249" s="171">
        <f t="shared" si="31"/>
        <v>1796.0399999999997</v>
      </c>
      <c r="AA249" s="171">
        <f t="shared" si="31"/>
        <v>1766.4399999999998</v>
      </c>
      <c r="AB249" s="171">
        <f t="shared" si="31"/>
        <v>1727.1399999999999</v>
      </c>
      <c r="AC249" s="171">
        <f t="shared" si="31"/>
        <v>1788.84</v>
      </c>
      <c r="AD249" s="171">
        <f t="shared" si="31"/>
        <v>1811.34</v>
      </c>
      <c r="AE249" s="171">
        <f t="shared" si="31"/>
        <v>1755.6399999999999</v>
      </c>
      <c r="AF249" s="171">
        <f t="shared" si="31"/>
        <v>1836.8399999999997</v>
      </c>
      <c r="AG249" s="171">
        <f t="shared" si="31"/>
        <v>1868.0399999999997</v>
      </c>
      <c r="AH249" s="171">
        <f t="shared" si="31"/>
        <v>1948.2399999999998</v>
      </c>
      <c r="AI249" s="171">
        <f t="shared" si="31"/>
        <v>1836.2399999999998</v>
      </c>
      <c r="AJ249" s="171">
        <f t="shared" si="31"/>
        <v>253.54</v>
      </c>
      <c r="AK249" s="171">
        <f t="shared" si="31"/>
        <v>1756.7399999999998</v>
      </c>
      <c r="AL249" s="171">
        <f t="shared" si="31"/>
        <v>1783.4399999999998</v>
      </c>
      <c r="AM249" s="171">
        <f t="shared" si="31"/>
        <v>1793.8899999999999</v>
      </c>
      <c r="AN249" s="171">
        <f t="shared" si="31"/>
        <v>1779.0899999999997</v>
      </c>
      <c r="AO249" s="171">
        <f t="shared" si="31"/>
        <v>1798.3899999999999</v>
      </c>
      <c r="AP249" s="171">
        <f t="shared" si="31"/>
        <v>1831.6899999999998</v>
      </c>
      <c r="AQ249" s="171">
        <f t="shared" si="31"/>
        <v>1851.6899999999998</v>
      </c>
      <c r="AR249" s="171">
        <f t="shared" si="31"/>
        <v>1862.1899999999998</v>
      </c>
      <c r="AS249" s="171">
        <f t="shared" si="31"/>
        <v>2032.0399999999997</v>
      </c>
      <c r="AT249" s="171">
        <f t="shared" si="31"/>
        <v>2088.64</v>
      </c>
      <c r="AU249" s="171">
        <f t="shared" si="31"/>
        <v>2123.14</v>
      </c>
      <c r="AV249" s="171">
        <f t="shared" si="31"/>
        <v>2124.14</v>
      </c>
      <c r="AW249" s="171">
        <f t="shared" si="31"/>
        <v>2030.84</v>
      </c>
      <c r="AX249" s="171">
        <f t="shared" si="31"/>
        <v>2012.6399999999999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32">C234</f>
        <v>0.64</v>
      </c>
      <c r="C270" s="174">
        <f t="shared" si="32"/>
        <v>0.64</v>
      </c>
      <c r="D270" s="174">
        <f t="shared" si="32"/>
        <v>0.64</v>
      </c>
      <c r="E270" s="174">
        <f t="shared" si="32"/>
        <v>0.64</v>
      </c>
      <c r="F270" s="174">
        <f t="shared" si="32"/>
        <v>0.64</v>
      </c>
      <c r="G270" s="174">
        <f t="shared" si="32"/>
        <v>0.64</v>
      </c>
      <c r="H270" s="174">
        <f t="shared" si="32"/>
        <v>0.64</v>
      </c>
      <c r="I270" s="174">
        <f t="shared" si="32"/>
        <v>0.64</v>
      </c>
      <c r="J270" s="174">
        <f t="shared" si="32"/>
        <v>0.64</v>
      </c>
      <c r="K270" s="174">
        <f t="shared" si="32"/>
        <v>0.64</v>
      </c>
      <c r="L270" s="174">
        <f t="shared" si="32"/>
        <v>0.64</v>
      </c>
      <c r="M270" s="174">
        <f t="shared" si="32"/>
        <v>0.64</v>
      </c>
      <c r="N270" s="174">
        <f t="shared" si="32"/>
        <v>0.64</v>
      </c>
      <c r="O270" s="174">
        <f t="shared" si="32"/>
        <v>0.64</v>
      </c>
      <c r="P270" s="174">
        <f t="shared" si="32"/>
        <v>0</v>
      </c>
      <c r="Q270" s="174">
        <f t="shared" si="32"/>
        <v>0</v>
      </c>
      <c r="R270" s="174">
        <f t="shared" si="32"/>
        <v>0</v>
      </c>
      <c r="S270" s="174">
        <f t="shared" si="32"/>
        <v>0</v>
      </c>
      <c r="T270" s="174">
        <f t="shared" si="32"/>
        <v>0</v>
      </c>
      <c r="U270" s="174">
        <f t="shared" si="32"/>
        <v>0</v>
      </c>
      <c r="V270" s="174">
        <f t="shared" si="32"/>
        <v>0</v>
      </c>
      <c r="W270" s="174">
        <f t="shared" si="32"/>
        <v>0</v>
      </c>
      <c r="X270" s="174">
        <f t="shared" si="32"/>
        <v>0</v>
      </c>
      <c r="Y270" s="174">
        <f t="shared" si="32"/>
        <v>0</v>
      </c>
      <c r="Z270" s="174">
        <f t="shared" si="32"/>
        <v>0</v>
      </c>
      <c r="AA270" s="174">
        <f t="shared" si="32"/>
        <v>0</v>
      </c>
      <c r="AB270" s="174">
        <f t="shared" si="32"/>
        <v>0</v>
      </c>
      <c r="AC270" s="174">
        <f t="shared" si="32"/>
        <v>0</v>
      </c>
      <c r="AD270" s="174">
        <f t="shared" si="32"/>
        <v>0</v>
      </c>
      <c r="AE270" s="174">
        <f t="shared" si="32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33">IF(B238&lt;100,"",B238-520)</f>
        <v/>
      </c>
      <c r="C271" s="175" t="str">
        <f t="shared" si="33"/>
        <v/>
      </c>
      <c r="D271" s="175" t="str">
        <f t="shared" si="33"/>
        <v/>
      </c>
      <c r="E271" s="175" t="str">
        <f t="shared" si="33"/>
        <v/>
      </c>
      <c r="F271" s="175" t="str">
        <f t="shared" si="33"/>
        <v/>
      </c>
      <c r="G271" s="175" t="str">
        <f t="shared" si="33"/>
        <v/>
      </c>
      <c r="H271" s="175" t="str">
        <f t="shared" si="33"/>
        <v/>
      </c>
      <c r="I271" s="175" t="str">
        <f t="shared" si="33"/>
        <v/>
      </c>
      <c r="J271" s="175" t="str">
        <f t="shared" si="33"/>
        <v/>
      </c>
      <c r="K271" s="175" t="str">
        <f t="shared" si="33"/>
        <v/>
      </c>
      <c r="L271" s="175" t="str">
        <f t="shared" si="33"/>
        <v/>
      </c>
      <c r="M271" s="175" t="str">
        <f t="shared" si="33"/>
        <v/>
      </c>
      <c r="N271" s="175" t="str">
        <f t="shared" si="33"/>
        <v/>
      </c>
      <c r="O271" s="175" t="str">
        <f t="shared" si="33"/>
        <v/>
      </c>
      <c r="P271" s="175" t="str">
        <f t="shared" si="33"/>
        <v/>
      </c>
      <c r="Q271" s="175" t="str">
        <f t="shared" si="33"/>
        <v/>
      </c>
      <c r="R271" s="175" t="str">
        <f t="shared" si="33"/>
        <v/>
      </c>
      <c r="S271" s="175" t="str">
        <f t="shared" si="33"/>
        <v/>
      </c>
      <c r="T271" s="175" t="str">
        <f t="shared" si="33"/>
        <v/>
      </c>
      <c r="U271" s="175" t="str">
        <f t="shared" si="33"/>
        <v/>
      </c>
      <c r="V271" s="175" t="str">
        <f t="shared" si="33"/>
        <v/>
      </c>
      <c r="W271" s="175" t="str">
        <f t="shared" si="33"/>
        <v/>
      </c>
      <c r="X271" s="175" t="str">
        <f t="shared" si="33"/>
        <v/>
      </c>
      <c r="Y271" s="175" t="str">
        <f t="shared" si="33"/>
        <v/>
      </c>
      <c r="Z271" s="175" t="str">
        <f t="shared" si="33"/>
        <v/>
      </c>
      <c r="AA271" s="175" t="str">
        <f t="shared" si="33"/>
        <v/>
      </c>
      <c r="AB271" s="175" t="str">
        <f t="shared" si="33"/>
        <v/>
      </c>
      <c r="AC271" s="175" t="str">
        <f t="shared" si="33"/>
        <v/>
      </c>
      <c r="AD271" s="175" t="str">
        <f t="shared" si="33"/>
        <v/>
      </c>
      <c r="AE271" s="175" t="str">
        <f t="shared" si="33"/>
        <v/>
      </c>
      <c r="AF271" s="175" t="str">
        <f t="shared" si="33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34">IF(B239&lt;100,"",B239-620)</f>
        <v/>
      </c>
      <c r="C272" s="175" t="str">
        <f t="shared" si="34"/>
        <v/>
      </c>
      <c r="D272" s="175" t="str">
        <f t="shared" si="34"/>
        <v/>
      </c>
      <c r="E272" s="175" t="str">
        <f t="shared" si="34"/>
        <v/>
      </c>
      <c r="F272" s="175" t="str">
        <f t="shared" si="34"/>
        <v/>
      </c>
      <c r="G272" s="175" t="str">
        <f t="shared" si="34"/>
        <v/>
      </c>
      <c r="H272" s="175" t="str">
        <f t="shared" si="34"/>
        <v/>
      </c>
      <c r="I272" s="175" t="str">
        <f t="shared" si="34"/>
        <v/>
      </c>
      <c r="J272" s="175" t="str">
        <f t="shared" si="34"/>
        <v/>
      </c>
      <c r="K272" s="175" t="str">
        <f t="shared" si="34"/>
        <v/>
      </c>
      <c r="L272" s="175" t="str">
        <f t="shared" si="34"/>
        <v/>
      </c>
      <c r="M272" s="175" t="str">
        <f t="shared" si="34"/>
        <v/>
      </c>
      <c r="N272" s="175" t="str">
        <f t="shared" si="34"/>
        <v/>
      </c>
      <c r="O272" s="175" t="str">
        <f t="shared" si="34"/>
        <v/>
      </c>
      <c r="P272" s="175" t="str">
        <f t="shared" si="34"/>
        <v/>
      </c>
      <c r="Q272" s="175" t="str">
        <f t="shared" si="34"/>
        <v/>
      </c>
      <c r="R272" s="175" t="str">
        <f t="shared" si="34"/>
        <v/>
      </c>
      <c r="S272" s="175" t="str">
        <f t="shared" si="34"/>
        <v/>
      </c>
      <c r="T272" s="175" t="str">
        <f t="shared" si="34"/>
        <v/>
      </c>
      <c r="U272" s="175" t="str">
        <f t="shared" si="34"/>
        <v/>
      </c>
      <c r="V272" s="175" t="str">
        <f t="shared" si="34"/>
        <v/>
      </c>
      <c r="W272" s="175" t="str">
        <f t="shared" si="34"/>
        <v/>
      </c>
      <c r="X272" s="175" t="str">
        <f t="shared" si="34"/>
        <v/>
      </c>
      <c r="Y272" s="175" t="str">
        <f t="shared" si="34"/>
        <v/>
      </c>
      <c r="Z272" s="175" t="str">
        <f t="shared" si="34"/>
        <v/>
      </c>
      <c r="AA272" s="175" t="str">
        <f t="shared" si="34"/>
        <v/>
      </c>
      <c r="AB272" s="175" t="str">
        <f t="shared" si="34"/>
        <v/>
      </c>
      <c r="AC272" s="175" t="str">
        <f t="shared" si="34"/>
        <v/>
      </c>
      <c r="AD272" s="175" t="str">
        <f t="shared" si="34"/>
        <v/>
      </c>
      <c r="AE272" s="175" t="str">
        <f t="shared" si="34"/>
        <v/>
      </c>
      <c r="AF272" s="175" t="str">
        <f t="shared" si="34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35">IF(B240&lt;100,"",B240-330)</f>
        <v/>
      </c>
      <c r="C273" s="175" t="str">
        <f t="shared" si="35"/>
        <v/>
      </c>
      <c r="D273" s="175" t="str">
        <f t="shared" si="35"/>
        <v/>
      </c>
      <c r="E273" s="175" t="str">
        <f t="shared" si="35"/>
        <v/>
      </c>
      <c r="F273" s="175" t="str">
        <f t="shared" si="35"/>
        <v/>
      </c>
      <c r="G273" s="175" t="str">
        <f t="shared" si="35"/>
        <v/>
      </c>
      <c r="H273" s="175" t="str">
        <f t="shared" si="35"/>
        <v/>
      </c>
      <c r="I273" s="175" t="str">
        <f t="shared" si="35"/>
        <v/>
      </c>
      <c r="J273" s="175" t="str">
        <f t="shared" si="35"/>
        <v/>
      </c>
      <c r="K273" s="175" t="str">
        <f t="shared" si="35"/>
        <v/>
      </c>
      <c r="L273" s="175" t="str">
        <f t="shared" si="35"/>
        <v/>
      </c>
      <c r="M273" s="175" t="str">
        <f t="shared" si="35"/>
        <v/>
      </c>
      <c r="N273" s="175" t="str">
        <f t="shared" si="35"/>
        <v/>
      </c>
      <c r="O273" s="175" t="str">
        <f t="shared" si="35"/>
        <v/>
      </c>
      <c r="P273" s="175" t="str">
        <f t="shared" si="35"/>
        <v/>
      </c>
      <c r="Q273" s="175" t="str">
        <f t="shared" si="35"/>
        <v/>
      </c>
      <c r="R273" s="175" t="str">
        <f t="shared" si="35"/>
        <v/>
      </c>
      <c r="S273" s="175" t="str">
        <f t="shared" si="35"/>
        <v/>
      </c>
      <c r="T273" s="175" t="str">
        <f t="shared" si="35"/>
        <v/>
      </c>
      <c r="U273" s="175" t="str">
        <f t="shared" si="35"/>
        <v/>
      </c>
      <c r="V273" s="175" t="str">
        <f t="shared" si="35"/>
        <v/>
      </c>
      <c r="W273" s="175" t="str">
        <f t="shared" si="35"/>
        <v/>
      </c>
      <c r="X273" s="175" t="str">
        <f t="shared" si="35"/>
        <v/>
      </c>
      <c r="Y273" s="175" t="str">
        <f t="shared" si="35"/>
        <v/>
      </c>
      <c r="Z273" s="175" t="str">
        <f t="shared" si="35"/>
        <v/>
      </c>
      <c r="AA273" s="175" t="str">
        <f t="shared" si="35"/>
        <v/>
      </c>
      <c r="AB273" s="175" t="str">
        <f t="shared" si="35"/>
        <v/>
      </c>
      <c r="AC273" s="175" t="str">
        <f t="shared" si="35"/>
        <v/>
      </c>
      <c r="AD273" s="175" t="str">
        <f t="shared" si="35"/>
        <v/>
      </c>
      <c r="AE273" s="175" t="str">
        <f t="shared" si="35"/>
        <v/>
      </c>
      <c r="AF273" s="175" t="str">
        <f t="shared" si="35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36">IF(B241&lt;100,"",B241-1500)</f>
        <v/>
      </c>
      <c r="C274" s="175" t="str">
        <f t="shared" si="36"/>
        <v/>
      </c>
      <c r="D274" s="175" t="str">
        <f t="shared" si="36"/>
        <v/>
      </c>
      <c r="E274" s="175" t="str">
        <f t="shared" si="36"/>
        <v/>
      </c>
      <c r="F274" s="175" t="str">
        <f t="shared" si="36"/>
        <v/>
      </c>
      <c r="G274" s="175" t="str">
        <f t="shared" si="36"/>
        <v/>
      </c>
      <c r="H274" s="175" t="str">
        <f t="shared" si="36"/>
        <v/>
      </c>
      <c r="I274" s="175" t="str">
        <f t="shared" si="36"/>
        <v/>
      </c>
      <c r="J274" s="175" t="str">
        <f t="shared" si="36"/>
        <v/>
      </c>
      <c r="K274" s="175" t="str">
        <f t="shared" si="36"/>
        <v/>
      </c>
      <c r="L274" s="175" t="str">
        <f t="shared" si="36"/>
        <v/>
      </c>
      <c r="M274" s="175" t="str">
        <f t="shared" si="36"/>
        <v/>
      </c>
      <c r="N274" s="175" t="str">
        <f t="shared" si="36"/>
        <v/>
      </c>
      <c r="O274" s="175" t="str">
        <f t="shared" si="36"/>
        <v/>
      </c>
      <c r="P274" s="175" t="str">
        <f t="shared" si="36"/>
        <v/>
      </c>
      <c r="Q274" s="175" t="str">
        <f t="shared" si="36"/>
        <v/>
      </c>
      <c r="R274" s="175" t="str">
        <f t="shared" si="36"/>
        <v/>
      </c>
      <c r="S274" s="175" t="str">
        <f t="shared" si="36"/>
        <v/>
      </c>
      <c r="T274" s="175" t="str">
        <f t="shared" si="36"/>
        <v/>
      </c>
      <c r="U274" s="175" t="str">
        <f t="shared" si="36"/>
        <v/>
      </c>
      <c r="V274" s="175" t="str">
        <f t="shared" si="36"/>
        <v/>
      </c>
      <c r="W274" s="175" t="str">
        <f t="shared" si="36"/>
        <v/>
      </c>
      <c r="X274" s="175" t="str">
        <f t="shared" si="36"/>
        <v/>
      </c>
      <c r="Y274" s="175" t="str">
        <f t="shared" si="36"/>
        <v/>
      </c>
      <c r="Z274" s="175" t="str">
        <f t="shared" si="36"/>
        <v/>
      </c>
      <c r="AA274" s="175" t="str">
        <f t="shared" si="36"/>
        <v/>
      </c>
      <c r="AB274" s="175" t="str">
        <f t="shared" si="36"/>
        <v/>
      </c>
      <c r="AC274" s="175" t="str">
        <f t="shared" si="36"/>
        <v/>
      </c>
      <c r="AD274" s="175" t="str">
        <f t="shared" si="36"/>
        <v/>
      </c>
      <c r="AE274" s="175" t="str">
        <f t="shared" si="36"/>
        <v/>
      </c>
      <c r="AF274" s="175" t="str">
        <f t="shared" si="3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2452" priority="281">
      <formula>$AH11=0</formula>
    </cfRule>
  </conditionalFormatting>
  <conditionalFormatting sqref="B8 M8 S8 AB8">
    <cfRule type="expression" dxfId="2451" priority="534">
      <formula>AND(C$9&gt;=8/24,C$9&lt;14/24)</formula>
    </cfRule>
    <cfRule type="expression" dxfId="2450" priority="533">
      <formula>AND(C$9&gt;=14/24,C$9&lt;20/24)</formula>
    </cfRule>
    <cfRule type="expression" dxfId="2449" priority="535">
      <formula>C$9&lt;8/24</formula>
    </cfRule>
  </conditionalFormatting>
  <conditionalFormatting sqref="B51:D53">
    <cfRule type="expression" dxfId="2448" priority="97">
      <formula>AND(B$9&gt;=14/24,B$9&lt;20/24)</formula>
    </cfRule>
    <cfRule type="expression" dxfId="2447" priority="99">
      <formula>B$9&lt;8/24</formula>
    </cfRule>
    <cfRule type="expression" dxfId="2446" priority="98">
      <formula>AND(B$9&gt;=8/24,B$9&lt;14/24)</formula>
    </cfRule>
  </conditionalFormatting>
  <conditionalFormatting sqref="B11:Q31">
    <cfRule type="expression" dxfId="2445" priority="20">
      <formula>B$9&gt;=20/24</formula>
    </cfRule>
    <cfRule type="expression" dxfId="2444" priority="19">
      <formula>B11&gt;$AG11</formula>
    </cfRule>
    <cfRule type="expression" dxfId="2443" priority="21">
      <formula>AND(B$9&gt;=14/24,B$9&lt;20/24)</formula>
    </cfRule>
    <cfRule type="expression" dxfId="2442" priority="22">
      <formula>AND(B$9&gt;=8/24,B$9&lt;14/24)</formula>
    </cfRule>
    <cfRule type="expression" dxfId="2441" priority="23">
      <formula>B$9&lt;8/24</formula>
    </cfRule>
  </conditionalFormatting>
  <conditionalFormatting sqref="B32:Q45">
    <cfRule type="expression" dxfId="2440" priority="34">
      <formula>B$9&gt;=20/24</formula>
    </cfRule>
    <cfRule type="expression" dxfId="2439" priority="35">
      <formula>AND(B$9&gt;=14/24,B$9&lt;20/24)</formula>
    </cfRule>
    <cfRule type="expression" dxfId="2438" priority="36">
      <formula>AND(B$9&gt;=8/24,B$9&lt;14/24)</formula>
    </cfRule>
    <cfRule type="expression" dxfId="2437" priority="37">
      <formula>B$9&lt;8/24</formula>
    </cfRule>
  </conditionalFormatting>
  <conditionalFormatting sqref="B32:Q47">
    <cfRule type="expression" dxfId="2436" priority="32">
      <formula>B32&gt;$AG32</formula>
    </cfRule>
  </conditionalFormatting>
  <conditionalFormatting sqref="B46:Q47">
    <cfRule type="expression" dxfId="2435" priority="28">
      <formula>B$9&gt;=20/24</formula>
    </cfRule>
    <cfRule type="expression" dxfId="2434" priority="29">
      <formula>AND(B$9&gt;=14/24,B$9&lt;20/24)</formula>
    </cfRule>
    <cfRule type="expression" dxfId="2433" priority="30">
      <formula>AND(B$9&gt;=8/24,B$9&lt;14/24)</formula>
    </cfRule>
    <cfRule type="expression" dxfId="2432" priority="31">
      <formula>B$9&lt;8/24</formula>
    </cfRule>
  </conditionalFormatting>
  <conditionalFormatting sqref="B54:T54">
    <cfRule type="expression" dxfId="2431" priority="65">
      <formula>B$9&gt;=20/24</formula>
    </cfRule>
    <cfRule type="expression" dxfId="2430" priority="66">
      <formula>AND(B$9&gt;=14/24,B$9&lt;20/24)</formula>
    </cfRule>
    <cfRule type="expression" dxfId="2429" priority="67">
      <formula>AND(B$9&gt;=8/24,B$9&lt;14/24)</formula>
    </cfRule>
    <cfRule type="expression" dxfId="2428" priority="68">
      <formula>B$9&lt;8/24</formula>
    </cfRule>
  </conditionalFormatting>
  <conditionalFormatting sqref="B51:U53">
    <cfRule type="expression" dxfId="2427" priority="96">
      <formula>B$9&gt;=20/24</formula>
    </cfRule>
  </conditionalFormatting>
  <conditionalFormatting sqref="B9:AF10 U11 S11:T47 R12 T12:U12 R14:R17 T14:AF17 R19:R47 U25:Z47 E51:U53 U51:AF54 B227:AF227 D229:AF230 B229:B235 D231:H231 J231:AF231 D232:AF235 U248:AF248">
    <cfRule type="expression" dxfId="2426" priority="527">
      <formula>AND(B$9&gt;=14/24,B$9&lt;20/24)</formula>
    </cfRule>
    <cfRule type="expression" dxfId="2425" priority="528">
      <formula>AND(B$9&gt;=8/24,B$9&lt;14/24)</formula>
    </cfRule>
    <cfRule type="expression" dxfId="2424" priority="529">
      <formula>B$9&lt;8/24</formula>
    </cfRule>
  </conditionalFormatting>
  <conditionalFormatting sqref="B48:AF49">
    <cfRule type="expression" dxfId="2423" priority="50">
      <formula>B$9&gt;=20/24</formula>
    </cfRule>
    <cfRule type="expression" dxfId="2422" priority="51">
      <formula>AND(B$9&gt;=14/24,B$9&lt;20/24)</formula>
    </cfRule>
    <cfRule type="expression" dxfId="2421" priority="52">
      <formula>AND(B$9&gt;=8/24,B$9&lt;14/24)</formula>
    </cfRule>
    <cfRule type="expression" dxfId="2420" priority="53">
      <formula>B$9&lt;8/24</formula>
    </cfRule>
  </conditionalFormatting>
  <conditionalFormatting sqref="B48:AF66">
    <cfRule type="expression" dxfId="2419" priority="9">
      <formula>B48&gt;$AG48</formula>
    </cfRule>
  </conditionalFormatting>
  <conditionalFormatting sqref="B55:AF66">
    <cfRule type="expression" dxfId="2418" priority="12">
      <formula>AND(B$9&gt;=8/24,B$9&lt;14/24)</formula>
    </cfRule>
    <cfRule type="expression" dxfId="2417" priority="10">
      <formula>B$9&gt;=20/24</formula>
    </cfRule>
    <cfRule type="expression" dxfId="2416" priority="11">
      <formula>AND(B$9&gt;=14/24,B$9&lt;20/24)</formula>
    </cfRule>
    <cfRule type="expression" dxfId="2415" priority="13">
      <formula>B$9&lt;8/24</formula>
    </cfRule>
  </conditionalFormatting>
  <conditionalFormatting sqref="B69:AF71">
    <cfRule type="expression" dxfId="2414" priority="109">
      <formula>B$9&gt;=20/24</formula>
    </cfRule>
    <cfRule type="expression" dxfId="2413" priority="108">
      <formula>B69&gt;$AG69</formula>
    </cfRule>
    <cfRule type="expression" dxfId="2412" priority="110">
      <formula>AND(B$9&gt;=14/24,B$9&lt;20/24)</formula>
    </cfRule>
    <cfRule type="expression" dxfId="2411" priority="111">
      <formula>AND(B$9&gt;=8/24,B$9&lt;14/24)</formula>
    </cfRule>
    <cfRule type="expression" dxfId="2410" priority="112">
      <formula>B$9&lt;8/24</formula>
    </cfRule>
  </conditionalFormatting>
  <conditionalFormatting sqref="B73:AF91">
    <cfRule type="expression" dxfId="2409" priority="3">
      <formula>AND(B$9&gt;=8/24,B$9&lt;14/24)</formula>
    </cfRule>
    <cfRule type="expression" dxfId="2408" priority="4">
      <formula>B$9&lt;8/24</formula>
    </cfRule>
    <cfRule type="expression" dxfId="2407" priority="2">
      <formula>AND(B$9&gt;=14/24,B$9&lt;20/24)</formula>
    </cfRule>
    <cfRule type="expression" dxfId="2406" priority="1">
      <formula>B$9&gt;=20/24</formula>
    </cfRule>
  </conditionalFormatting>
  <conditionalFormatting sqref="B111:AF120">
    <cfRule type="expression" dxfId="2405" priority="27">
      <formula>B$9&lt;8/24</formula>
    </cfRule>
    <cfRule type="expression" dxfId="2404" priority="26">
      <formula>AND(B$9&gt;=8/24,B$9&lt;14/24)</formula>
    </cfRule>
    <cfRule type="expression" dxfId="2403" priority="25">
      <formula>AND(B$9&gt;=14/24,B$9&lt;20/24)</formula>
    </cfRule>
    <cfRule type="expression" dxfId="2402" priority="24">
      <formula>B$9&gt;=20/24</formula>
    </cfRule>
  </conditionalFormatting>
  <conditionalFormatting sqref="B67:AG68 B72:AG72">
    <cfRule type="expression" dxfId="2401" priority="73">
      <formula>B67&gt;$AG67</formula>
    </cfRule>
  </conditionalFormatting>
  <conditionalFormatting sqref="B72:AG72 B93:AF109">
    <cfRule type="expression" dxfId="2400" priority="77">
      <formula>B$9&lt;8/24</formula>
    </cfRule>
    <cfRule type="expression" dxfId="2399" priority="76">
      <formula>AND(B$9&gt;=8/24,B$9&lt;14/24)</formula>
    </cfRule>
    <cfRule type="expression" dxfId="2398" priority="75">
      <formula>AND(B$9&gt;=14/24,B$9&lt;20/24)</formula>
    </cfRule>
    <cfRule type="expression" dxfId="2397" priority="74">
      <formula>B$9&gt;=20/24</formula>
    </cfRule>
  </conditionalFormatting>
  <conditionalFormatting sqref="O3:P3">
    <cfRule type="iconSet" priority="530">
      <iconSet iconSet="3TrafficLights2" reverse="1">
        <cfvo type="percent" val="0"/>
        <cfvo type="num" val="1"/>
        <cfvo type="num" val="1"/>
      </iconSet>
    </cfRule>
  </conditionalFormatting>
  <conditionalFormatting sqref="R19:R47 S35:Z35">
    <cfRule type="expression" dxfId="2396" priority="524">
      <formula>R19&gt;$AG19</formula>
    </cfRule>
  </conditionalFormatting>
  <conditionalFormatting sqref="R11:Z11">
    <cfRule type="expression" dxfId="2395" priority="172">
      <formula>R$9&gt;=20/24</formula>
    </cfRule>
    <cfRule type="expression" dxfId="2394" priority="173">
      <formula>AND(R$9&gt;=14/24,R$9&lt;20/24)</formula>
    </cfRule>
    <cfRule type="expression" dxfId="2393" priority="174">
      <formula>AND(R$9&gt;=8/24,R$9&lt;14/24)</formula>
    </cfRule>
    <cfRule type="expression" dxfId="2392" priority="175">
      <formula>R$9&lt;8/24</formula>
    </cfRule>
  </conditionalFormatting>
  <conditionalFormatting sqref="R11:AF18">
    <cfRule type="expression" dxfId="2391" priority="166">
      <formula>R11&gt;$AG11</formula>
    </cfRule>
  </conditionalFormatting>
  <conditionalFormatting sqref="R13:AF13">
    <cfRule type="expression" dxfId="2390" priority="187">
      <formula>R$9&gt;=20/24</formula>
    </cfRule>
    <cfRule type="expression" dxfId="2389" priority="188">
      <formula>AND(R$9&gt;=14/24,R$9&lt;20/24)</formula>
    </cfRule>
    <cfRule type="expression" dxfId="2388" priority="189">
      <formula>AND(R$9&gt;=8/24,R$9&lt;14/24)</formula>
    </cfRule>
    <cfRule type="expression" dxfId="2387" priority="190">
      <formula>R$9&lt;8/24</formula>
    </cfRule>
  </conditionalFormatting>
  <conditionalFormatting sqref="R18:AF18">
    <cfRule type="expression" dxfId="2386" priority="170">
      <formula>R$9&lt;8/24</formula>
    </cfRule>
    <cfRule type="expression" dxfId="2385" priority="168">
      <formula>AND(R$9&gt;=14/24,R$9&lt;20/24)</formula>
    </cfRule>
    <cfRule type="expression" dxfId="2384" priority="169">
      <formula>AND(R$9&gt;=8/24,R$9&lt;14/24)</formula>
    </cfRule>
    <cfRule type="expression" dxfId="2383" priority="167">
      <formula>R$9&gt;=20/24</formula>
    </cfRule>
  </conditionalFormatting>
  <conditionalFormatting sqref="S8 AB8 B8 M8">
    <cfRule type="expression" dxfId="2382" priority="532">
      <formula>C$9&gt;=20/24</formula>
    </cfRule>
  </conditionalFormatting>
  <conditionalFormatting sqref="S8">
    <cfRule type="expression" dxfId="2381" priority="508">
      <formula>U$9&lt;8/24</formula>
    </cfRule>
    <cfRule type="expression" dxfId="2380" priority="506">
      <formula>AND(U$9&gt;=14/24,U$9&lt;20/24)</formula>
    </cfRule>
    <cfRule type="expression" dxfId="2379" priority="505">
      <formula>U$9&gt;=20/24</formula>
    </cfRule>
    <cfRule type="expression" dxfId="2378" priority="507">
      <formula>AND(U$9&gt;=8/24,U$9&lt;14/24)</formula>
    </cfRule>
  </conditionalFormatting>
  <conditionalFormatting sqref="S11:T47 R19:R47 U25:Z47 U11 R12 T12:U12 R14:R17 T14:AF17 U51:AF54 B9:AF10 B227:AF227 D229:AF230 B229:B235 D231:H231 J231:AF231 D232:AF235 U248:AF248">
    <cfRule type="expression" dxfId="2377" priority="526">
      <formula>B$9&gt;=20/24</formula>
    </cfRule>
  </conditionalFormatting>
  <conditionalFormatting sqref="T248">
    <cfRule type="expression" dxfId="2376" priority="545">
      <formula>AX$9&gt;=20/24</formula>
    </cfRule>
    <cfRule type="expression" dxfId="2375" priority="546">
      <formula>AND(AX$9&gt;=14/24,AX$9&lt;20/24)</formula>
    </cfRule>
    <cfRule type="expression" dxfId="2374" priority="547">
      <formula>AND(AX$9&gt;=8/24,AX$9&lt;14/24)</formula>
    </cfRule>
    <cfRule type="expression" dxfId="2373" priority="548">
      <formula>AX$9&lt;8/24</formula>
    </cfRule>
  </conditionalFormatting>
  <conditionalFormatting sqref="U11:Z11 S11:T34 U25:Z34 S36:Z47">
    <cfRule type="expression" dxfId="2372" priority="563">
      <formula>S11&gt;$AG26</formula>
    </cfRule>
  </conditionalFormatting>
  <conditionalFormatting sqref="U19:Z24">
    <cfRule type="expression" dxfId="2371" priority="410">
      <formula>AND(U$9&gt;=14/24,U$9&lt;20/24)</formula>
    </cfRule>
    <cfRule type="expression" dxfId="2370" priority="411">
      <formula>AND(U$9&gt;=8/24,U$9&lt;14/24)</formula>
    </cfRule>
    <cfRule type="expression" dxfId="2369" priority="409">
      <formula>U$9&gt;=20/24</formula>
    </cfRule>
    <cfRule type="expression" dxfId="2368" priority="412">
      <formula>U$9&lt;8/24</formula>
    </cfRule>
    <cfRule type="expression" dxfId="2367" priority="404">
      <formula>U19&gt;$AG19</formula>
    </cfRule>
  </conditionalFormatting>
  <conditionalFormatting sqref="V3 AB3">
    <cfRule type="iconSet" priority="531">
      <iconSet iconSet="3TrafficLights2" reverse="1">
        <cfvo type="percent" val="0"/>
        <cfvo type="num" val="1"/>
        <cfvo type="num" val="1"/>
      </iconSet>
    </cfRule>
  </conditionalFormatting>
  <conditionalFormatting sqref="V11:AF12">
    <cfRule type="expression" dxfId="2366" priority="300">
      <formula>AND(V$9&gt;=8/24,V$9&lt;14/24)</formula>
    </cfRule>
    <cfRule type="expression" dxfId="2365" priority="299">
      <formula>AND(V$9&gt;=14/24,V$9&lt;20/24)</formula>
    </cfRule>
    <cfRule type="expression" dxfId="2364" priority="298">
      <formula>V$9&gt;=20/24</formula>
    </cfRule>
    <cfRule type="expression" dxfId="2363" priority="301">
      <formula>V$9&lt;8/24</formula>
    </cfRule>
  </conditionalFormatting>
  <conditionalFormatting sqref="AA19:AF45">
    <cfRule type="expression" dxfId="2362" priority="287">
      <formula>AA$9&lt;8/24</formula>
    </cfRule>
    <cfRule type="expression" dxfId="2361" priority="286">
      <formula>AND(AA$9&gt;=8/24,AA$9&lt;14/24)</formula>
    </cfRule>
    <cfRule type="expression" dxfId="2360" priority="285">
      <formula>AND(AA$9&gt;=14/24,AA$9&lt;20/24)</formula>
    </cfRule>
    <cfRule type="expression" dxfId="2359" priority="284">
      <formula>AA$9&gt;=20/24</formula>
    </cfRule>
  </conditionalFormatting>
  <conditionalFormatting sqref="AA19:AF47">
    <cfRule type="expression" dxfId="2358" priority="280">
      <formula>AA19&gt;$AG19</formula>
    </cfRule>
  </conditionalFormatting>
  <conditionalFormatting sqref="AA46:AF47">
    <cfRule type="expression" dxfId="2357" priority="276">
      <formula>AA$9&gt;=20/24</formula>
    </cfRule>
    <cfRule type="expression" dxfId="2356" priority="277">
      <formula>AND(AA$9&gt;=14/24,AA$9&lt;20/24)</formula>
    </cfRule>
    <cfRule type="expression" dxfId="2355" priority="278">
      <formula>AND(AA$9&gt;=8/24,AA$9&lt;14/24)</formula>
    </cfRule>
    <cfRule type="expression" dxfId="2354" priority="279">
      <formula>AA$9&lt;8/24</formula>
    </cfRule>
  </conditionalFormatting>
  <conditionalFormatting sqref="AB8">
    <cfRule type="expression" dxfId="2353" priority="501">
      <formula>AD$9&gt;=20/24</formula>
    </cfRule>
    <cfRule type="expression" dxfId="2352" priority="502">
      <formula>AND(AD$9&gt;=14/24,AD$9&lt;20/24)</formula>
    </cfRule>
    <cfRule type="expression" dxfId="2351" priority="503">
      <formula>AND(AD$9&gt;=8/24,AD$9&lt;14/24)</formula>
    </cfRule>
    <cfRule type="expression" dxfId="2350" priority="504">
      <formula>AD$9&lt;8/24</formula>
    </cfRule>
  </conditionalFormatting>
  <conditionalFormatting sqref="AG50">
    <cfRule type="expression" dxfId="2349" priority="458">
      <formula>AG50&gt;$AG50</formula>
    </cfRule>
  </conditionalFormatting>
  <conditionalFormatting sqref="AG54">
    <cfRule type="expression" dxfId="2348" priority="439">
      <formula>AG$9&gt;=20/24</formula>
    </cfRule>
    <cfRule type="expression" dxfId="2347" priority="438">
      <formula>AG54&gt;$AG54</formula>
    </cfRule>
    <cfRule type="expression" dxfId="2346" priority="440">
      <formula>AND(AG$9&gt;=14/24,AG$9&lt;20/24)</formula>
    </cfRule>
    <cfRule type="expression" dxfId="2345" priority="442">
      <formula>AG$9&lt;8/24</formula>
    </cfRule>
    <cfRule type="expression" dxfId="2344" priority="441">
      <formula>AND(AG$9&gt;=8/24,AG$9&lt;14/24)</formula>
    </cfRule>
  </conditionalFormatting>
  <conditionalFormatting sqref="AG89">
    <cfRule type="expression" dxfId="2343" priority="459">
      <formula>AG$9&gt;=20/24</formula>
    </cfRule>
    <cfRule type="expression" dxfId="2342" priority="460">
      <formula>AND(AG$9&gt;=14/24,AG$9&lt;20/24)</formula>
    </cfRule>
    <cfRule type="expression" dxfId="2341" priority="461">
      <formula>AND(AG$9&gt;=8/24,AG$9&lt;14/24)</formula>
    </cfRule>
    <cfRule type="expression" dxfId="2340" priority="462">
      <formula>AG$9&lt;8/24</formula>
    </cfRule>
  </conditionalFormatting>
  <conditionalFormatting sqref="AG248">
    <cfRule type="expression" dxfId="2339" priority="538">
      <formula>AND(B$9&gt;=14/24,B$9&lt;20/24)</formula>
    </cfRule>
    <cfRule type="expression" dxfId="2338" priority="539">
      <formula>AND(B$9&gt;=8/24,B$9&lt;14/24)</formula>
    </cfRule>
    <cfRule type="expression" dxfId="2337" priority="540">
      <formula>B$9&lt;8/24</formula>
    </cfRule>
    <cfRule type="expression" dxfId="2336" priority="537">
      <formula>B$9&gt;=20/24</formula>
    </cfRule>
  </conditionalFormatting>
  <conditionalFormatting sqref="AH248:AX248">
    <cfRule type="expression" dxfId="2335" priority="541">
      <formula>AG$9&gt;=20/24</formula>
    </cfRule>
    <cfRule type="expression" dxfId="2334" priority="542">
      <formula>AND(AG$9&gt;=14/24,AG$9&lt;20/24)</formula>
    </cfRule>
    <cfRule type="expression" dxfId="2333" priority="543">
      <formula>AND(AG$9&gt;=8/24,AG$9&lt;14/24)</formula>
    </cfRule>
    <cfRule type="expression" dxfId="2332" priority="544">
      <formula>AG$9&lt;8/24</formula>
    </cfRule>
  </conditionalFormatting>
  <conditionalFormatting sqref="AL4:AL6">
    <cfRule type="iconSet" priority="525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422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43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521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509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549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331" priority="550">
      <formula>AJ$9&gt;=20/24</formula>
    </cfRule>
    <cfRule type="expression" dxfId="2330" priority="551">
      <formula>AND(AJ$9&gt;=14/24,AJ$9&lt;20/24)</formula>
    </cfRule>
    <cfRule type="expression" dxfId="2329" priority="552">
      <formula>AND(AJ$9&gt;=8/24,AJ$9&lt;14/24)</formula>
    </cfRule>
    <cfRule type="expression" dxfId="2328" priority="553">
      <formula>AJ$9&lt;8/24</formula>
    </cfRule>
  </conditionalFormatting>
  <conditionalFormatting sqref="AL80:AN80 AL86:AN86">
    <cfRule type="expression" dxfId="2327" priority="353">
      <formula>AL$9&lt;8/24</formula>
    </cfRule>
    <cfRule type="expression" dxfId="2326" priority="352">
      <formula>AND(AL$9&gt;=8/24,AL$9&lt;14/24)</formula>
    </cfRule>
    <cfRule type="expression" dxfId="2325" priority="351">
      <formula>AND(AL$9&gt;=14/24,AL$9&lt;20/24)</formula>
    </cfRule>
    <cfRule type="expression" dxfId="2324" priority="350">
      <formula>AL$9&gt;=20/24</formula>
    </cfRule>
  </conditionalFormatting>
  <conditionalFormatting sqref="AN81:AN84">
    <cfRule type="expression" dxfId="2323" priority="349">
      <formula>AN$9&lt;8/24</formula>
    </cfRule>
    <cfRule type="expression" dxfId="2322" priority="346">
      <formula>AN$9&gt;=20/24</formula>
    </cfRule>
    <cfRule type="expression" dxfId="2321" priority="348">
      <formula>AND(AN$9&gt;=8/24,AN$9&lt;14/24)</formula>
    </cfRule>
    <cfRule type="expression" dxfId="2320" priority="347">
      <formula>AND(AN$9&gt;=14/24,AN$9&lt;20/24)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A2CC-1CF7-4B37-B48F-559143F0D428}">
  <dimension ref="A1:CJ281"/>
  <sheetViews>
    <sheetView zoomScaleNormal="100" workbookViewId="0">
      <pane xSplit="1" ySplit="10" topLeftCell="E16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T12" sqref="T12"/>
    </sheetView>
  </sheetViews>
  <sheetFormatPr defaultRowHeight="15" x14ac:dyDescent="0.25"/>
  <cols>
    <col min="1" max="1" width="35.28515625" style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2080/03/6</v>
      </c>
      <c r="C4" s="187"/>
      <c r="D4" s="187"/>
      <c r="E4" s="188" t="str">
        <f ca="1">"2079/"&amp;"12/"&amp;INT(MID(CELL("filename",G6),FIND("]",CELL("filename",G6))+1,200))</f>
        <v>2079/12/6</v>
      </c>
      <c r="F4" s="188"/>
      <c r="G4" s="188"/>
      <c r="H4" s="188" t="str">
        <f ca="1">TEXT(E4,"dddd")</f>
        <v>Wednesday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86.7</v>
      </c>
      <c r="C5" s="30">
        <f t="shared" si="0"/>
        <v>110.5</v>
      </c>
      <c r="D5" s="30">
        <f t="shared" si="0"/>
        <v>63.800000000000004</v>
      </c>
      <c r="E5" s="30">
        <f t="shared" si="0"/>
        <v>52</v>
      </c>
      <c r="F5" s="30">
        <f t="shared" si="0"/>
        <v>45.1</v>
      </c>
      <c r="G5" s="30">
        <f t="shared" si="0"/>
        <v>32</v>
      </c>
      <c r="H5" s="30">
        <f t="shared" si="0"/>
        <v>20.6</v>
      </c>
      <c r="I5" s="30">
        <f t="shared" si="0"/>
        <v>40.4</v>
      </c>
      <c r="J5" s="30">
        <f t="shared" si="0"/>
        <v>53</v>
      </c>
      <c r="K5" s="30">
        <f t="shared" si="0"/>
        <v>53.7</v>
      </c>
      <c r="L5" s="30">
        <f t="shared" si="0"/>
        <v>66</v>
      </c>
      <c r="M5" s="30">
        <f t="shared" si="0"/>
        <v>75.7</v>
      </c>
      <c r="N5" s="30">
        <f t="shared" si="0"/>
        <v>51.3</v>
      </c>
      <c r="O5" s="30">
        <f t="shared" si="0"/>
        <v>58</v>
      </c>
      <c r="P5" s="30">
        <f t="shared" si="0"/>
        <v>66.2</v>
      </c>
      <c r="Q5" s="30">
        <f t="shared" si="0"/>
        <v>75.400000000000006</v>
      </c>
      <c r="R5" s="30">
        <f t="shared" si="0"/>
        <v>52.9</v>
      </c>
      <c r="S5" s="30">
        <f t="shared" si="0"/>
        <v>41.1</v>
      </c>
      <c r="T5" s="30">
        <f t="shared" si="0"/>
        <v>34</v>
      </c>
      <c r="U5" s="30">
        <f t="shared" si="0"/>
        <v>0</v>
      </c>
      <c r="V5" s="30">
        <f t="shared" si="0"/>
        <v>34.5</v>
      </c>
      <c r="W5" s="30">
        <f t="shared" si="0"/>
        <v>27.6</v>
      </c>
      <c r="X5" s="30">
        <f t="shared" si="0"/>
        <v>27.6</v>
      </c>
      <c r="Y5" s="30">
        <f t="shared" si="0"/>
        <v>27.6</v>
      </c>
      <c r="Z5" s="30">
        <f t="shared" si="0"/>
        <v>62</v>
      </c>
      <c r="AA5" s="30">
        <f t="shared" si="0"/>
        <v>75.900000000000006</v>
      </c>
      <c r="AB5" s="30">
        <f t="shared" si="0"/>
        <v>64.599999999999994</v>
      </c>
      <c r="AC5" s="30">
        <f t="shared" si="0"/>
        <v>59.5</v>
      </c>
      <c r="AD5" s="30">
        <f t="shared" si="0"/>
        <v>60.3</v>
      </c>
      <c r="AE5" s="30">
        <f t="shared" si="0"/>
        <v>53.1</v>
      </c>
      <c r="AF5" s="30">
        <f>B84</f>
        <v>86.3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1927MW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Load=537</v>
      </c>
      <c r="B7" s="35">
        <f t="shared" ref="B7:AF7" si="1">B91</f>
        <v>1985.5399999999997</v>
      </c>
      <c r="C7" s="35">
        <f t="shared" si="1"/>
        <v>1985.9399999999998</v>
      </c>
      <c r="D7" s="35">
        <f t="shared" si="1"/>
        <v>1974.7399999999998</v>
      </c>
      <c r="E7" s="35">
        <f t="shared" si="1"/>
        <v>1911.0399999999997</v>
      </c>
      <c r="F7" s="35">
        <f t="shared" si="1"/>
        <v>1859.5399999999997</v>
      </c>
      <c r="G7" s="35">
        <f t="shared" si="1"/>
        <v>1876.2399999999998</v>
      </c>
      <c r="H7" s="35">
        <f t="shared" si="1"/>
        <v>1879.7399999999998</v>
      </c>
      <c r="I7" s="35">
        <f t="shared" si="1"/>
        <v>1872.3399999999997</v>
      </c>
      <c r="J7" s="35">
        <f t="shared" si="1"/>
        <v>1745.1399999999999</v>
      </c>
      <c r="K7" s="35">
        <f t="shared" si="1"/>
        <v>1863.7399999999998</v>
      </c>
      <c r="L7" s="35">
        <f t="shared" si="1"/>
        <v>1881.1399999999999</v>
      </c>
      <c r="M7" s="35">
        <f t="shared" si="1"/>
        <v>1912.7400000000002</v>
      </c>
      <c r="N7" s="35">
        <f>N91</f>
        <v>1927.34</v>
      </c>
      <c r="O7" s="35">
        <f t="shared" si="1"/>
        <v>2011.14</v>
      </c>
      <c r="P7" s="35">
        <f t="shared" si="1"/>
        <v>1984.74</v>
      </c>
      <c r="Q7" s="35">
        <f t="shared" si="1"/>
        <v>2019.94</v>
      </c>
      <c r="R7" s="35">
        <f t="shared" si="1"/>
        <v>2003.5400000000002</v>
      </c>
      <c r="S7" s="35">
        <f t="shared" si="1"/>
        <v>1988.4400000000003</v>
      </c>
      <c r="T7" s="35">
        <f t="shared" si="1"/>
        <v>1981.6399999999999</v>
      </c>
      <c r="U7" s="35">
        <f t="shared" si="1"/>
        <v>1956.1400000000003</v>
      </c>
      <c r="V7" s="35">
        <f t="shared" si="1"/>
        <v>536.54</v>
      </c>
      <c r="W7" s="35">
        <f t="shared" si="1"/>
        <v>1883.9400000000003</v>
      </c>
      <c r="X7" s="35">
        <f t="shared" si="1"/>
        <v>1768.04</v>
      </c>
      <c r="Y7" s="35">
        <f t="shared" si="1"/>
        <v>1832.04</v>
      </c>
      <c r="Z7" s="35">
        <f t="shared" si="1"/>
        <v>1908.8400000000001</v>
      </c>
      <c r="AA7" s="35">
        <f t="shared" si="1"/>
        <v>2106.9399999999996</v>
      </c>
      <c r="AB7" s="35">
        <f t="shared" si="1"/>
        <v>2113.1400000000003</v>
      </c>
      <c r="AC7" s="35">
        <f t="shared" si="1"/>
        <v>2072.4399999999996</v>
      </c>
      <c r="AD7" s="35">
        <f t="shared" si="1"/>
        <v>2014.54</v>
      </c>
      <c r="AE7" s="35">
        <f t="shared" si="1"/>
        <v>1947.5399999999997</v>
      </c>
      <c r="AF7" s="35">
        <f t="shared" si="1"/>
        <v>1912.34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46.4</v>
      </c>
      <c r="C11" s="45">
        <v>46.4</v>
      </c>
      <c r="D11" s="45">
        <v>46.4</v>
      </c>
      <c r="E11" s="45">
        <v>46.4</v>
      </c>
      <c r="F11" s="45">
        <v>46.4</v>
      </c>
      <c r="G11" s="45">
        <v>46.4</v>
      </c>
      <c r="H11" s="45">
        <v>46.4</v>
      </c>
      <c r="I11" s="45">
        <v>46.4</v>
      </c>
      <c r="J11" s="45">
        <v>46.4</v>
      </c>
      <c r="K11" s="45">
        <v>46.4</v>
      </c>
      <c r="L11" s="45">
        <v>46.4</v>
      </c>
      <c r="M11" s="45">
        <v>48.9</v>
      </c>
      <c r="N11" s="45">
        <v>48.9</v>
      </c>
      <c r="O11" s="45">
        <v>48.9</v>
      </c>
      <c r="P11" s="45">
        <v>48.9</v>
      </c>
      <c r="Q11" s="45">
        <v>48.9</v>
      </c>
      <c r="R11" s="45">
        <v>48.9</v>
      </c>
      <c r="S11" s="45">
        <v>48.9</v>
      </c>
      <c r="T11" s="45">
        <v>48.9</v>
      </c>
      <c r="U11" s="45">
        <v>48.9</v>
      </c>
      <c r="V11" s="45" t="s">
        <v>20</v>
      </c>
      <c r="W11" s="45">
        <v>48.9</v>
      </c>
      <c r="X11" s="45">
        <v>48.9</v>
      </c>
      <c r="Y11" s="45">
        <v>48.9</v>
      </c>
      <c r="Z11" s="45">
        <v>48.9</v>
      </c>
      <c r="AA11" s="45">
        <v>48.9</v>
      </c>
      <c r="AB11" s="45">
        <v>42</v>
      </c>
      <c r="AC11" s="45">
        <v>42</v>
      </c>
      <c r="AD11" s="45">
        <v>42</v>
      </c>
      <c r="AE11" s="45">
        <v>43.7</v>
      </c>
      <c r="AF11" s="45">
        <v>36.700000000000003</v>
      </c>
      <c r="AG11" s="46">
        <v>86</v>
      </c>
      <c r="AH11" s="47">
        <f t="shared" ref="AH11:AH76" si="2">MAX(B11:AF11)</f>
        <v>48.9</v>
      </c>
      <c r="AI11" s="48">
        <f t="shared" ref="AI11:AI76" si="3">MIN(B11:AF11)</f>
        <v>36.700000000000003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 t="s">
        <v>22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9">
        <v>54</v>
      </c>
      <c r="AH12" s="47">
        <f t="shared" si="2"/>
        <v>0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</v>
      </c>
      <c r="C13" s="45">
        <v>54</v>
      </c>
      <c r="D13" s="45">
        <v>54</v>
      </c>
      <c r="E13" s="45">
        <v>54</v>
      </c>
      <c r="F13" s="45">
        <v>54</v>
      </c>
      <c r="G13" s="45">
        <v>54</v>
      </c>
      <c r="H13" s="45">
        <v>54</v>
      </c>
      <c r="I13" s="45">
        <v>54</v>
      </c>
      <c r="J13" s="45">
        <v>54</v>
      </c>
      <c r="K13" s="45">
        <v>54</v>
      </c>
      <c r="L13" s="45">
        <v>54</v>
      </c>
      <c r="M13" s="45">
        <v>49</v>
      </c>
      <c r="N13" s="45">
        <v>49</v>
      </c>
      <c r="O13" s="45">
        <v>49</v>
      </c>
      <c r="P13" s="45">
        <v>30</v>
      </c>
      <c r="Q13" s="45">
        <v>30</v>
      </c>
      <c r="R13" s="45">
        <v>30</v>
      </c>
      <c r="S13" s="45">
        <v>30</v>
      </c>
      <c r="T13" s="45">
        <v>30</v>
      </c>
      <c r="U13" s="45">
        <v>30</v>
      </c>
      <c r="V13" s="45" t="s">
        <v>20</v>
      </c>
      <c r="W13" s="45">
        <v>30</v>
      </c>
      <c r="X13" s="45">
        <v>30</v>
      </c>
      <c r="Y13" s="45">
        <v>30</v>
      </c>
      <c r="Z13" s="45">
        <v>38</v>
      </c>
      <c r="AA13" s="45">
        <v>54</v>
      </c>
      <c r="AB13" s="45">
        <v>45</v>
      </c>
      <c r="AC13" s="45">
        <v>45</v>
      </c>
      <c r="AD13" s="45">
        <v>45</v>
      </c>
      <c r="AE13" s="45">
        <v>42.3</v>
      </c>
      <c r="AF13" s="45">
        <v>43.6</v>
      </c>
      <c r="AG13" s="46">
        <v>52.4</v>
      </c>
      <c r="AH13" s="47">
        <f t="shared" si="2"/>
        <v>54</v>
      </c>
      <c r="AI13" s="48">
        <f t="shared" si="3"/>
        <v>30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50.6</v>
      </c>
      <c r="C14" s="50">
        <v>50.6</v>
      </c>
      <c r="D14" s="50">
        <v>50.6</v>
      </c>
      <c r="E14" s="50">
        <v>50.6</v>
      </c>
      <c r="F14" s="50">
        <v>50.6</v>
      </c>
      <c r="G14" s="50">
        <v>50.6</v>
      </c>
      <c r="H14" s="50">
        <v>50.6</v>
      </c>
      <c r="I14" s="50">
        <v>50.6</v>
      </c>
      <c r="J14" s="50">
        <v>50.6</v>
      </c>
      <c r="K14" s="50">
        <v>50.6</v>
      </c>
      <c r="L14" s="50">
        <v>50.6</v>
      </c>
      <c r="M14" s="50">
        <v>50.6</v>
      </c>
      <c r="N14" s="50">
        <v>50.6</v>
      </c>
      <c r="O14" s="50">
        <v>50.6</v>
      </c>
      <c r="P14" s="50">
        <v>50.6</v>
      </c>
      <c r="Q14" s="50">
        <v>50.6</v>
      </c>
      <c r="R14" s="50">
        <v>50.6</v>
      </c>
      <c r="S14" s="50">
        <v>50.6</v>
      </c>
      <c r="T14" s="50">
        <v>50.6</v>
      </c>
      <c r="U14" s="50">
        <v>50.6</v>
      </c>
      <c r="V14" s="50" t="s">
        <v>25</v>
      </c>
      <c r="W14" s="50">
        <v>50.6</v>
      </c>
      <c r="X14" s="50">
        <v>50.6</v>
      </c>
      <c r="Y14" s="50">
        <v>50.6</v>
      </c>
      <c r="Z14" s="50">
        <v>50.6</v>
      </c>
      <c r="AA14" s="45">
        <v>50.5</v>
      </c>
      <c r="AB14" s="45">
        <v>50.5</v>
      </c>
      <c r="AC14" s="45">
        <v>50.5</v>
      </c>
      <c r="AD14" s="45">
        <v>50.5</v>
      </c>
      <c r="AE14" s="45">
        <v>50.4</v>
      </c>
      <c r="AF14" s="45">
        <v>50.5</v>
      </c>
      <c r="AG14" s="49">
        <v>50</v>
      </c>
      <c r="AH14" s="47">
        <f t="shared" si="2"/>
        <v>50.6</v>
      </c>
      <c r="AI14" s="48">
        <f t="shared" si="3"/>
        <v>50.4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45.9</v>
      </c>
      <c r="C15" s="45">
        <v>45.9</v>
      </c>
      <c r="D15" s="45">
        <v>45.9</v>
      </c>
      <c r="E15" s="45">
        <v>45.9</v>
      </c>
      <c r="F15" s="45">
        <v>45.9</v>
      </c>
      <c r="G15" s="45">
        <v>45.9</v>
      </c>
      <c r="H15" s="45">
        <v>45.9</v>
      </c>
      <c r="I15" s="45">
        <v>45.9</v>
      </c>
      <c r="J15" s="45">
        <v>45.9</v>
      </c>
      <c r="K15" s="45">
        <v>45.9</v>
      </c>
      <c r="L15" s="45">
        <v>45.9</v>
      </c>
      <c r="M15" s="45">
        <v>45.9</v>
      </c>
      <c r="N15" s="45">
        <v>45.9</v>
      </c>
      <c r="O15" s="45">
        <v>45.9</v>
      </c>
      <c r="P15" s="45">
        <v>45.9</v>
      </c>
      <c r="Q15" s="45">
        <v>45.9</v>
      </c>
      <c r="R15" s="45">
        <v>45.9</v>
      </c>
      <c r="S15" s="45">
        <v>45.9</v>
      </c>
      <c r="T15" s="45">
        <v>45.9</v>
      </c>
      <c r="U15" s="45">
        <v>45.9</v>
      </c>
      <c r="V15" s="45" t="s">
        <v>27</v>
      </c>
      <c r="W15" s="45">
        <v>45.9</v>
      </c>
      <c r="X15" s="45">
        <v>45.9</v>
      </c>
      <c r="Y15" s="45">
        <v>45.9</v>
      </c>
      <c r="Z15" s="45">
        <v>45.9</v>
      </c>
      <c r="AA15" s="45">
        <v>46</v>
      </c>
      <c r="AB15" s="45">
        <v>46</v>
      </c>
      <c r="AC15" s="45">
        <v>46</v>
      </c>
      <c r="AD15" s="45">
        <v>46</v>
      </c>
      <c r="AE15" s="45">
        <v>46.1</v>
      </c>
      <c r="AF15" s="45">
        <v>46</v>
      </c>
      <c r="AG15" s="49">
        <v>45</v>
      </c>
      <c r="AH15" s="47">
        <f t="shared" si="2"/>
        <v>46.1</v>
      </c>
      <c r="AI15" s="48">
        <f t="shared" si="3"/>
        <v>45.9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42</v>
      </c>
      <c r="C16" s="45">
        <v>42</v>
      </c>
      <c r="D16" s="45">
        <v>42</v>
      </c>
      <c r="E16" s="45">
        <v>42</v>
      </c>
      <c r="F16" s="45">
        <v>42</v>
      </c>
      <c r="G16" s="45">
        <v>42</v>
      </c>
      <c r="H16" s="45">
        <v>42</v>
      </c>
      <c r="I16" s="45">
        <v>42</v>
      </c>
      <c r="J16" s="45">
        <v>42</v>
      </c>
      <c r="K16" s="45">
        <v>42</v>
      </c>
      <c r="L16" s="45">
        <v>42</v>
      </c>
      <c r="M16" s="45">
        <v>42</v>
      </c>
      <c r="N16" s="45">
        <v>42</v>
      </c>
      <c r="O16" s="45">
        <v>42</v>
      </c>
      <c r="P16" s="45">
        <v>42</v>
      </c>
      <c r="Q16" s="45">
        <v>42</v>
      </c>
      <c r="R16" s="45">
        <v>42</v>
      </c>
      <c r="S16" s="45">
        <v>42</v>
      </c>
      <c r="T16" s="45">
        <v>42</v>
      </c>
      <c r="U16" s="45">
        <v>42</v>
      </c>
      <c r="V16" s="45" t="s">
        <v>29</v>
      </c>
      <c r="W16" s="45">
        <v>42</v>
      </c>
      <c r="X16" s="45">
        <v>42</v>
      </c>
      <c r="Y16" s="45">
        <v>42</v>
      </c>
      <c r="Z16" s="45">
        <v>42</v>
      </c>
      <c r="AA16" s="45">
        <v>42</v>
      </c>
      <c r="AB16" s="45">
        <v>42</v>
      </c>
      <c r="AC16" s="45">
        <v>42</v>
      </c>
      <c r="AD16" s="45">
        <v>42</v>
      </c>
      <c r="AE16" s="45">
        <v>42</v>
      </c>
      <c r="AF16" s="45">
        <v>42</v>
      </c>
      <c r="AG16" s="49">
        <v>44</v>
      </c>
      <c r="AH16" s="47">
        <f>MAX(B16:AG16)</f>
        <v>44</v>
      </c>
      <c r="AI16" s="48">
        <f>MIN(B16:AG16)</f>
        <v>42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29</v>
      </c>
      <c r="C17" s="45">
        <v>29</v>
      </c>
      <c r="D17" s="45">
        <v>29</v>
      </c>
      <c r="E17" s="45">
        <v>27</v>
      </c>
      <c r="F17" s="45">
        <v>27</v>
      </c>
      <c r="G17" s="45">
        <v>27</v>
      </c>
      <c r="H17" s="45">
        <v>27</v>
      </c>
      <c r="I17" s="45">
        <v>27</v>
      </c>
      <c r="J17" s="45">
        <v>27</v>
      </c>
      <c r="K17" s="45">
        <v>27</v>
      </c>
      <c r="L17" s="45">
        <v>27</v>
      </c>
      <c r="M17" s="45">
        <v>35</v>
      </c>
      <c r="N17" s="45">
        <v>35</v>
      </c>
      <c r="O17" s="45">
        <v>35</v>
      </c>
      <c r="P17" s="45">
        <v>35</v>
      </c>
      <c r="Q17" s="45">
        <v>35</v>
      </c>
      <c r="R17" s="45">
        <v>35</v>
      </c>
      <c r="S17" s="45">
        <v>35</v>
      </c>
      <c r="T17" s="45">
        <v>35</v>
      </c>
      <c r="U17" s="45">
        <v>35</v>
      </c>
      <c r="V17" s="45"/>
      <c r="W17" s="45">
        <v>35</v>
      </c>
      <c r="X17" s="45">
        <v>35</v>
      </c>
      <c r="Y17" s="45">
        <v>35</v>
      </c>
      <c r="Z17" s="45">
        <v>35</v>
      </c>
      <c r="AA17" s="45">
        <v>35.5</v>
      </c>
      <c r="AB17" s="45">
        <v>31</v>
      </c>
      <c r="AC17" s="45">
        <v>31</v>
      </c>
      <c r="AD17" s="45">
        <v>31</v>
      </c>
      <c r="AE17" s="45">
        <v>31</v>
      </c>
      <c r="AF17" s="45">
        <v>31</v>
      </c>
      <c r="AG17" s="49">
        <v>42</v>
      </c>
      <c r="AH17" s="47">
        <f t="shared" si="2"/>
        <v>35.5</v>
      </c>
      <c r="AI17" s="48">
        <f t="shared" si="3"/>
        <v>27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36</v>
      </c>
      <c r="C18" s="45">
        <v>36</v>
      </c>
      <c r="D18" s="45">
        <v>36</v>
      </c>
      <c r="E18" s="45">
        <v>36</v>
      </c>
      <c r="F18" s="45">
        <v>36</v>
      </c>
      <c r="G18" s="45">
        <v>36</v>
      </c>
      <c r="H18" s="45">
        <v>36</v>
      </c>
      <c r="I18" s="45">
        <v>36</v>
      </c>
      <c r="J18" s="45">
        <v>0</v>
      </c>
      <c r="K18" s="45">
        <v>0</v>
      </c>
      <c r="L18" s="45">
        <v>0</v>
      </c>
      <c r="M18" s="45">
        <v>0</v>
      </c>
      <c r="N18" s="45">
        <v>0</v>
      </c>
      <c r="O18" s="45">
        <v>36</v>
      </c>
      <c r="P18" s="45">
        <v>36</v>
      </c>
      <c r="Q18" s="45">
        <v>36</v>
      </c>
      <c r="R18" s="45">
        <v>36</v>
      </c>
      <c r="S18" s="45">
        <v>36</v>
      </c>
      <c r="T18" s="45">
        <v>36</v>
      </c>
      <c r="U18" s="45">
        <v>36</v>
      </c>
      <c r="V18" s="45"/>
      <c r="W18" s="45">
        <v>36</v>
      </c>
      <c r="X18" s="45">
        <v>36</v>
      </c>
      <c r="Y18" s="45">
        <v>36</v>
      </c>
      <c r="Z18" s="45">
        <v>36</v>
      </c>
      <c r="AA18" s="45">
        <v>36</v>
      </c>
      <c r="AB18" s="45">
        <v>36</v>
      </c>
      <c r="AC18" s="45">
        <v>36</v>
      </c>
      <c r="AD18" s="45">
        <v>36</v>
      </c>
      <c r="AE18" s="45">
        <v>36</v>
      </c>
      <c r="AF18" s="45">
        <v>36</v>
      </c>
      <c r="AG18" s="49">
        <v>38.46</v>
      </c>
      <c r="AH18" s="47">
        <f t="shared" si="2"/>
        <v>36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 t="s">
        <v>267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49">
        <v>36</v>
      </c>
      <c r="AH19" s="47">
        <f t="shared" si="2"/>
        <v>25</v>
      </c>
      <c r="AI19" s="48">
        <f t="shared" si="3"/>
        <v>25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20</v>
      </c>
      <c r="C20" s="45">
        <v>20</v>
      </c>
      <c r="D20" s="45">
        <v>20</v>
      </c>
      <c r="E20" s="45">
        <v>20</v>
      </c>
      <c r="F20" s="45">
        <v>5</v>
      </c>
      <c r="G20" s="45">
        <v>15</v>
      </c>
      <c r="H20" s="45">
        <v>24</v>
      </c>
      <c r="I20" s="45">
        <v>24</v>
      </c>
      <c r="J20" s="45">
        <v>24</v>
      </c>
      <c r="K20" s="45">
        <v>24</v>
      </c>
      <c r="L20" s="45">
        <v>30</v>
      </c>
      <c r="M20" s="45">
        <v>29</v>
      </c>
      <c r="N20" s="45">
        <v>29</v>
      </c>
      <c r="O20" s="45">
        <v>29</v>
      </c>
      <c r="P20" s="45">
        <v>20</v>
      </c>
      <c r="Q20" s="45">
        <v>20</v>
      </c>
      <c r="R20" s="45">
        <v>20</v>
      </c>
      <c r="S20" s="45">
        <v>20</v>
      </c>
      <c r="T20" s="45">
        <v>20</v>
      </c>
      <c r="U20" s="45">
        <v>20</v>
      </c>
      <c r="V20" s="45" t="s">
        <v>269</v>
      </c>
      <c r="W20" s="45">
        <v>20</v>
      </c>
      <c r="X20" s="45">
        <v>20</v>
      </c>
      <c r="Y20" s="45">
        <v>20</v>
      </c>
      <c r="Z20" s="45">
        <v>20</v>
      </c>
      <c r="AA20" s="45">
        <v>25</v>
      </c>
      <c r="AB20" s="45">
        <v>25</v>
      </c>
      <c r="AC20" s="45">
        <v>25</v>
      </c>
      <c r="AD20" s="45">
        <v>25</v>
      </c>
      <c r="AE20" s="45">
        <v>20.8</v>
      </c>
      <c r="AF20" s="45">
        <v>20.7</v>
      </c>
      <c r="AG20" s="51">
        <v>30</v>
      </c>
      <c r="AH20" s="47">
        <f t="shared" si="2"/>
        <v>30</v>
      </c>
      <c r="AI20" s="48">
        <f t="shared" si="3"/>
        <v>5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</v>
      </c>
      <c r="C21" s="45">
        <v>20</v>
      </c>
      <c r="D21" s="45">
        <v>20</v>
      </c>
      <c r="E21" s="45">
        <v>20</v>
      </c>
      <c r="F21" s="45">
        <v>20</v>
      </c>
      <c r="G21" s="45">
        <v>20</v>
      </c>
      <c r="H21" s="45">
        <v>20</v>
      </c>
      <c r="I21" s="45">
        <v>20</v>
      </c>
      <c r="J21" s="45">
        <v>20</v>
      </c>
      <c r="K21" s="45">
        <v>20</v>
      </c>
      <c r="L21" s="45">
        <v>20</v>
      </c>
      <c r="M21" s="45">
        <v>20</v>
      </c>
      <c r="N21" s="45">
        <v>20</v>
      </c>
      <c r="O21" s="45">
        <v>29</v>
      </c>
      <c r="P21" s="45">
        <v>29</v>
      </c>
      <c r="Q21" s="45">
        <v>29</v>
      </c>
      <c r="R21" s="45">
        <v>29</v>
      </c>
      <c r="S21" s="45">
        <v>29</v>
      </c>
      <c r="T21" s="45">
        <v>29</v>
      </c>
      <c r="U21" s="45">
        <v>29</v>
      </c>
      <c r="V21" s="45" t="s">
        <v>20</v>
      </c>
      <c r="W21" s="45">
        <v>29</v>
      </c>
      <c r="X21" s="45">
        <v>29</v>
      </c>
      <c r="Y21" s="45">
        <v>29</v>
      </c>
      <c r="Z21" s="45">
        <v>29</v>
      </c>
      <c r="AA21" s="45">
        <v>20.5</v>
      </c>
      <c r="AB21" s="45">
        <v>20.5</v>
      </c>
      <c r="AC21" s="45">
        <v>20.5</v>
      </c>
      <c r="AD21" s="45">
        <v>20.5</v>
      </c>
      <c r="AE21" s="45">
        <v>20.5</v>
      </c>
      <c r="AF21" s="45">
        <v>20.5</v>
      </c>
      <c r="AG21" s="49">
        <v>24.2</v>
      </c>
      <c r="AH21" s="47">
        <f t="shared" si="2"/>
        <v>29</v>
      </c>
      <c r="AI21" s="48">
        <f t="shared" si="3"/>
        <v>20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28</v>
      </c>
      <c r="P22" s="45">
        <v>28</v>
      </c>
      <c r="Q22" s="45">
        <v>28</v>
      </c>
      <c r="R22" s="45">
        <v>28</v>
      </c>
      <c r="S22" s="45">
        <v>28</v>
      </c>
      <c r="T22" s="45">
        <v>28</v>
      </c>
      <c r="U22" s="45">
        <v>28</v>
      </c>
      <c r="V22" s="45" t="s">
        <v>25</v>
      </c>
      <c r="W22" s="45">
        <v>28</v>
      </c>
      <c r="X22" s="45">
        <v>28</v>
      </c>
      <c r="Y22" s="45">
        <v>28</v>
      </c>
      <c r="Z22" s="45">
        <v>28</v>
      </c>
      <c r="AA22" s="45">
        <v>28</v>
      </c>
      <c r="AB22" s="45">
        <v>21</v>
      </c>
      <c r="AC22" s="45">
        <v>21</v>
      </c>
      <c r="AD22" s="45">
        <v>21</v>
      </c>
      <c r="AE22" s="45">
        <v>21</v>
      </c>
      <c r="AF22" s="45">
        <v>21</v>
      </c>
      <c r="AG22" s="49">
        <v>28</v>
      </c>
      <c r="AH22" s="47">
        <f t="shared" si="2"/>
        <v>28</v>
      </c>
      <c r="AI22" s="48">
        <f t="shared" si="3"/>
        <v>20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9</v>
      </c>
      <c r="D23" s="45">
        <v>9</v>
      </c>
      <c r="E23" s="45">
        <v>9</v>
      </c>
      <c r="F23" s="45">
        <v>4.5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 t="s">
        <v>36</v>
      </c>
      <c r="W23" s="45">
        <v>9</v>
      </c>
      <c r="X23" s="45">
        <v>9</v>
      </c>
      <c r="Y23" s="45">
        <v>9</v>
      </c>
      <c r="Z23" s="45">
        <v>9</v>
      </c>
      <c r="AA23" s="45">
        <v>15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15</v>
      </c>
      <c r="AI23" s="48">
        <f t="shared" si="3"/>
        <v>4.5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24.3</v>
      </c>
      <c r="C24" s="45">
        <v>24.3</v>
      </c>
      <c r="D24" s="45">
        <v>24.3</v>
      </c>
      <c r="E24" s="45">
        <v>24.3</v>
      </c>
      <c r="F24" s="45">
        <v>24.3</v>
      </c>
      <c r="G24" s="45">
        <v>24.3</v>
      </c>
      <c r="H24" s="45">
        <v>24.3</v>
      </c>
      <c r="I24" s="45">
        <v>24.3</v>
      </c>
      <c r="J24" s="45">
        <v>24.3</v>
      </c>
      <c r="K24" s="45">
        <v>24.3</v>
      </c>
      <c r="L24" s="45">
        <v>24.3</v>
      </c>
      <c r="M24" s="45">
        <v>25</v>
      </c>
      <c r="N24" s="45">
        <v>25</v>
      </c>
      <c r="O24" s="45">
        <v>25</v>
      </c>
      <c r="P24" s="45">
        <v>25</v>
      </c>
      <c r="Q24" s="45">
        <v>25</v>
      </c>
      <c r="R24" s="45">
        <v>25</v>
      </c>
      <c r="S24" s="45">
        <v>25</v>
      </c>
      <c r="T24" s="45">
        <v>25</v>
      </c>
      <c r="U24" s="45">
        <v>25</v>
      </c>
      <c r="V24" s="45" t="s">
        <v>38</v>
      </c>
      <c r="W24" s="45">
        <v>25</v>
      </c>
      <c r="X24" s="45">
        <v>25</v>
      </c>
      <c r="Y24" s="45">
        <v>25</v>
      </c>
      <c r="Z24" s="45">
        <v>25</v>
      </c>
      <c r="AA24" s="45">
        <v>25</v>
      </c>
      <c r="AB24" s="45">
        <v>25</v>
      </c>
      <c r="AC24" s="45">
        <v>25</v>
      </c>
      <c r="AD24" s="45">
        <v>25</v>
      </c>
      <c r="AE24" s="45">
        <v>26.1</v>
      </c>
      <c r="AF24" s="45">
        <v>26.1</v>
      </c>
      <c r="AG24" s="49">
        <v>25</v>
      </c>
      <c r="AH24" s="47">
        <f t="shared" si="2"/>
        <v>26.1</v>
      </c>
      <c r="AI24" s="48">
        <f t="shared" si="3"/>
        <v>24.3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 t="s">
        <v>40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/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18</v>
      </c>
      <c r="C27" s="45">
        <v>18</v>
      </c>
      <c r="D27" s="45">
        <v>18</v>
      </c>
      <c r="E27" s="45">
        <v>18</v>
      </c>
      <c r="F27" s="45">
        <v>5</v>
      </c>
      <c r="G27" s="45">
        <v>12.5</v>
      </c>
      <c r="H27" s="45">
        <v>20</v>
      </c>
      <c r="I27" s="45">
        <v>20</v>
      </c>
      <c r="J27" s="45">
        <v>20</v>
      </c>
      <c r="K27" s="45">
        <v>20</v>
      </c>
      <c r="L27" s="45">
        <v>25</v>
      </c>
      <c r="M27" s="45">
        <v>16</v>
      </c>
      <c r="N27" s="45">
        <v>16</v>
      </c>
      <c r="O27" s="45">
        <v>16</v>
      </c>
      <c r="P27" s="45">
        <v>16</v>
      </c>
      <c r="Q27" s="45">
        <v>16</v>
      </c>
      <c r="R27" s="45">
        <v>16</v>
      </c>
      <c r="S27" s="45">
        <v>16</v>
      </c>
      <c r="T27" s="45">
        <v>16</v>
      </c>
      <c r="U27" s="45">
        <v>16</v>
      </c>
      <c r="V27" s="45"/>
      <c r="W27" s="45">
        <v>16</v>
      </c>
      <c r="X27" s="45">
        <v>16</v>
      </c>
      <c r="Y27" s="45">
        <v>16</v>
      </c>
      <c r="Z27" s="45">
        <v>16</v>
      </c>
      <c r="AA27" s="45">
        <v>16</v>
      </c>
      <c r="AB27" s="45">
        <v>25</v>
      </c>
      <c r="AC27" s="45">
        <v>25</v>
      </c>
      <c r="AD27" s="45">
        <v>25</v>
      </c>
      <c r="AE27" s="45">
        <v>25</v>
      </c>
      <c r="AF27" s="45">
        <v>15</v>
      </c>
      <c r="AG27" s="49">
        <v>25</v>
      </c>
      <c r="AH27" s="47">
        <f t="shared" si="2"/>
        <v>25</v>
      </c>
      <c r="AI27" s="48">
        <f t="shared" si="3"/>
        <v>5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15.4</v>
      </c>
      <c r="C28" s="45">
        <v>15.4</v>
      </c>
      <c r="D28" s="45">
        <v>15.4</v>
      </c>
      <c r="E28" s="45">
        <v>15.4</v>
      </c>
      <c r="F28" s="45">
        <v>15.4</v>
      </c>
      <c r="G28" s="45">
        <v>15.4</v>
      </c>
      <c r="H28" s="45">
        <v>15.4</v>
      </c>
      <c r="I28" s="45">
        <v>15.4</v>
      </c>
      <c r="J28" s="45">
        <v>15.4</v>
      </c>
      <c r="K28" s="45">
        <v>15.4</v>
      </c>
      <c r="L28" s="45">
        <v>15.4</v>
      </c>
      <c r="M28" s="45">
        <v>15.4</v>
      </c>
      <c r="N28" s="45">
        <v>15.4</v>
      </c>
      <c r="O28" s="45">
        <v>15.4</v>
      </c>
      <c r="P28" s="45">
        <v>15.4</v>
      </c>
      <c r="Q28" s="45">
        <v>15.4</v>
      </c>
      <c r="R28" s="45">
        <v>15.4</v>
      </c>
      <c r="S28" s="45">
        <v>15.4</v>
      </c>
      <c r="T28" s="45">
        <v>15.4</v>
      </c>
      <c r="U28" s="45">
        <v>15.4</v>
      </c>
      <c r="V28" s="45"/>
      <c r="W28" s="45">
        <v>15.4</v>
      </c>
      <c r="X28" s="45">
        <v>15.4</v>
      </c>
      <c r="Y28" s="45">
        <v>15.4</v>
      </c>
      <c r="Z28" s="45">
        <v>15.4</v>
      </c>
      <c r="AA28" s="45">
        <v>15.4</v>
      </c>
      <c r="AB28" s="45">
        <v>12</v>
      </c>
      <c r="AC28" s="45">
        <v>15.4</v>
      </c>
      <c r="AD28" s="45">
        <v>15.4</v>
      </c>
      <c r="AE28" s="45">
        <v>15.4</v>
      </c>
      <c r="AF28" s="45">
        <v>12.1</v>
      </c>
      <c r="AG28" s="49">
        <v>23.5</v>
      </c>
      <c r="AH28" s="47">
        <f t="shared" si="2"/>
        <v>15.4</v>
      </c>
      <c r="AI28" s="48">
        <f t="shared" si="3"/>
        <v>12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20</v>
      </c>
      <c r="C29" s="45">
        <v>20</v>
      </c>
      <c r="D29" s="45">
        <v>20</v>
      </c>
      <c r="E29" s="45">
        <v>20</v>
      </c>
      <c r="F29" s="45">
        <v>20</v>
      </c>
      <c r="G29" s="45">
        <v>20</v>
      </c>
      <c r="H29" s="45">
        <v>20</v>
      </c>
      <c r="I29" s="45">
        <v>20</v>
      </c>
      <c r="J29" s="45">
        <v>20</v>
      </c>
      <c r="K29" s="45">
        <v>20</v>
      </c>
      <c r="L29" s="45">
        <v>20</v>
      </c>
      <c r="M29" s="45">
        <v>20</v>
      </c>
      <c r="N29" s="45">
        <v>20</v>
      </c>
      <c r="O29" s="45">
        <v>20</v>
      </c>
      <c r="P29" s="45">
        <v>20</v>
      </c>
      <c r="Q29" s="45">
        <v>20</v>
      </c>
      <c r="R29" s="45">
        <v>20</v>
      </c>
      <c r="S29" s="45">
        <v>20</v>
      </c>
      <c r="T29" s="45">
        <v>20</v>
      </c>
      <c r="U29" s="45">
        <v>20</v>
      </c>
      <c r="V29" s="45"/>
      <c r="W29" s="45">
        <v>20</v>
      </c>
      <c r="X29" s="45">
        <v>20</v>
      </c>
      <c r="Y29" s="45">
        <v>20</v>
      </c>
      <c r="Z29" s="45">
        <v>20</v>
      </c>
      <c r="AA29" s="45">
        <v>20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9">
        <v>22.2</v>
      </c>
      <c r="AH29" s="47">
        <f t="shared" si="2"/>
        <v>20</v>
      </c>
      <c r="AI29" s="48">
        <f t="shared" si="3"/>
        <v>0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/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/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19</v>
      </c>
      <c r="C32" s="45">
        <v>19</v>
      </c>
      <c r="D32" s="45">
        <v>19</v>
      </c>
      <c r="E32" s="45">
        <v>19</v>
      </c>
      <c r="F32" s="45">
        <v>19</v>
      </c>
      <c r="G32" s="45">
        <v>19</v>
      </c>
      <c r="H32" s="45">
        <v>19</v>
      </c>
      <c r="I32" s="45">
        <v>19</v>
      </c>
      <c r="J32" s="45">
        <v>19</v>
      </c>
      <c r="K32" s="45">
        <v>19</v>
      </c>
      <c r="L32" s="45">
        <v>19</v>
      </c>
      <c r="M32" s="45">
        <v>15</v>
      </c>
      <c r="N32" s="45">
        <v>15</v>
      </c>
      <c r="O32" s="45">
        <v>15</v>
      </c>
      <c r="P32" s="45">
        <v>12</v>
      </c>
      <c r="Q32" s="45">
        <v>12</v>
      </c>
      <c r="R32" s="45">
        <v>12</v>
      </c>
      <c r="S32" s="45">
        <v>12</v>
      </c>
      <c r="T32" s="45">
        <v>12</v>
      </c>
      <c r="U32" s="45">
        <v>12</v>
      </c>
      <c r="V32" s="45"/>
      <c r="W32" s="45">
        <v>12</v>
      </c>
      <c r="X32" s="45">
        <v>12</v>
      </c>
      <c r="Y32" s="45">
        <v>12</v>
      </c>
      <c r="Z32" s="45">
        <v>12</v>
      </c>
      <c r="AA32" s="45">
        <v>16.8</v>
      </c>
      <c r="AB32" s="45">
        <v>16.8</v>
      </c>
      <c r="AC32" s="45">
        <v>16.8</v>
      </c>
      <c r="AD32" s="45">
        <v>16.8</v>
      </c>
      <c r="AE32" s="45">
        <v>16.8</v>
      </c>
      <c r="AF32" s="45">
        <v>16.8</v>
      </c>
      <c r="AG32" s="49">
        <v>22</v>
      </c>
      <c r="AH32" s="47">
        <f t="shared" si="2"/>
        <v>19</v>
      </c>
      <c r="AI32" s="48">
        <f t="shared" si="3"/>
        <v>12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4</v>
      </c>
      <c r="J33" s="45">
        <v>4</v>
      </c>
      <c r="K33" s="45">
        <v>4</v>
      </c>
      <c r="L33" s="45">
        <v>4</v>
      </c>
      <c r="M33" s="45">
        <v>10</v>
      </c>
      <c r="N33" s="45">
        <v>10</v>
      </c>
      <c r="O33" s="45">
        <v>10</v>
      </c>
      <c r="P33" s="45">
        <v>10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/>
      <c r="W33" s="45">
        <v>10</v>
      </c>
      <c r="X33" s="45">
        <v>10</v>
      </c>
      <c r="Y33" s="45">
        <v>10</v>
      </c>
      <c r="Z33" s="45">
        <v>10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49">
        <v>20</v>
      </c>
      <c r="AH33" s="47">
        <f t="shared" si="2"/>
        <v>10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10</v>
      </c>
      <c r="C34" s="45">
        <v>10</v>
      </c>
      <c r="D34" s="45">
        <v>10</v>
      </c>
      <c r="E34" s="45">
        <v>10</v>
      </c>
      <c r="F34" s="45">
        <v>10</v>
      </c>
      <c r="G34" s="45">
        <v>10</v>
      </c>
      <c r="H34" s="45">
        <v>10</v>
      </c>
      <c r="I34" s="45">
        <v>10</v>
      </c>
      <c r="J34" s="45">
        <v>10</v>
      </c>
      <c r="K34" s="45">
        <v>10</v>
      </c>
      <c r="L34" s="45">
        <v>10</v>
      </c>
      <c r="M34" s="45">
        <v>10</v>
      </c>
      <c r="N34" s="45">
        <v>10</v>
      </c>
      <c r="O34" s="45">
        <v>10</v>
      </c>
      <c r="P34" s="45">
        <v>10</v>
      </c>
      <c r="Q34" s="45">
        <v>10</v>
      </c>
      <c r="R34" s="45">
        <v>10</v>
      </c>
      <c r="S34" s="45">
        <v>10</v>
      </c>
      <c r="T34" s="45">
        <v>10</v>
      </c>
      <c r="U34" s="45">
        <v>10</v>
      </c>
      <c r="V34" s="45"/>
      <c r="W34" s="45">
        <v>10</v>
      </c>
      <c r="X34" s="45">
        <v>10</v>
      </c>
      <c r="Y34" s="45">
        <v>10</v>
      </c>
      <c r="Z34" s="45">
        <v>10</v>
      </c>
      <c r="AA34" s="45">
        <v>12</v>
      </c>
      <c r="AB34" s="45">
        <v>12</v>
      </c>
      <c r="AC34" s="45">
        <v>12</v>
      </c>
      <c r="AD34" s="45">
        <v>12</v>
      </c>
      <c r="AE34" s="45">
        <v>12</v>
      </c>
      <c r="AF34" s="45">
        <v>12</v>
      </c>
      <c r="AG34" s="49">
        <v>18</v>
      </c>
      <c r="AH34" s="47">
        <f t="shared" si="2"/>
        <v>12</v>
      </c>
      <c r="AI34" s="48">
        <f t="shared" si="3"/>
        <v>10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/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/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/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49">
        <v>13.6</v>
      </c>
      <c r="AH37" s="47">
        <f t="shared" si="2"/>
        <v>4</v>
      </c>
      <c r="AI37" s="48">
        <f t="shared" si="3"/>
        <v>4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/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12</v>
      </c>
      <c r="C39" s="45">
        <v>12</v>
      </c>
      <c r="D39" s="45">
        <v>12</v>
      </c>
      <c r="E39" s="45">
        <v>12</v>
      </c>
      <c r="F39" s="45">
        <v>2</v>
      </c>
      <c r="G39" s="45">
        <v>2</v>
      </c>
      <c r="H39" s="45">
        <v>6</v>
      </c>
      <c r="I39" s="45">
        <v>6</v>
      </c>
      <c r="J39" s="45">
        <v>6</v>
      </c>
      <c r="K39" s="45">
        <v>6</v>
      </c>
      <c r="L39" s="45">
        <v>12</v>
      </c>
      <c r="M39" s="45">
        <v>12</v>
      </c>
      <c r="N39" s="45">
        <v>12</v>
      </c>
      <c r="O39" s="45">
        <v>12</v>
      </c>
      <c r="P39" s="45">
        <v>12</v>
      </c>
      <c r="Q39" s="45">
        <v>12</v>
      </c>
      <c r="R39" s="45">
        <v>12</v>
      </c>
      <c r="S39" s="45">
        <v>12</v>
      </c>
      <c r="T39" s="45">
        <v>12</v>
      </c>
      <c r="U39" s="45">
        <v>12</v>
      </c>
      <c r="V39" s="45"/>
      <c r="W39" s="45">
        <v>12</v>
      </c>
      <c r="X39" s="45">
        <v>12</v>
      </c>
      <c r="Y39" s="45">
        <v>12</v>
      </c>
      <c r="Z39" s="45">
        <v>12</v>
      </c>
      <c r="AA39" s="45">
        <v>10</v>
      </c>
      <c r="AB39" s="45">
        <v>10</v>
      </c>
      <c r="AC39" s="45">
        <v>10</v>
      </c>
      <c r="AD39" s="45">
        <v>10</v>
      </c>
      <c r="AE39" s="45">
        <v>10</v>
      </c>
      <c r="AF39" s="45">
        <v>10</v>
      </c>
      <c r="AG39" s="49">
        <v>12</v>
      </c>
      <c r="AH39" s="47">
        <f t="shared" si="2"/>
        <v>12</v>
      </c>
      <c r="AI39" s="48">
        <f t="shared" si="3"/>
        <v>2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2</v>
      </c>
      <c r="C40" s="45">
        <v>2</v>
      </c>
      <c r="D40" s="45">
        <v>2</v>
      </c>
      <c r="E40" s="45">
        <v>2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/>
      <c r="W40" s="45">
        <v>2</v>
      </c>
      <c r="X40" s="45">
        <v>2</v>
      </c>
      <c r="Y40" s="45">
        <v>2</v>
      </c>
      <c r="Z40" s="45">
        <v>2</v>
      </c>
      <c r="AA40" s="45">
        <v>2</v>
      </c>
      <c r="AB40" s="45">
        <v>2</v>
      </c>
      <c r="AC40" s="45">
        <v>2</v>
      </c>
      <c r="AD40" s="45">
        <v>2</v>
      </c>
      <c r="AE40" s="45">
        <v>2</v>
      </c>
      <c r="AF40" s="45">
        <v>2</v>
      </c>
      <c r="AG40" s="49">
        <v>12</v>
      </c>
      <c r="AH40" s="47">
        <f t="shared" si="2"/>
        <v>2</v>
      </c>
      <c r="AI40" s="48">
        <f t="shared" si="3"/>
        <v>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/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49">
        <v>12</v>
      </c>
      <c r="AH41" s="47">
        <f t="shared" si="2"/>
        <v>8</v>
      </c>
      <c r="AI41" s="48">
        <f t="shared" si="3"/>
        <v>8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/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/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/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9.6</v>
      </c>
      <c r="C45" s="45">
        <v>9.6</v>
      </c>
      <c r="D45" s="45">
        <v>9.6</v>
      </c>
      <c r="E45" s="45">
        <v>9.6</v>
      </c>
      <c r="F45" s="45">
        <v>9.6</v>
      </c>
      <c r="G45" s="45">
        <v>9.6</v>
      </c>
      <c r="H45" s="45">
        <v>9.6</v>
      </c>
      <c r="I45" s="45">
        <v>9.6</v>
      </c>
      <c r="J45" s="45">
        <v>9.6</v>
      </c>
      <c r="K45" s="45">
        <v>9.6</v>
      </c>
      <c r="L45" s="45">
        <v>9.6</v>
      </c>
      <c r="M45" s="45">
        <v>9.6</v>
      </c>
      <c r="N45" s="45">
        <v>9.6</v>
      </c>
      <c r="O45" s="45">
        <v>9.6</v>
      </c>
      <c r="P45" s="45">
        <v>9.6</v>
      </c>
      <c r="Q45" s="45">
        <v>9.6</v>
      </c>
      <c r="R45" s="45">
        <v>9.6</v>
      </c>
      <c r="S45" s="45">
        <v>9.6</v>
      </c>
      <c r="T45" s="45">
        <v>9.6</v>
      </c>
      <c r="U45" s="45">
        <v>9.6</v>
      </c>
      <c r="V45" s="45"/>
      <c r="W45" s="45">
        <v>9.6</v>
      </c>
      <c r="X45" s="45">
        <v>9.6</v>
      </c>
      <c r="Y45" s="45">
        <v>9.6</v>
      </c>
      <c r="Z45" s="45">
        <v>9.6</v>
      </c>
      <c r="AA45" s="45">
        <v>9.6</v>
      </c>
      <c r="AB45" s="45">
        <v>9.6</v>
      </c>
      <c r="AC45" s="45">
        <v>9.6</v>
      </c>
      <c r="AD45" s="45">
        <v>9.6</v>
      </c>
      <c r="AE45" s="45">
        <v>9.6</v>
      </c>
      <c r="AF45" s="45">
        <v>9.6</v>
      </c>
      <c r="AG45" s="54">
        <v>10</v>
      </c>
      <c r="AH45" s="47">
        <f t="shared" si="2"/>
        <v>9.6</v>
      </c>
      <c r="AI45" s="48">
        <f t="shared" si="3"/>
        <v>9.6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/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2</v>
      </c>
      <c r="C47" s="45">
        <v>2</v>
      </c>
      <c r="D47" s="45">
        <v>2</v>
      </c>
      <c r="E47" s="45">
        <v>2</v>
      </c>
      <c r="F47" s="45">
        <v>2</v>
      </c>
      <c r="G47" s="45">
        <v>2</v>
      </c>
      <c r="H47" s="45">
        <v>2</v>
      </c>
      <c r="I47" s="45">
        <v>2</v>
      </c>
      <c r="J47" s="45">
        <v>2</v>
      </c>
      <c r="K47" s="45">
        <v>2</v>
      </c>
      <c r="L47" s="45">
        <v>2</v>
      </c>
      <c r="M47" s="45">
        <v>2</v>
      </c>
      <c r="N47" s="45">
        <v>2</v>
      </c>
      <c r="O47" s="45">
        <v>2</v>
      </c>
      <c r="P47" s="45">
        <v>2</v>
      </c>
      <c r="Q47" s="45">
        <v>2</v>
      </c>
      <c r="R47" s="45">
        <v>2</v>
      </c>
      <c r="S47" s="45">
        <v>2</v>
      </c>
      <c r="T47" s="45">
        <v>2</v>
      </c>
      <c r="U47" s="45">
        <v>2</v>
      </c>
      <c r="V47" s="45"/>
      <c r="W47" s="45">
        <v>2</v>
      </c>
      <c r="X47" s="45">
        <v>2</v>
      </c>
      <c r="Y47" s="45">
        <v>2</v>
      </c>
      <c r="Z47" s="45">
        <v>2</v>
      </c>
      <c r="AA47" s="45">
        <v>2</v>
      </c>
      <c r="AB47" s="45">
        <v>2</v>
      </c>
      <c r="AC47" s="45">
        <v>2</v>
      </c>
      <c r="AD47" s="45">
        <v>2</v>
      </c>
      <c r="AE47" s="45">
        <v>2</v>
      </c>
      <c r="AF47" s="45">
        <v>2</v>
      </c>
      <c r="AG47" s="54">
        <v>10</v>
      </c>
      <c r="AH47" s="47">
        <f t="shared" si="2"/>
        <v>2</v>
      </c>
      <c r="AI47" s="48">
        <f t="shared" si="3"/>
        <v>2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/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AF50" si="4">SUM(B11:B48)</f>
        <v>888.69999999999993</v>
      </c>
      <c r="C50" s="59">
        <f t="shared" si="4"/>
        <v>888.69999999999993</v>
      </c>
      <c r="D50" s="59">
        <f t="shared" si="4"/>
        <v>888.69999999999993</v>
      </c>
      <c r="E50" s="59">
        <f t="shared" si="4"/>
        <v>886.69999999999993</v>
      </c>
      <c r="F50" s="59">
        <f t="shared" si="4"/>
        <v>844.19999999999993</v>
      </c>
      <c r="G50" s="59">
        <f t="shared" si="4"/>
        <v>866.19999999999993</v>
      </c>
      <c r="H50" s="59">
        <f t="shared" si="4"/>
        <v>886.69999999999993</v>
      </c>
      <c r="I50" s="59">
        <f t="shared" si="4"/>
        <v>890.69999999999993</v>
      </c>
      <c r="J50" s="59">
        <f t="shared" si="4"/>
        <v>829.69999999999993</v>
      </c>
      <c r="K50" s="59">
        <f t="shared" si="4"/>
        <v>829.69999999999993</v>
      </c>
      <c r="L50" s="59">
        <f t="shared" si="4"/>
        <v>846.69999999999993</v>
      </c>
      <c r="M50" s="59">
        <f t="shared" si="4"/>
        <v>844.9</v>
      </c>
      <c r="N50" s="59">
        <f t="shared" si="4"/>
        <v>844.9</v>
      </c>
      <c r="O50" s="59">
        <f t="shared" si="4"/>
        <v>922.9</v>
      </c>
      <c r="P50" s="59">
        <f t="shared" si="4"/>
        <v>891.9</v>
      </c>
      <c r="Q50" s="59">
        <f t="shared" si="4"/>
        <v>891.9</v>
      </c>
      <c r="R50" s="59">
        <f t="shared" si="4"/>
        <v>891.9</v>
      </c>
      <c r="S50" s="59">
        <f t="shared" si="4"/>
        <v>891.9</v>
      </c>
      <c r="T50" s="59">
        <f t="shared" si="4"/>
        <v>891.9</v>
      </c>
      <c r="U50" s="59">
        <f t="shared" si="4"/>
        <v>891.9</v>
      </c>
      <c r="V50" s="59">
        <f t="shared" si="4"/>
        <v>0</v>
      </c>
      <c r="W50" s="59">
        <f t="shared" si="4"/>
        <v>891.9</v>
      </c>
      <c r="X50" s="59">
        <f t="shared" si="4"/>
        <v>891.9</v>
      </c>
      <c r="Y50" s="59">
        <f t="shared" si="4"/>
        <v>891.9</v>
      </c>
      <c r="Z50" s="59">
        <f t="shared" si="4"/>
        <v>899.9</v>
      </c>
      <c r="AA50" s="59">
        <f>SUM(AA11:AA48)</f>
        <v>918.69999999999993</v>
      </c>
      <c r="AB50" s="59">
        <f t="shared" si="4"/>
        <v>870.9</v>
      </c>
      <c r="AC50" s="59">
        <f t="shared" si="4"/>
        <v>874.3</v>
      </c>
      <c r="AD50" s="59">
        <f t="shared" si="4"/>
        <v>874.3</v>
      </c>
      <c r="AE50" s="59">
        <f t="shared" si="4"/>
        <v>870.2</v>
      </c>
      <c r="AF50" s="59">
        <f t="shared" si="4"/>
        <v>851.1</v>
      </c>
      <c r="AG50" s="60">
        <f>SUM(AG13:AG48)</f>
        <v>922.14</v>
      </c>
      <c r="AH50" s="47">
        <f t="shared" si="2"/>
        <v>922.9</v>
      </c>
      <c r="AI50" s="48">
        <f t="shared" si="3"/>
        <v>0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400</v>
      </c>
      <c r="K51" s="45">
        <v>456</v>
      </c>
      <c r="L51" s="45">
        <v>456</v>
      </c>
      <c r="M51" s="45">
        <v>456</v>
      </c>
      <c r="N51" s="62">
        <v>456</v>
      </c>
      <c r="O51" s="62">
        <v>456</v>
      </c>
      <c r="P51" s="62">
        <v>456</v>
      </c>
      <c r="Q51" s="62">
        <v>456</v>
      </c>
      <c r="R51" s="62">
        <v>456</v>
      </c>
      <c r="S51" s="62">
        <v>456</v>
      </c>
      <c r="T51" s="62">
        <v>456</v>
      </c>
      <c r="U51" s="62">
        <v>456</v>
      </c>
      <c r="V51" s="62">
        <v>456</v>
      </c>
      <c r="W51" s="45">
        <v>380</v>
      </c>
      <c r="X51" s="45">
        <v>360</v>
      </c>
      <c r="Y51" s="45">
        <v>360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360</v>
      </c>
      <c r="AK51" s="74"/>
    </row>
    <row r="52" spans="1:41" x14ac:dyDescent="0.25">
      <c r="A52" s="63" t="s">
        <v>68</v>
      </c>
      <c r="B52" s="64">
        <v>50</v>
      </c>
      <c r="C52" s="64">
        <v>50</v>
      </c>
      <c r="D52" s="64">
        <v>50</v>
      </c>
      <c r="E52" s="64">
        <v>50</v>
      </c>
      <c r="F52" s="64">
        <v>50</v>
      </c>
      <c r="G52" s="64">
        <v>50</v>
      </c>
      <c r="H52" s="64">
        <v>50</v>
      </c>
      <c r="I52" s="64">
        <v>50</v>
      </c>
      <c r="J52" s="64">
        <v>50</v>
      </c>
      <c r="K52" s="64">
        <v>50</v>
      </c>
      <c r="L52" s="64">
        <v>50</v>
      </c>
      <c r="M52" s="64">
        <v>50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60</v>
      </c>
      <c r="AC52" s="64">
        <v>60</v>
      </c>
      <c r="AD52" s="64">
        <v>60</v>
      </c>
      <c r="AE52" s="64">
        <v>55</v>
      </c>
      <c r="AF52" s="64">
        <v>55</v>
      </c>
      <c r="AG52" s="54">
        <v>60</v>
      </c>
      <c r="AH52" s="47">
        <f t="shared" si="2"/>
        <v>60</v>
      </c>
      <c r="AI52" s="48">
        <f t="shared" si="3"/>
        <v>50</v>
      </c>
      <c r="AK52" s="74"/>
    </row>
    <row r="53" spans="1:41" ht="15.75" thickBot="1" x14ac:dyDescent="0.3">
      <c r="A53" s="65" t="s">
        <v>69</v>
      </c>
      <c r="B53" s="66">
        <v>22</v>
      </c>
      <c r="C53" s="66">
        <v>22</v>
      </c>
      <c r="D53" s="66">
        <v>22</v>
      </c>
      <c r="E53" s="66">
        <v>22</v>
      </c>
      <c r="F53" s="66">
        <v>22</v>
      </c>
      <c r="G53" s="66">
        <v>22</v>
      </c>
      <c r="H53" s="66">
        <v>22</v>
      </c>
      <c r="I53" s="66">
        <v>22</v>
      </c>
      <c r="J53" s="66">
        <v>22</v>
      </c>
      <c r="K53" s="66">
        <v>22</v>
      </c>
      <c r="L53" s="66">
        <v>22</v>
      </c>
      <c r="M53" s="66">
        <v>22</v>
      </c>
      <c r="N53" s="66">
        <v>22</v>
      </c>
      <c r="O53" s="66">
        <v>22</v>
      </c>
      <c r="P53" s="66">
        <v>22</v>
      </c>
      <c r="Q53" s="66">
        <v>22</v>
      </c>
      <c r="R53" s="66">
        <v>22</v>
      </c>
      <c r="S53" s="66">
        <v>22</v>
      </c>
      <c r="T53" s="66">
        <v>22</v>
      </c>
      <c r="U53" s="66">
        <v>22</v>
      </c>
      <c r="V53" s="66">
        <v>22</v>
      </c>
      <c r="W53" s="66">
        <v>22</v>
      </c>
      <c r="X53" s="66">
        <v>22</v>
      </c>
      <c r="Y53" s="66">
        <v>22</v>
      </c>
      <c r="Z53" s="66">
        <v>22</v>
      </c>
      <c r="AA53" s="66">
        <v>22</v>
      </c>
      <c r="AB53" s="66">
        <v>22</v>
      </c>
      <c r="AC53" s="66">
        <v>22</v>
      </c>
      <c r="AD53" s="66">
        <v>22</v>
      </c>
      <c r="AE53" s="66">
        <v>22.3</v>
      </c>
      <c r="AF53" s="66">
        <v>22.3</v>
      </c>
      <c r="AG53" s="67">
        <v>22.1</v>
      </c>
      <c r="AH53" s="47">
        <f t="shared" si="2"/>
        <v>22.3</v>
      </c>
      <c r="AI53" s="48">
        <f t="shared" si="3"/>
        <v>22</v>
      </c>
      <c r="AK53" s="74"/>
    </row>
    <row r="54" spans="1:41" ht="15.75" thickBot="1" x14ac:dyDescent="0.3">
      <c r="A54" s="68" t="s">
        <v>70</v>
      </c>
      <c r="B54" s="59">
        <f t="shared" ref="B54:AG54" si="5">SUM(B51:B53)</f>
        <v>528</v>
      </c>
      <c r="C54" s="59">
        <f t="shared" si="5"/>
        <v>528</v>
      </c>
      <c r="D54" s="59">
        <f t="shared" si="5"/>
        <v>528</v>
      </c>
      <c r="E54" s="59">
        <f t="shared" si="5"/>
        <v>528</v>
      </c>
      <c r="F54" s="59">
        <f t="shared" si="5"/>
        <v>528</v>
      </c>
      <c r="G54" s="59">
        <f t="shared" si="5"/>
        <v>528</v>
      </c>
      <c r="H54" s="59">
        <f t="shared" si="5"/>
        <v>528</v>
      </c>
      <c r="I54" s="59">
        <f t="shared" si="5"/>
        <v>528</v>
      </c>
      <c r="J54" s="59">
        <f t="shared" si="5"/>
        <v>472</v>
      </c>
      <c r="K54" s="59">
        <f t="shared" si="5"/>
        <v>528</v>
      </c>
      <c r="L54" s="59">
        <f t="shared" si="5"/>
        <v>528</v>
      </c>
      <c r="M54" s="59">
        <f t="shared" si="5"/>
        <v>528</v>
      </c>
      <c r="N54" s="59">
        <f t="shared" si="5"/>
        <v>533</v>
      </c>
      <c r="O54" s="59">
        <f t="shared" si="5"/>
        <v>533</v>
      </c>
      <c r="P54" s="59">
        <f t="shared" si="5"/>
        <v>533</v>
      </c>
      <c r="Q54" s="59">
        <f t="shared" si="5"/>
        <v>533</v>
      </c>
      <c r="R54" s="59">
        <f t="shared" si="5"/>
        <v>533</v>
      </c>
      <c r="S54" s="59">
        <f t="shared" si="5"/>
        <v>533</v>
      </c>
      <c r="T54" s="59">
        <f t="shared" si="5"/>
        <v>533</v>
      </c>
      <c r="U54" s="59">
        <f t="shared" si="5"/>
        <v>533</v>
      </c>
      <c r="V54" s="59">
        <f t="shared" si="5"/>
        <v>533</v>
      </c>
      <c r="W54" s="59">
        <f t="shared" si="5"/>
        <v>457</v>
      </c>
      <c r="X54" s="59">
        <f t="shared" si="5"/>
        <v>437</v>
      </c>
      <c r="Y54" s="59">
        <f t="shared" si="5"/>
        <v>437</v>
      </c>
      <c r="Z54" s="59">
        <f t="shared" si="5"/>
        <v>533</v>
      </c>
      <c r="AA54" s="59">
        <f>SUM(AA51:AA53)</f>
        <v>533</v>
      </c>
      <c r="AB54" s="59">
        <f t="shared" si="5"/>
        <v>538</v>
      </c>
      <c r="AC54" s="59">
        <f t="shared" si="5"/>
        <v>538</v>
      </c>
      <c r="AD54" s="59">
        <f t="shared" si="5"/>
        <v>538</v>
      </c>
      <c r="AE54" s="59">
        <f t="shared" si="5"/>
        <v>533.29999999999995</v>
      </c>
      <c r="AF54" s="59">
        <f t="shared" si="5"/>
        <v>533.29999999999995</v>
      </c>
      <c r="AG54" s="60">
        <f t="shared" si="5"/>
        <v>538.1</v>
      </c>
      <c r="AH54" s="47">
        <f t="shared" si="2"/>
        <v>538</v>
      </c>
      <c r="AI54" s="48">
        <f t="shared" si="3"/>
        <v>437</v>
      </c>
      <c r="AK54" s="74"/>
    </row>
    <row r="55" spans="1:41" x14ac:dyDescent="0.25">
      <c r="A55" s="44" t="s">
        <v>71</v>
      </c>
      <c r="B55" s="45">
        <v>143.5</v>
      </c>
      <c r="C55" s="45">
        <v>143.5</v>
      </c>
      <c r="D55" s="45">
        <v>143.5</v>
      </c>
      <c r="E55" s="45">
        <v>143.5</v>
      </c>
      <c r="F55" s="45">
        <v>144.9</v>
      </c>
      <c r="G55" s="45">
        <v>145</v>
      </c>
      <c r="H55" s="45">
        <v>145.19999999999999</v>
      </c>
      <c r="I55" s="45">
        <v>145.19999999999999</v>
      </c>
      <c r="J55" s="45">
        <v>145.19999999999999</v>
      </c>
      <c r="K55" s="45">
        <v>145.19999999999999</v>
      </c>
      <c r="L55" s="45">
        <v>144.69999999999999</v>
      </c>
      <c r="M55" s="45">
        <v>144</v>
      </c>
      <c r="N55" s="45">
        <v>144</v>
      </c>
      <c r="O55" s="45">
        <v>144.19999999999999</v>
      </c>
      <c r="P55" s="45">
        <v>144.19999999999999</v>
      </c>
      <c r="Q55" s="45">
        <v>139.6</v>
      </c>
      <c r="R55" s="45">
        <v>139.69999999999999</v>
      </c>
      <c r="S55" s="45">
        <v>139.6</v>
      </c>
      <c r="T55" s="45">
        <v>139.80000000000001</v>
      </c>
      <c r="U55" s="45">
        <v>142.1</v>
      </c>
      <c r="V55" s="45"/>
      <c r="W55" s="45">
        <v>133.6</v>
      </c>
      <c r="X55" s="45">
        <v>140</v>
      </c>
      <c r="Y55" s="45">
        <v>138</v>
      </c>
      <c r="Z55" s="45">
        <v>140</v>
      </c>
      <c r="AA55" s="45">
        <v>144.5</v>
      </c>
      <c r="AB55" s="45">
        <v>144.5</v>
      </c>
      <c r="AC55" s="45">
        <v>144.5</v>
      </c>
      <c r="AD55" s="45">
        <v>144.30000000000001</v>
      </c>
      <c r="AE55" s="45">
        <v>144.30000000000001</v>
      </c>
      <c r="AF55" s="45">
        <v>144.30000000000001</v>
      </c>
      <c r="AG55" s="51">
        <v>144</v>
      </c>
      <c r="AH55" s="47">
        <f t="shared" si="2"/>
        <v>145.19999999999999</v>
      </c>
      <c r="AI55" s="48">
        <f t="shared" si="3"/>
        <v>133.6</v>
      </c>
      <c r="AK55" s="74"/>
    </row>
    <row r="56" spans="1:41" x14ac:dyDescent="0.25">
      <c r="A56" s="53" t="s">
        <v>72</v>
      </c>
      <c r="B56" s="64">
        <v>69.5</v>
      </c>
      <c r="C56" s="64">
        <v>69.5</v>
      </c>
      <c r="D56" s="64">
        <v>69.5</v>
      </c>
      <c r="E56" s="64">
        <v>69.5</v>
      </c>
      <c r="F56" s="64">
        <v>69.5</v>
      </c>
      <c r="G56" s="64">
        <v>71</v>
      </c>
      <c r="H56" s="64">
        <v>70.8</v>
      </c>
      <c r="I56" s="64">
        <v>70.8</v>
      </c>
      <c r="J56" s="64">
        <v>70.8</v>
      </c>
      <c r="K56" s="64">
        <v>70.8</v>
      </c>
      <c r="L56" s="64">
        <v>70.599999999999994</v>
      </c>
      <c r="M56" s="64">
        <v>70.599999999999994</v>
      </c>
      <c r="N56" s="64">
        <v>70.400000000000006</v>
      </c>
      <c r="O56" s="64">
        <v>70.400000000000006</v>
      </c>
      <c r="P56" s="64">
        <v>69.900000000000006</v>
      </c>
      <c r="Q56" s="64">
        <v>70.3</v>
      </c>
      <c r="R56" s="64">
        <v>70.3</v>
      </c>
      <c r="S56" s="64">
        <v>70.400000000000006</v>
      </c>
      <c r="T56" s="64">
        <v>69.7</v>
      </c>
      <c r="U56" s="45">
        <v>71.7</v>
      </c>
      <c r="V56" s="45"/>
      <c r="W56" s="45">
        <v>65.599999999999994</v>
      </c>
      <c r="X56" s="45">
        <v>65.599999999999994</v>
      </c>
      <c r="Y56" s="45">
        <v>65.599999999999994</v>
      </c>
      <c r="Z56" s="45">
        <v>51</v>
      </c>
      <c r="AA56" s="45">
        <v>70</v>
      </c>
      <c r="AB56" s="45">
        <v>71</v>
      </c>
      <c r="AC56" s="45">
        <v>71</v>
      </c>
      <c r="AD56" s="45">
        <v>70.400000000000006</v>
      </c>
      <c r="AE56" s="45">
        <v>70.2</v>
      </c>
      <c r="AF56" s="45">
        <v>70.2</v>
      </c>
      <c r="AG56" s="54">
        <v>70</v>
      </c>
      <c r="AH56" s="47">
        <f t="shared" si="2"/>
        <v>71.7</v>
      </c>
      <c r="AI56" s="48">
        <f t="shared" si="3"/>
        <v>51</v>
      </c>
      <c r="AK56" s="74"/>
    </row>
    <row r="57" spans="1:41" x14ac:dyDescent="0.25">
      <c r="A57" s="53" t="s">
        <v>73</v>
      </c>
      <c r="B57" s="64">
        <v>69</v>
      </c>
      <c r="C57" s="64">
        <v>69</v>
      </c>
      <c r="D57" s="64">
        <v>69</v>
      </c>
      <c r="E57" s="64">
        <v>69</v>
      </c>
      <c r="F57" s="64">
        <v>69.099999999999994</v>
      </c>
      <c r="G57" s="64">
        <v>69.099999999999994</v>
      </c>
      <c r="H57" s="64">
        <v>67.900000000000006</v>
      </c>
      <c r="I57" s="64">
        <v>67.900000000000006</v>
      </c>
      <c r="J57" s="64">
        <v>67.900000000000006</v>
      </c>
      <c r="K57" s="64">
        <v>67.900000000000006</v>
      </c>
      <c r="L57" s="64">
        <v>68</v>
      </c>
      <c r="M57" s="64">
        <v>68</v>
      </c>
      <c r="N57" s="64">
        <v>69</v>
      </c>
      <c r="O57" s="64">
        <v>69</v>
      </c>
      <c r="P57" s="64">
        <v>69</v>
      </c>
      <c r="Q57" s="64">
        <v>69.2</v>
      </c>
      <c r="R57" s="64">
        <v>69.2</v>
      </c>
      <c r="S57" s="64">
        <v>69.3</v>
      </c>
      <c r="T57" s="64">
        <v>68.3</v>
      </c>
      <c r="U57" s="45">
        <v>69</v>
      </c>
      <c r="V57" s="45"/>
      <c r="W57" s="45">
        <v>68.3</v>
      </c>
      <c r="X57" s="45">
        <v>68.3</v>
      </c>
      <c r="Y57" s="45">
        <v>68.3</v>
      </c>
      <c r="Z57" s="45">
        <v>55</v>
      </c>
      <c r="AA57" s="45">
        <v>70</v>
      </c>
      <c r="AB57" s="45">
        <v>69.400000000000006</v>
      </c>
      <c r="AC57" s="45">
        <v>69.400000000000006</v>
      </c>
      <c r="AD57" s="45">
        <v>69.400000000000006</v>
      </c>
      <c r="AE57" s="45">
        <v>60.2</v>
      </c>
      <c r="AF57" s="45">
        <v>69.099999999999994</v>
      </c>
      <c r="AG57" s="54">
        <v>69</v>
      </c>
      <c r="AH57" s="47">
        <f t="shared" si="2"/>
        <v>70</v>
      </c>
      <c r="AI57" s="48">
        <f t="shared" si="3"/>
        <v>55</v>
      </c>
      <c r="AK57" s="74"/>
    </row>
    <row r="58" spans="1:41" x14ac:dyDescent="0.25">
      <c r="A58" s="53" t="s">
        <v>74</v>
      </c>
      <c r="B58" s="64">
        <v>60.4</v>
      </c>
      <c r="C58" s="64">
        <v>60.4</v>
      </c>
      <c r="D58" s="64">
        <v>60.4</v>
      </c>
      <c r="E58" s="64">
        <v>60.4</v>
      </c>
      <c r="F58" s="56">
        <v>61.7</v>
      </c>
      <c r="G58" s="56">
        <v>61.7</v>
      </c>
      <c r="H58" s="56">
        <v>61.4</v>
      </c>
      <c r="I58" s="56">
        <v>61.4</v>
      </c>
      <c r="J58" s="56">
        <v>61.4</v>
      </c>
      <c r="K58" s="56">
        <v>61.4</v>
      </c>
      <c r="L58" s="56">
        <v>61.7</v>
      </c>
      <c r="M58" s="64">
        <v>60</v>
      </c>
      <c r="N58" s="64">
        <v>60</v>
      </c>
      <c r="O58" s="64">
        <v>60</v>
      </c>
      <c r="P58" s="64">
        <v>58.4</v>
      </c>
      <c r="Q58" s="64">
        <v>58.4</v>
      </c>
      <c r="R58" s="64">
        <v>58.4</v>
      </c>
      <c r="S58" s="64">
        <v>59.7</v>
      </c>
      <c r="T58" s="64">
        <v>59.9</v>
      </c>
      <c r="U58" s="45">
        <v>58.4</v>
      </c>
      <c r="V58" s="45"/>
      <c r="W58" s="45">
        <v>62</v>
      </c>
      <c r="X58" s="45">
        <v>62</v>
      </c>
      <c r="Y58" s="45">
        <v>62</v>
      </c>
      <c r="Z58" s="45">
        <v>62</v>
      </c>
      <c r="AA58" s="45">
        <v>62</v>
      </c>
      <c r="AB58" s="45">
        <v>62</v>
      </c>
      <c r="AC58" s="45">
        <v>62</v>
      </c>
      <c r="AD58" s="45">
        <v>62</v>
      </c>
      <c r="AE58" s="45">
        <v>62</v>
      </c>
      <c r="AF58" s="45">
        <v>62</v>
      </c>
      <c r="AG58" s="54">
        <v>60</v>
      </c>
      <c r="AH58" s="47">
        <f t="shared" si="2"/>
        <v>62</v>
      </c>
      <c r="AI58" s="48">
        <f t="shared" si="3"/>
        <v>58.4</v>
      </c>
      <c r="AK58" s="74"/>
    </row>
    <row r="59" spans="1:41" x14ac:dyDescent="0.25">
      <c r="A59" s="53" t="s">
        <v>75</v>
      </c>
      <c r="B59" s="64">
        <v>30</v>
      </c>
      <c r="C59" s="64">
        <v>30</v>
      </c>
      <c r="D59" s="64">
        <v>30</v>
      </c>
      <c r="E59" s="64">
        <v>30</v>
      </c>
      <c r="F59" s="64">
        <v>30</v>
      </c>
      <c r="G59" s="64">
        <v>30</v>
      </c>
      <c r="H59" s="56">
        <v>30</v>
      </c>
      <c r="I59" s="56">
        <v>30</v>
      </c>
      <c r="J59" s="56">
        <v>0</v>
      </c>
      <c r="K59" s="56">
        <v>0</v>
      </c>
      <c r="L59" s="56">
        <v>0</v>
      </c>
      <c r="M59" s="64">
        <v>0</v>
      </c>
      <c r="N59" s="64">
        <v>0</v>
      </c>
      <c r="O59" s="64">
        <v>30</v>
      </c>
      <c r="P59" s="64">
        <v>30</v>
      </c>
      <c r="Q59" s="64">
        <v>30</v>
      </c>
      <c r="R59" s="64">
        <v>30</v>
      </c>
      <c r="S59" s="64">
        <v>22</v>
      </c>
      <c r="T59" s="64">
        <v>30</v>
      </c>
      <c r="U59" s="45">
        <v>15</v>
      </c>
      <c r="V59" s="45"/>
      <c r="W59" s="45">
        <v>30</v>
      </c>
      <c r="X59" s="45">
        <v>30</v>
      </c>
      <c r="Y59" s="45">
        <v>30</v>
      </c>
      <c r="Z59" s="45">
        <v>30</v>
      </c>
      <c r="AA59" s="45">
        <v>28</v>
      </c>
      <c r="AB59" s="45">
        <v>28</v>
      </c>
      <c r="AC59" s="45">
        <v>28</v>
      </c>
      <c r="AD59" s="45">
        <v>28</v>
      </c>
      <c r="AE59" s="45">
        <v>28</v>
      </c>
      <c r="AF59" s="45">
        <v>28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45">
        <v>0</v>
      </c>
      <c r="V60" s="45"/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0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18</v>
      </c>
      <c r="C61" s="64">
        <v>18</v>
      </c>
      <c r="D61" s="64">
        <v>18</v>
      </c>
      <c r="E61" s="64">
        <v>18</v>
      </c>
      <c r="F61" s="64">
        <v>18</v>
      </c>
      <c r="G61" s="64">
        <v>18</v>
      </c>
      <c r="H61" s="64">
        <v>18</v>
      </c>
      <c r="I61" s="64">
        <v>18</v>
      </c>
      <c r="J61" s="64">
        <v>18</v>
      </c>
      <c r="K61" s="64">
        <v>18</v>
      </c>
      <c r="L61" s="64">
        <v>18</v>
      </c>
      <c r="M61" s="64">
        <v>18</v>
      </c>
      <c r="N61" s="64">
        <v>18</v>
      </c>
      <c r="O61" s="64">
        <v>18</v>
      </c>
      <c r="P61" s="64">
        <v>18</v>
      </c>
      <c r="Q61" s="64">
        <v>18</v>
      </c>
      <c r="R61" s="64">
        <v>18</v>
      </c>
      <c r="S61" s="64">
        <v>14.8</v>
      </c>
      <c r="T61" s="64">
        <v>15</v>
      </c>
      <c r="U61" s="64">
        <v>15</v>
      </c>
      <c r="V61" s="64"/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18</v>
      </c>
      <c r="AC61" s="64">
        <v>18</v>
      </c>
      <c r="AD61" s="64">
        <v>18</v>
      </c>
      <c r="AE61" s="64">
        <v>18</v>
      </c>
      <c r="AF61" s="64">
        <v>18</v>
      </c>
      <c r="AG61" s="54">
        <v>24</v>
      </c>
      <c r="AH61" s="47">
        <f t="shared" si="2"/>
        <v>18</v>
      </c>
      <c r="AI61" s="48">
        <f t="shared" si="3"/>
        <v>14.8</v>
      </c>
      <c r="AK61" s="74"/>
    </row>
    <row r="62" spans="1:41" x14ac:dyDescent="0.25">
      <c r="A62" s="53" t="s">
        <v>78</v>
      </c>
      <c r="B62" s="64">
        <v>2.4</v>
      </c>
      <c r="C62" s="64">
        <v>2.4</v>
      </c>
      <c r="D62" s="64">
        <v>2.4</v>
      </c>
      <c r="E62" s="64">
        <v>2.4</v>
      </c>
      <c r="F62" s="64">
        <v>2.4</v>
      </c>
      <c r="G62" s="64">
        <v>2.4</v>
      </c>
      <c r="H62" s="64" t="s">
        <v>268</v>
      </c>
      <c r="I62" s="64" t="s">
        <v>268</v>
      </c>
      <c r="J62" s="64" t="s">
        <v>268</v>
      </c>
      <c r="K62" s="64" t="s">
        <v>268</v>
      </c>
      <c r="L62" s="64" t="s">
        <v>268</v>
      </c>
      <c r="M62" s="64" t="s">
        <v>268</v>
      </c>
      <c r="N62" s="64" t="s">
        <v>268</v>
      </c>
      <c r="O62" s="64" t="s">
        <v>268</v>
      </c>
      <c r="P62" s="64" t="s">
        <v>268</v>
      </c>
      <c r="Q62" s="64" t="s">
        <v>268</v>
      </c>
      <c r="R62" s="64" t="s">
        <v>268</v>
      </c>
      <c r="S62" s="64" t="s">
        <v>268</v>
      </c>
      <c r="T62" s="64" t="s">
        <v>268</v>
      </c>
      <c r="U62" s="64">
        <v>0</v>
      </c>
      <c r="V62" s="64"/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2.2000000000000002</v>
      </c>
      <c r="AC62" s="64">
        <v>2.2000000000000002</v>
      </c>
      <c r="AD62" s="64">
        <v>2.2000000000000002</v>
      </c>
      <c r="AE62" s="64">
        <v>2.2000000000000002</v>
      </c>
      <c r="AF62" s="64">
        <v>2.2000000000000002</v>
      </c>
      <c r="AG62" s="54">
        <v>15</v>
      </c>
      <c r="AH62" s="47">
        <f t="shared" si="2"/>
        <v>2.4</v>
      </c>
      <c r="AI62" s="48">
        <f t="shared" si="3"/>
        <v>0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12.3</v>
      </c>
      <c r="C63" s="64">
        <v>12.3</v>
      </c>
      <c r="D63" s="64">
        <v>12.3</v>
      </c>
      <c r="E63" s="64">
        <v>12.3</v>
      </c>
      <c r="F63" s="64">
        <v>12.3</v>
      </c>
      <c r="G63" s="64">
        <v>12.3</v>
      </c>
      <c r="H63" s="64">
        <v>12.3</v>
      </c>
      <c r="I63" s="64">
        <v>12.3</v>
      </c>
      <c r="J63" s="64">
        <v>12.3</v>
      </c>
      <c r="K63" s="64">
        <v>12.3</v>
      </c>
      <c r="L63" s="64">
        <v>12.3</v>
      </c>
      <c r="M63" s="64">
        <v>12.3</v>
      </c>
      <c r="N63" s="64">
        <v>12.3</v>
      </c>
      <c r="O63" s="64">
        <v>12.3</v>
      </c>
      <c r="P63" s="64">
        <v>12.3</v>
      </c>
      <c r="Q63" s="64">
        <v>12.3</v>
      </c>
      <c r="R63" s="64">
        <v>12.3</v>
      </c>
      <c r="S63" s="64">
        <v>12.4</v>
      </c>
      <c r="T63" s="64">
        <v>11.9</v>
      </c>
      <c r="U63" s="64">
        <v>4.0999999999999996</v>
      </c>
      <c r="V63" s="64"/>
      <c r="W63" s="64">
        <v>4.0999999999999996</v>
      </c>
      <c r="X63" s="64">
        <v>4.0999999999999996</v>
      </c>
      <c r="Y63" s="64">
        <v>4.0999999999999996</v>
      </c>
      <c r="Z63" s="64">
        <v>4.0999999999999996</v>
      </c>
      <c r="AA63" s="64">
        <v>4.0999999999999996</v>
      </c>
      <c r="AB63" s="64">
        <v>13.7</v>
      </c>
      <c r="AC63" s="64">
        <v>13.7</v>
      </c>
      <c r="AD63" s="64">
        <v>13.7</v>
      </c>
      <c r="AE63" s="64">
        <v>13.7</v>
      </c>
      <c r="AF63" s="64">
        <v>13.7</v>
      </c>
      <c r="AG63" s="54">
        <v>14.1</v>
      </c>
      <c r="AH63" s="47">
        <f t="shared" si="2"/>
        <v>13.7</v>
      </c>
      <c r="AI63" s="48">
        <f t="shared" si="3"/>
        <v>4.0999999999999996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14.2</v>
      </c>
      <c r="C64" s="64">
        <v>14.2</v>
      </c>
      <c r="D64" s="64">
        <v>14.2</v>
      </c>
      <c r="E64" s="64">
        <v>14.2</v>
      </c>
      <c r="F64" s="64">
        <v>14.2</v>
      </c>
      <c r="G64" s="64">
        <v>14.2</v>
      </c>
      <c r="H64" s="64">
        <v>14.2</v>
      </c>
      <c r="I64" s="64">
        <v>14.2</v>
      </c>
      <c r="J64" s="64">
        <v>14.2</v>
      </c>
      <c r="K64" s="64">
        <v>14.2</v>
      </c>
      <c r="L64" s="64">
        <v>14.2</v>
      </c>
      <c r="M64" s="64">
        <v>14.2</v>
      </c>
      <c r="N64" s="64">
        <v>14.2</v>
      </c>
      <c r="O64" s="64">
        <v>14.2</v>
      </c>
      <c r="P64" s="64">
        <v>14.2</v>
      </c>
      <c r="Q64" s="64">
        <v>14.2</v>
      </c>
      <c r="R64" s="64">
        <v>14.2</v>
      </c>
      <c r="S64" s="64">
        <v>7.3</v>
      </c>
      <c r="T64" s="64">
        <v>7.3</v>
      </c>
      <c r="U64" s="64">
        <v>7.3</v>
      </c>
      <c r="V64" s="64"/>
      <c r="W64" s="64">
        <v>7.3</v>
      </c>
      <c r="X64" s="64">
        <v>7.3</v>
      </c>
      <c r="Y64" s="64">
        <v>7.3</v>
      </c>
      <c r="Z64" s="64">
        <v>7.3</v>
      </c>
      <c r="AA64" s="64">
        <v>7.3</v>
      </c>
      <c r="AB64" s="64">
        <v>7.3</v>
      </c>
      <c r="AC64" s="64">
        <v>7.3</v>
      </c>
      <c r="AD64" s="64">
        <v>7.3</v>
      </c>
      <c r="AE64" s="64">
        <v>7.3</v>
      </c>
      <c r="AF64" s="64">
        <v>7.3</v>
      </c>
      <c r="AG64" s="54">
        <v>14</v>
      </c>
      <c r="AH64" s="47">
        <f t="shared" si="2"/>
        <v>14.2</v>
      </c>
      <c r="AI64" s="48">
        <f t="shared" si="3"/>
        <v>7.3</v>
      </c>
      <c r="AK64" s="74"/>
    </row>
    <row r="65" spans="1:40" x14ac:dyDescent="0.25">
      <c r="A65" s="53" t="s">
        <v>81</v>
      </c>
      <c r="B65" s="64">
        <v>7.5</v>
      </c>
      <c r="C65" s="64">
        <v>7.5</v>
      </c>
      <c r="D65" s="64">
        <v>7.5</v>
      </c>
      <c r="E65" s="64">
        <v>7.5</v>
      </c>
      <c r="F65" s="64">
        <v>7.5</v>
      </c>
      <c r="G65" s="64">
        <v>7.5</v>
      </c>
      <c r="H65" s="64">
        <v>7.5</v>
      </c>
      <c r="I65" s="64">
        <v>7.5</v>
      </c>
      <c r="J65" s="64">
        <v>7.5</v>
      </c>
      <c r="K65" s="64">
        <v>7.5</v>
      </c>
      <c r="L65" s="64">
        <v>7.5</v>
      </c>
      <c r="M65" s="64">
        <v>7.5</v>
      </c>
      <c r="N65" s="64">
        <v>7.5</v>
      </c>
      <c r="O65" s="64">
        <v>7.5</v>
      </c>
      <c r="P65" s="64">
        <v>7.5</v>
      </c>
      <c r="Q65" s="64">
        <v>7.5</v>
      </c>
      <c r="R65" s="64">
        <v>7.5</v>
      </c>
      <c r="S65" s="64">
        <v>7.5</v>
      </c>
      <c r="T65" s="64">
        <v>7.5</v>
      </c>
      <c r="U65" s="64">
        <v>7.5</v>
      </c>
      <c r="V65" s="64"/>
      <c r="W65" s="64">
        <v>7.5</v>
      </c>
      <c r="X65" s="64">
        <v>7.5</v>
      </c>
      <c r="Y65" s="64">
        <v>7.5</v>
      </c>
      <c r="Z65" s="64">
        <v>7.5</v>
      </c>
      <c r="AA65" s="64">
        <v>7.5</v>
      </c>
      <c r="AB65" s="64">
        <v>7.5</v>
      </c>
      <c r="AC65" s="64">
        <v>7.5</v>
      </c>
      <c r="AD65" s="64">
        <v>7.5</v>
      </c>
      <c r="AE65" s="64">
        <v>7.5</v>
      </c>
      <c r="AF65" s="64">
        <v>7.5</v>
      </c>
      <c r="AG65" s="54">
        <v>10.050000000000001</v>
      </c>
      <c r="AH65" s="47">
        <f t="shared" si="2"/>
        <v>7.5</v>
      </c>
      <c r="AI65" s="48">
        <f t="shared" si="3"/>
        <v>7.5</v>
      </c>
      <c r="AK65" s="74"/>
    </row>
    <row r="66" spans="1:40" x14ac:dyDescent="0.25">
      <c r="A66" s="53" t="s">
        <v>82</v>
      </c>
      <c r="B66" s="64">
        <v>2.2000000000000002</v>
      </c>
      <c r="C66" s="64">
        <v>2.2000000000000002</v>
      </c>
      <c r="D66" s="64">
        <v>2.2000000000000002</v>
      </c>
      <c r="E66" s="64">
        <v>2.2000000000000002</v>
      </c>
      <c r="F66" s="64">
        <v>2.2000000000000002</v>
      </c>
      <c r="G66" s="64">
        <v>2.2000000000000002</v>
      </c>
      <c r="H66" s="64">
        <v>2.2000000000000002</v>
      </c>
      <c r="I66" s="64">
        <v>2.2000000000000002</v>
      </c>
      <c r="J66" s="64">
        <v>2.2000000000000002</v>
      </c>
      <c r="K66" s="64">
        <v>2.2000000000000002</v>
      </c>
      <c r="L66" s="64">
        <v>2.2000000000000002</v>
      </c>
      <c r="M66" s="64">
        <v>2.2000000000000002</v>
      </c>
      <c r="N66" s="64">
        <v>2.2000000000000002</v>
      </c>
      <c r="O66" s="64">
        <v>2.2000000000000002</v>
      </c>
      <c r="P66" s="64">
        <v>2.2000000000000002</v>
      </c>
      <c r="Q66" s="64">
        <v>2.2000000000000002</v>
      </c>
      <c r="R66" s="64">
        <v>2.2000000000000002</v>
      </c>
      <c r="S66" s="64">
        <v>2.2000000000000002</v>
      </c>
      <c r="T66" s="64">
        <v>2.2000000000000002</v>
      </c>
      <c r="U66" s="64">
        <v>2.2000000000000002</v>
      </c>
      <c r="V66" s="64"/>
      <c r="W66" s="64">
        <v>2.2000000000000002</v>
      </c>
      <c r="X66" s="64">
        <v>2.2000000000000002</v>
      </c>
      <c r="Y66" s="64">
        <v>2.2000000000000002</v>
      </c>
      <c r="Z66" s="64">
        <v>2.2000000000000002</v>
      </c>
      <c r="AA66" s="64">
        <v>2.2000000000000002</v>
      </c>
      <c r="AB66" s="64">
        <v>2.2000000000000002</v>
      </c>
      <c r="AC66" s="64">
        <v>2.2000000000000002</v>
      </c>
      <c r="AD66" s="64">
        <v>2.2000000000000002</v>
      </c>
      <c r="AE66" s="64">
        <v>2.2000000000000002</v>
      </c>
      <c r="AF66" s="64">
        <v>2.2000000000000002</v>
      </c>
      <c r="AG66" s="54">
        <v>6.2</v>
      </c>
      <c r="AH66" s="47">
        <f t="shared" si="2"/>
        <v>2.2000000000000002</v>
      </c>
      <c r="AI66" s="48">
        <f t="shared" si="3"/>
        <v>2.2000000000000002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AG68" si="6">SUM(B55:B67)</f>
        <v>432.53999999999996</v>
      </c>
      <c r="C68" s="59">
        <f t="shared" si="6"/>
        <v>432.53999999999996</v>
      </c>
      <c r="D68" s="59">
        <f t="shared" si="6"/>
        <v>432.53999999999996</v>
      </c>
      <c r="E68" s="59">
        <f t="shared" si="6"/>
        <v>432.53999999999996</v>
      </c>
      <c r="F68" s="59">
        <f t="shared" si="6"/>
        <v>435.34</v>
      </c>
      <c r="G68" s="59">
        <f t="shared" si="6"/>
        <v>436.94</v>
      </c>
      <c r="H68" s="59">
        <f t="shared" si="6"/>
        <v>433.03999999999996</v>
      </c>
      <c r="I68" s="59">
        <f t="shared" si="6"/>
        <v>433.03999999999996</v>
      </c>
      <c r="J68" s="59">
        <f t="shared" si="6"/>
        <v>403.03999999999996</v>
      </c>
      <c r="K68" s="59">
        <f t="shared" si="6"/>
        <v>403.03999999999996</v>
      </c>
      <c r="L68" s="59">
        <f t="shared" si="6"/>
        <v>402.73999999999995</v>
      </c>
      <c r="M68" s="59">
        <f t="shared" si="6"/>
        <v>400.34000000000003</v>
      </c>
      <c r="N68" s="59">
        <f t="shared" si="6"/>
        <v>401.14</v>
      </c>
      <c r="O68" s="59">
        <f t="shared" si="6"/>
        <v>431.34000000000003</v>
      </c>
      <c r="P68" s="59">
        <f t="shared" si="6"/>
        <v>429.24</v>
      </c>
      <c r="Q68" s="59">
        <f t="shared" si="6"/>
        <v>425.23999999999995</v>
      </c>
      <c r="R68" s="59">
        <f t="shared" si="6"/>
        <v>425.34</v>
      </c>
      <c r="S68" s="59">
        <f t="shared" si="6"/>
        <v>408.74</v>
      </c>
      <c r="T68" s="59">
        <f t="shared" si="6"/>
        <v>415.14</v>
      </c>
      <c r="U68" s="59">
        <f t="shared" si="6"/>
        <v>395.84000000000003</v>
      </c>
      <c r="V68" s="59">
        <f t="shared" si="6"/>
        <v>3.54</v>
      </c>
      <c r="W68" s="59">
        <f t="shared" si="6"/>
        <v>399.14000000000004</v>
      </c>
      <c r="X68" s="59">
        <f t="shared" si="6"/>
        <v>405.54</v>
      </c>
      <c r="Y68" s="59">
        <f t="shared" si="6"/>
        <v>403.54</v>
      </c>
      <c r="Z68" s="59">
        <f t="shared" si="6"/>
        <v>377.64000000000004</v>
      </c>
      <c r="AA68" s="59">
        <f>SUM(AA55:AA67)</f>
        <v>414.14000000000004</v>
      </c>
      <c r="AB68" s="59">
        <f t="shared" si="6"/>
        <v>429.34</v>
      </c>
      <c r="AC68" s="59">
        <f t="shared" si="6"/>
        <v>429.34</v>
      </c>
      <c r="AD68" s="59">
        <f t="shared" si="6"/>
        <v>428.54</v>
      </c>
      <c r="AE68" s="59">
        <f t="shared" si="6"/>
        <v>419.14</v>
      </c>
      <c r="AF68" s="59">
        <f t="shared" si="6"/>
        <v>428.04</v>
      </c>
      <c r="AG68" s="60">
        <f t="shared" si="6"/>
        <v>489.91</v>
      </c>
      <c r="AH68" s="47">
        <f t="shared" si="2"/>
        <v>436.94</v>
      </c>
      <c r="AI68" s="48">
        <f t="shared" si="3"/>
        <v>3.54</v>
      </c>
      <c r="AK68" s="74"/>
    </row>
    <row r="69" spans="1:40" x14ac:dyDescent="0.25">
      <c r="A69" s="44" t="s">
        <v>85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>
        <v>13.9</v>
      </c>
      <c r="N69" s="45">
        <v>14</v>
      </c>
      <c r="O69" s="45">
        <v>14</v>
      </c>
      <c r="P69" s="45">
        <v>14</v>
      </c>
      <c r="Q69" s="45">
        <v>34.5</v>
      </c>
      <c r="R69" s="45">
        <v>14</v>
      </c>
      <c r="S69" s="45">
        <v>30.3</v>
      </c>
      <c r="T69" s="45">
        <v>29.1</v>
      </c>
      <c r="U69" s="45">
        <v>60</v>
      </c>
      <c r="V69" s="45"/>
      <c r="W69" s="45">
        <v>59.4</v>
      </c>
      <c r="X69" s="45">
        <v>40</v>
      </c>
      <c r="Y69" s="45">
        <v>40</v>
      </c>
      <c r="Z69" s="45">
        <v>38.700000000000003</v>
      </c>
      <c r="AA69" s="45">
        <v>50</v>
      </c>
      <c r="AB69" s="45">
        <v>59</v>
      </c>
      <c r="AC69" s="45">
        <v>33.9</v>
      </c>
      <c r="AD69" s="45">
        <v>39</v>
      </c>
      <c r="AE69" s="45">
        <v>39.5</v>
      </c>
      <c r="AF69" s="45">
        <v>28.4</v>
      </c>
      <c r="AG69" s="51">
        <v>60</v>
      </c>
      <c r="AH69" s="47">
        <f t="shared" si="2"/>
        <v>60</v>
      </c>
      <c r="AI69" s="48">
        <f t="shared" si="3"/>
        <v>13.9</v>
      </c>
      <c r="AK69" s="74"/>
    </row>
    <row r="70" spans="1:40" x14ac:dyDescent="0.25">
      <c r="A70" s="53" t="s">
        <v>86</v>
      </c>
      <c r="B70" s="45"/>
      <c r="C70" s="45"/>
      <c r="D70" s="64"/>
      <c r="E70" s="64"/>
      <c r="F70" s="64"/>
      <c r="G70" s="64"/>
      <c r="H70" s="64"/>
      <c r="I70" s="64"/>
      <c r="J70" s="64"/>
      <c r="K70" s="64"/>
      <c r="L70" s="64"/>
      <c r="M70" s="64">
        <v>7</v>
      </c>
      <c r="N70" s="64">
        <v>6.3</v>
      </c>
      <c r="O70" s="64">
        <v>6.3</v>
      </c>
      <c r="P70" s="64">
        <v>6.3</v>
      </c>
      <c r="Q70" s="64">
        <v>14</v>
      </c>
      <c r="R70" s="64">
        <v>10.199999999999999</v>
      </c>
      <c r="S70" s="64">
        <v>15.8</v>
      </c>
      <c r="T70" s="64">
        <v>15.7</v>
      </c>
      <c r="U70" s="64">
        <v>30.3</v>
      </c>
      <c r="V70" s="64"/>
      <c r="W70" s="64">
        <v>30.8</v>
      </c>
      <c r="X70" s="64">
        <v>24</v>
      </c>
      <c r="Y70" s="64">
        <v>24</v>
      </c>
      <c r="Z70" s="64">
        <v>24</v>
      </c>
      <c r="AA70" s="64">
        <v>21.3</v>
      </c>
      <c r="AB70" s="64">
        <v>29.3</v>
      </c>
      <c r="AC70" s="64">
        <v>23.7</v>
      </c>
      <c r="AD70" s="64">
        <v>18.399999999999999</v>
      </c>
      <c r="AE70" s="64">
        <v>18.399999999999999</v>
      </c>
      <c r="AF70" s="64">
        <v>13.5</v>
      </c>
      <c r="AG70" s="54">
        <v>32</v>
      </c>
      <c r="AH70" s="47">
        <f t="shared" si="2"/>
        <v>30.8</v>
      </c>
      <c r="AI70" s="48">
        <f t="shared" si="3"/>
        <v>6.3</v>
      </c>
      <c r="AK70" s="74"/>
    </row>
    <row r="71" spans="1:40" ht="15.75" thickBot="1" x14ac:dyDescent="0.3">
      <c r="A71" s="70" t="s">
        <v>87</v>
      </c>
      <c r="B71" s="45"/>
      <c r="C71" s="45"/>
      <c r="D71" s="66"/>
      <c r="E71" s="66"/>
      <c r="F71" s="66"/>
      <c r="G71" s="66"/>
      <c r="H71" s="66"/>
      <c r="I71" s="66"/>
      <c r="J71" s="66"/>
      <c r="K71" s="66"/>
      <c r="L71" s="66"/>
      <c r="M71" s="66">
        <v>2.6</v>
      </c>
      <c r="N71" s="66">
        <v>2.2999999999999998</v>
      </c>
      <c r="O71" s="66">
        <v>2.2999999999999998</v>
      </c>
      <c r="P71" s="66">
        <v>2.2999999999999998</v>
      </c>
      <c r="Q71" s="66">
        <v>5.0999999999999996</v>
      </c>
      <c r="R71" s="66">
        <v>3.7</v>
      </c>
      <c r="S71" s="66">
        <v>5.8</v>
      </c>
      <c r="T71" s="66">
        <v>5.7</v>
      </c>
      <c r="U71" s="66">
        <v>11.1</v>
      </c>
      <c r="V71" s="66"/>
      <c r="W71" s="66">
        <v>11.2</v>
      </c>
      <c r="X71" s="66">
        <v>8</v>
      </c>
      <c r="Y71" s="66">
        <v>8</v>
      </c>
      <c r="Z71" s="66">
        <v>8</v>
      </c>
      <c r="AA71" s="66">
        <v>7.8</v>
      </c>
      <c r="AB71" s="66">
        <v>10.7</v>
      </c>
      <c r="AC71" s="66">
        <v>8.6</v>
      </c>
      <c r="AD71" s="66">
        <v>6.8</v>
      </c>
      <c r="AE71" s="66">
        <v>6.7</v>
      </c>
      <c r="AF71" s="66">
        <v>4.9000000000000004</v>
      </c>
      <c r="AG71" s="67">
        <v>14</v>
      </c>
      <c r="AH71" s="47">
        <f t="shared" si="2"/>
        <v>11.2</v>
      </c>
      <c r="AI71" s="48">
        <f t="shared" si="3"/>
        <v>2.2999999999999998</v>
      </c>
      <c r="AK71" s="74"/>
    </row>
    <row r="72" spans="1:40" ht="15.75" thickBot="1" x14ac:dyDescent="0.3">
      <c r="A72" s="73" t="s">
        <v>88</v>
      </c>
      <c r="B72" s="59">
        <f>B69+B70+B71</f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F72" si="7">M69+M70+M71</f>
        <v>23.5</v>
      </c>
      <c r="N72" s="59">
        <f t="shared" si="7"/>
        <v>22.6</v>
      </c>
      <c r="O72" s="59">
        <f t="shared" si="7"/>
        <v>22.6</v>
      </c>
      <c r="P72" s="59">
        <f t="shared" si="7"/>
        <v>22.6</v>
      </c>
      <c r="Q72" s="59">
        <f t="shared" si="7"/>
        <v>53.6</v>
      </c>
      <c r="R72" s="59">
        <f t="shared" si="7"/>
        <v>27.9</v>
      </c>
      <c r="S72" s="59">
        <f t="shared" si="7"/>
        <v>51.9</v>
      </c>
      <c r="T72" s="59">
        <f t="shared" si="7"/>
        <v>50.5</v>
      </c>
      <c r="U72" s="59">
        <f t="shared" si="7"/>
        <v>101.39999999999999</v>
      </c>
      <c r="V72" s="59">
        <f t="shared" si="7"/>
        <v>0</v>
      </c>
      <c r="W72" s="59">
        <f t="shared" si="7"/>
        <v>101.4</v>
      </c>
      <c r="X72" s="59">
        <v>6</v>
      </c>
      <c r="Y72" s="59">
        <f t="shared" si="7"/>
        <v>72</v>
      </c>
      <c r="Z72" s="59">
        <f t="shared" si="7"/>
        <v>70.7</v>
      </c>
      <c r="AA72" s="59">
        <f>SUM(AA69:AA71)</f>
        <v>79.099999999999994</v>
      </c>
      <c r="AB72" s="59">
        <f t="shared" si="7"/>
        <v>99</v>
      </c>
      <c r="AC72" s="59">
        <f t="shared" si="7"/>
        <v>66.199999999999989</v>
      </c>
      <c r="AD72" s="59">
        <f t="shared" si="7"/>
        <v>64.2</v>
      </c>
      <c r="AE72" s="59">
        <f t="shared" si="7"/>
        <v>64.599999999999994</v>
      </c>
      <c r="AF72" s="59">
        <f t="shared" si="7"/>
        <v>46.8</v>
      </c>
      <c r="AG72" s="60">
        <f>SUM(AG69:AG71)</f>
        <v>106</v>
      </c>
      <c r="AH72" s="47">
        <f t="shared" si="2"/>
        <v>101.4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39</v>
      </c>
      <c r="C73" s="45">
        <v>39.4</v>
      </c>
      <c r="D73" s="45">
        <v>38.200000000000003</v>
      </c>
      <c r="E73" s="45">
        <v>34.700000000000003</v>
      </c>
      <c r="F73" s="45">
        <v>52</v>
      </c>
      <c r="G73" s="45">
        <v>45.1</v>
      </c>
      <c r="H73" s="45">
        <v>32</v>
      </c>
      <c r="I73" s="45">
        <v>20.6</v>
      </c>
      <c r="J73" s="45">
        <v>40.4</v>
      </c>
      <c r="K73" s="45">
        <v>48</v>
      </c>
      <c r="L73" s="45">
        <v>48.7</v>
      </c>
      <c r="M73" s="45">
        <v>55</v>
      </c>
      <c r="N73" s="45">
        <v>64.7</v>
      </c>
      <c r="O73" s="45">
        <v>40.299999999999997</v>
      </c>
      <c r="P73" s="45">
        <v>47</v>
      </c>
      <c r="Q73" s="45">
        <v>55.2</v>
      </c>
      <c r="R73" s="45">
        <v>64.400000000000006</v>
      </c>
      <c r="S73" s="45">
        <v>47.9</v>
      </c>
      <c r="T73" s="45">
        <v>36.1</v>
      </c>
      <c r="U73" s="45">
        <v>29</v>
      </c>
      <c r="V73" s="45"/>
      <c r="W73" s="45">
        <v>29.5</v>
      </c>
      <c r="X73" s="45">
        <v>22.6</v>
      </c>
      <c r="Y73" s="45">
        <v>22.6</v>
      </c>
      <c r="Z73" s="45">
        <v>22.6</v>
      </c>
      <c r="AA73" s="45">
        <v>57</v>
      </c>
      <c r="AB73" s="45">
        <v>70.900000000000006</v>
      </c>
      <c r="AC73" s="45">
        <v>59.6</v>
      </c>
      <c r="AD73" s="45">
        <v>54.5</v>
      </c>
      <c r="AE73" s="45">
        <v>55.3</v>
      </c>
      <c r="AF73" s="45">
        <v>48.1</v>
      </c>
      <c r="AG73" s="51"/>
      <c r="AH73" s="47">
        <f t="shared" si="2"/>
        <v>70.900000000000006</v>
      </c>
      <c r="AI73" s="48">
        <f t="shared" si="3"/>
        <v>20.6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25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/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25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-294</v>
      </c>
      <c r="C75" s="64">
        <v>-298</v>
      </c>
      <c r="D75" s="64">
        <v>-355</v>
      </c>
      <c r="E75" s="64">
        <v>-365</v>
      </c>
      <c r="F75" s="64">
        <v>-300</v>
      </c>
      <c r="G75" s="64">
        <v>-355.6</v>
      </c>
      <c r="H75" s="64">
        <v>-387</v>
      </c>
      <c r="I75" s="64">
        <v>-410</v>
      </c>
      <c r="J75" s="64">
        <v>-410</v>
      </c>
      <c r="K75" s="64">
        <v>-364</v>
      </c>
      <c r="L75" s="64">
        <v>-374</v>
      </c>
      <c r="M75" s="64">
        <v>-301</v>
      </c>
      <c r="N75" s="64">
        <v>-250</v>
      </c>
      <c r="O75" s="64">
        <v>-252</v>
      </c>
      <c r="P75" s="64">
        <v>-255</v>
      </c>
      <c r="Q75" s="64">
        <v>-248</v>
      </c>
      <c r="R75" s="64">
        <v>-314</v>
      </c>
      <c r="S75" s="64">
        <v>-266.2</v>
      </c>
      <c r="T75" s="64">
        <v>-220</v>
      </c>
      <c r="U75" s="64">
        <v>-224</v>
      </c>
      <c r="V75" s="64"/>
      <c r="W75" s="64">
        <v>-242</v>
      </c>
      <c r="X75" s="64">
        <v>-240</v>
      </c>
      <c r="Y75" s="64">
        <v>-240</v>
      </c>
      <c r="Z75" s="64">
        <v>-240</v>
      </c>
      <c r="AA75" s="64">
        <v>-200</v>
      </c>
      <c r="AB75" s="64">
        <v>-210</v>
      </c>
      <c r="AC75" s="64">
        <v>-195</v>
      </c>
      <c r="AD75" s="64">
        <v>-214</v>
      </c>
      <c r="AE75" s="64">
        <v>-218</v>
      </c>
      <c r="AF75" s="64">
        <v>-241</v>
      </c>
      <c r="AG75" s="75"/>
      <c r="AH75" s="47">
        <f t="shared" si="2"/>
        <v>-195</v>
      </c>
      <c r="AI75" s="48">
        <f t="shared" si="3"/>
        <v>-410</v>
      </c>
      <c r="AK75" s="74"/>
    </row>
    <row r="76" spans="1:40" x14ac:dyDescent="0.25">
      <c r="A76" s="53" t="s">
        <v>92</v>
      </c>
      <c r="B76" s="64">
        <v>12</v>
      </c>
      <c r="C76" s="64">
        <v>12</v>
      </c>
      <c r="D76" s="64">
        <v>12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6</v>
      </c>
      <c r="N76" s="76">
        <v>6</v>
      </c>
      <c r="O76" s="76">
        <v>6</v>
      </c>
      <c r="P76" s="76">
        <v>6</v>
      </c>
      <c r="Q76" s="76">
        <v>6</v>
      </c>
      <c r="R76" s="76">
        <v>6</v>
      </c>
      <c r="S76" s="76">
        <v>0</v>
      </c>
      <c r="T76" s="76">
        <v>0</v>
      </c>
      <c r="U76" s="76">
        <v>0</v>
      </c>
      <c r="V76" s="76"/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64">
        <v>0</v>
      </c>
      <c r="AE76" s="76">
        <v>0</v>
      </c>
      <c r="AF76" s="76">
        <v>0</v>
      </c>
      <c r="AG76" s="75"/>
      <c r="AH76" s="47">
        <f t="shared" si="2"/>
        <v>12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31.3</v>
      </c>
      <c r="C77" s="45">
        <v>31.3</v>
      </c>
      <c r="D77" s="45">
        <v>31.3</v>
      </c>
      <c r="E77" s="45">
        <v>29.1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/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8">MAX(B77:AF77)</f>
        <v>31.3</v>
      </c>
      <c r="AI77" s="48">
        <f t="shared" ref="AI77:AI120" si="9">MIN(B77:AF77)</f>
        <v>0</v>
      </c>
      <c r="AK77" s="74"/>
    </row>
    <row r="78" spans="1:40" x14ac:dyDescent="0.25">
      <c r="A78" s="53" t="s">
        <v>94</v>
      </c>
      <c r="B78" s="45">
        <v>4</v>
      </c>
      <c r="C78" s="45">
        <v>4</v>
      </c>
      <c r="D78" s="45">
        <v>4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5</v>
      </c>
      <c r="L78" s="77">
        <v>5</v>
      </c>
      <c r="M78" s="77">
        <v>5</v>
      </c>
      <c r="N78" s="77">
        <v>5</v>
      </c>
      <c r="O78" s="77">
        <v>5</v>
      </c>
      <c r="P78" s="77">
        <v>5</v>
      </c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/>
      <c r="W78" s="77">
        <v>5</v>
      </c>
      <c r="X78" s="77">
        <v>5</v>
      </c>
      <c r="Y78" s="77">
        <v>5</v>
      </c>
      <c r="Z78" s="77">
        <v>5</v>
      </c>
      <c r="AA78" s="77">
        <v>5</v>
      </c>
      <c r="AB78" s="77">
        <v>5</v>
      </c>
      <c r="AC78" s="77">
        <v>5</v>
      </c>
      <c r="AD78" s="77">
        <v>5</v>
      </c>
      <c r="AE78" s="77">
        <v>5</v>
      </c>
      <c r="AF78" s="77">
        <v>5</v>
      </c>
      <c r="AG78" s="75"/>
      <c r="AH78" s="47">
        <f t="shared" si="8"/>
        <v>5</v>
      </c>
      <c r="AI78" s="48">
        <f t="shared" si="9"/>
        <v>0</v>
      </c>
      <c r="AK78" s="74"/>
    </row>
    <row r="79" spans="1:40" ht="15.75" thickBot="1" x14ac:dyDescent="0.3">
      <c r="A79" s="53" t="s">
        <v>95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v>0</v>
      </c>
      <c r="Q79" s="45">
        <v>0</v>
      </c>
      <c r="R79" s="45">
        <v>0</v>
      </c>
      <c r="S79" s="77">
        <v>0</v>
      </c>
      <c r="T79" s="77">
        <v>0</v>
      </c>
      <c r="U79" s="77">
        <v>0</v>
      </c>
      <c r="V79" s="77"/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v>0</v>
      </c>
      <c r="Q80" s="45">
        <v>0</v>
      </c>
      <c r="R80" s="45">
        <v>0</v>
      </c>
      <c r="S80" s="77">
        <v>0</v>
      </c>
      <c r="T80" s="77">
        <v>0</v>
      </c>
      <c r="U80" s="77">
        <v>0</v>
      </c>
      <c r="V80" s="77"/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v>0</v>
      </c>
      <c r="Q81" s="45">
        <v>0</v>
      </c>
      <c r="R81" s="45">
        <v>0</v>
      </c>
      <c r="S81" s="77">
        <v>0</v>
      </c>
      <c r="T81" s="77">
        <v>0</v>
      </c>
      <c r="U81" s="77">
        <v>0</v>
      </c>
      <c r="V81" s="77"/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8"/>
        <v>0</v>
      </c>
      <c r="AI81" s="48">
        <f t="shared" si="9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0</v>
      </c>
      <c r="R82" s="45">
        <v>0</v>
      </c>
      <c r="S82" s="77">
        <v>0</v>
      </c>
      <c r="T82" s="77">
        <v>0</v>
      </c>
      <c r="U82" s="77">
        <v>0</v>
      </c>
      <c r="V82" s="77"/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45">
        <v>0</v>
      </c>
      <c r="R83" s="45">
        <v>0</v>
      </c>
      <c r="S83" s="77">
        <v>0</v>
      </c>
      <c r="T83" s="77">
        <v>0</v>
      </c>
      <c r="U83" s="77">
        <v>0</v>
      </c>
      <c r="V83" s="77"/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0">SUMIF(B73:B83,"&gt;0")</f>
        <v>86.3</v>
      </c>
      <c r="C84" s="59">
        <f t="shared" si="10"/>
        <v>86.7</v>
      </c>
      <c r="D84" s="59">
        <f t="shared" si="10"/>
        <v>110.5</v>
      </c>
      <c r="E84" s="59">
        <f t="shared" si="10"/>
        <v>63.800000000000004</v>
      </c>
      <c r="F84" s="59">
        <f t="shared" si="10"/>
        <v>52</v>
      </c>
      <c r="G84" s="59">
        <f t="shared" si="10"/>
        <v>45.1</v>
      </c>
      <c r="H84" s="59">
        <f t="shared" si="10"/>
        <v>32</v>
      </c>
      <c r="I84" s="59">
        <f t="shared" si="10"/>
        <v>20.6</v>
      </c>
      <c r="J84" s="59">
        <f t="shared" si="10"/>
        <v>40.4</v>
      </c>
      <c r="K84" s="59">
        <f t="shared" si="10"/>
        <v>53</v>
      </c>
      <c r="L84" s="59">
        <f t="shared" si="10"/>
        <v>53.7</v>
      </c>
      <c r="M84" s="59">
        <f t="shared" si="10"/>
        <v>66</v>
      </c>
      <c r="N84" s="59">
        <f t="shared" si="10"/>
        <v>75.7</v>
      </c>
      <c r="O84" s="59">
        <f t="shared" si="10"/>
        <v>51.3</v>
      </c>
      <c r="P84" s="59">
        <f t="shared" si="10"/>
        <v>58</v>
      </c>
      <c r="Q84" s="59">
        <f t="shared" si="10"/>
        <v>66.2</v>
      </c>
      <c r="R84" s="59">
        <f t="shared" si="10"/>
        <v>75.400000000000006</v>
      </c>
      <c r="S84" s="59">
        <f t="shared" si="10"/>
        <v>52.9</v>
      </c>
      <c r="T84" s="59">
        <f t="shared" si="10"/>
        <v>41.1</v>
      </c>
      <c r="U84" s="59">
        <f t="shared" si="10"/>
        <v>34</v>
      </c>
      <c r="V84" s="59">
        <f t="shared" si="10"/>
        <v>0</v>
      </c>
      <c r="W84" s="59">
        <f t="shared" si="10"/>
        <v>34.5</v>
      </c>
      <c r="X84" s="59">
        <f t="shared" si="10"/>
        <v>27.6</v>
      </c>
      <c r="Y84" s="59">
        <f t="shared" si="10"/>
        <v>27.6</v>
      </c>
      <c r="Z84" s="59">
        <f t="shared" si="10"/>
        <v>27.6</v>
      </c>
      <c r="AA84" s="59">
        <f>SUMIF(AA73:AA83,"&gt;0")</f>
        <v>62</v>
      </c>
      <c r="AB84" s="59">
        <f t="shared" si="10"/>
        <v>75.900000000000006</v>
      </c>
      <c r="AC84" s="59">
        <f t="shared" si="10"/>
        <v>64.599999999999994</v>
      </c>
      <c r="AD84" s="59">
        <f t="shared" si="10"/>
        <v>59.5</v>
      </c>
      <c r="AE84" s="59">
        <f t="shared" si="10"/>
        <v>60.3</v>
      </c>
      <c r="AF84" s="59">
        <f t="shared" si="10"/>
        <v>53.1</v>
      </c>
      <c r="AG84" s="88">
        <f>SUM(AG73:AG83)</f>
        <v>0</v>
      </c>
      <c r="AH84" s="47">
        <f t="shared" si="8"/>
        <v>110.5</v>
      </c>
      <c r="AI84" s="48">
        <f t="shared" si="9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>
        <f>SUM(AA85:AA87)</f>
        <v>0</v>
      </c>
      <c r="AB88" s="59"/>
      <c r="AC88" s="59"/>
      <c r="AD88" s="59"/>
      <c r="AE88" s="59"/>
      <c r="AF88" s="59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3" t="s">
        <v>108</v>
      </c>
      <c r="B89" s="95">
        <f t="shared" ref="B89:AG89" si="11">B50+B54+B72+B68+B84+B88</f>
        <v>1935.5399999999997</v>
      </c>
      <c r="C89" s="95">
        <f t="shared" si="11"/>
        <v>1935.9399999999998</v>
      </c>
      <c r="D89" s="95">
        <f t="shared" si="11"/>
        <v>1959.7399999999998</v>
      </c>
      <c r="E89" s="95">
        <f t="shared" si="11"/>
        <v>1911.0399999999997</v>
      </c>
      <c r="F89" s="95">
        <f t="shared" si="11"/>
        <v>1859.5399999999997</v>
      </c>
      <c r="G89" s="95">
        <f t="shared" si="11"/>
        <v>1876.2399999999998</v>
      </c>
      <c r="H89" s="95">
        <f t="shared" si="11"/>
        <v>1879.7399999999998</v>
      </c>
      <c r="I89" s="95">
        <f t="shared" si="11"/>
        <v>1872.3399999999997</v>
      </c>
      <c r="J89" s="95">
        <f t="shared" si="11"/>
        <v>1745.1399999999999</v>
      </c>
      <c r="K89" s="95">
        <f t="shared" si="11"/>
        <v>1813.7399999999998</v>
      </c>
      <c r="L89" s="95">
        <f t="shared" si="11"/>
        <v>1831.1399999999999</v>
      </c>
      <c r="M89" s="95">
        <f t="shared" si="11"/>
        <v>1862.7400000000002</v>
      </c>
      <c r="N89" s="95">
        <f t="shared" si="11"/>
        <v>1877.34</v>
      </c>
      <c r="O89" s="95">
        <f t="shared" si="11"/>
        <v>1961.14</v>
      </c>
      <c r="P89" s="95">
        <f t="shared" si="11"/>
        <v>1934.74</v>
      </c>
      <c r="Q89" s="95">
        <f t="shared" si="11"/>
        <v>1969.94</v>
      </c>
      <c r="R89" s="95">
        <f t="shared" si="11"/>
        <v>1953.5400000000002</v>
      </c>
      <c r="S89" s="95">
        <f t="shared" si="11"/>
        <v>1938.4400000000003</v>
      </c>
      <c r="T89" s="95">
        <f t="shared" si="11"/>
        <v>1931.6399999999999</v>
      </c>
      <c r="U89" s="95">
        <f t="shared" si="11"/>
        <v>1956.1400000000003</v>
      </c>
      <c r="V89" s="95">
        <f t="shared" si="11"/>
        <v>536.54</v>
      </c>
      <c r="W89" s="95">
        <f t="shared" si="11"/>
        <v>1883.9400000000003</v>
      </c>
      <c r="X89" s="95">
        <f t="shared" si="11"/>
        <v>1768.04</v>
      </c>
      <c r="Y89" s="95">
        <f t="shared" si="11"/>
        <v>1832.04</v>
      </c>
      <c r="Z89" s="95">
        <f t="shared" si="11"/>
        <v>1908.8400000000001</v>
      </c>
      <c r="AA89" s="95">
        <f>SUM(AA50,AA54,AA68,AA72,AA84,AA88)</f>
        <v>2006.9399999999998</v>
      </c>
      <c r="AB89" s="95">
        <f t="shared" si="11"/>
        <v>2013.14</v>
      </c>
      <c r="AC89" s="95">
        <f t="shared" si="11"/>
        <v>1972.4399999999998</v>
      </c>
      <c r="AD89" s="95">
        <f t="shared" si="11"/>
        <v>1964.54</v>
      </c>
      <c r="AE89" s="95">
        <f t="shared" si="11"/>
        <v>1947.5399999999997</v>
      </c>
      <c r="AF89" s="95">
        <f t="shared" si="11"/>
        <v>1912.34</v>
      </c>
      <c r="AG89" s="60">
        <f t="shared" si="11"/>
        <v>2111.5500000000002</v>
      </c>
      <c r="AH89" s="47">
        <f t="shared" si="8"/>
        <v>2013.14</v>
      </c>
      <c r="AI89" s="48">
        <f t="shared" si="9"/>
        <v>536.54</v>
      </c>
    </row>
    <row r="90" spans="1:40" ht="15.75" thickBot="1" x14ac:dyDescent="0.3">
      <c r="A90" s="96" t="s">
        <v>109</v>
      </c>
      <c r="B90" s="97">
        <v>50</v>
      </c>
      <c r="C90" s="97">
        <v>50</v>
      </c>
      <c r="D90" s="97">
        <v>15</v>
      </c>
      <c r="E90" s="97">
        <v>0</v>
      </c>
      <c r="F90" s="97">
        <v>0</v>
      </c>
      <c r="G90" s="97">
        <v>0</v>
      </c>
      <c r="H90" s="97">
        <v>0</v>
      </c>
      <c r="I90" s="97"/>
      <c r="J90" s="97"/>
      <c r="K90" s="97">
        <v>50</v>
      </c>
      <c r="L90" s="97">
        <v>50</v>
      </c>
      <c r="M90" s="97">
        <v>50</v>
      </c>
      <c r="N90" s="97">
        <v>50</v>
      </c>
      <c r="O90" s="97">
        <v>50</v>
      </c>
      <c r="P90" s="97">
        <v>50</v>
      </c>
      <c r="Q90" s="97">
        <v>50</v>
      </c>
      <c r="R90" s="97">
        <v>50</v>
      </c>
      <c r="S90" s="97">
        <v>50</v>
      </c>
      <c r="T90" s="97">
        <v>50</v>
      </c>
      <c r="U90" s="97"/>
      <c r="V90" s="97"/>
      <c r="W90" s="97"/>
      <c r="X90" s="97"/>
      <c r="Y90" s="97"/>
      <c r="Z90" s="97"/>
      <c r="AA90" s="97">
        <v>100</v>
      </c>
      <c r="AB90" s="97">
        <v>100</v>
      </c>
      <c r="AC90" s="97">
        <v>100</v>
      </c>
      <c r="AD90" s="97">
        <v>50</v>
      </c>
      <c r="AE90" s="97"/>
      <c r="AF90" s="97"/>
      <c r="AG90" s="88"/>
      <c r="AH90" s="47">
        <f t="shared" si="8"/>
        <v>100</v>
      </c>
      <c r="AI90" s="48">
        <f t="shared" si="9"/>
        <v>0</v>
      </c>
    </row>
    <row r="91" spans="1:40" ht="15.75" thickBot="1" x14ac:dyDescent="0.3">
      <c r="A91" s="73" t="s">
        <v>110</v>
      </c>
      <c r="B91" s="95">
        <f t="shared" ref="B91:AF91" si="12">B89+B90</f>
        <v>1985.5399999999997</v>
      </c>
      <c r="C91" s="95">
        <f t="shared" si="12"/>
        <v>1985.9399999999998</v>
      </c>
      <c r="D91" s="95">
        <f t="shared" si="12"/>
        <v>1974.7399999999998</v>
      </c>
      <c r="E91" s="95">
        <f t="shared" si="12"/>
        <v>1911.0399999999997</v>
      </c>
      <c r="F91" s="95">
        <f t="shared" si="12"/>
        <v>1859.5399999999997</v>
      </c>
      <c r="G91" s="95">
        <f t="shared" si="12"/>
        <v>1876.2399999999998</v>
      </c>
      <c r="H91" s="95">
        <f t="shared" si="12"/>
        <v>1879.7399999999998</v>
      </c>
      <c r="I91" s="95">
        <f t="shared" si="12"/>
        <v>1872.3399999999997</v>
      </c>
      <c r="J91" s="95">
        <f t="shared" si="12"/>
        <v>1745.1399999999999</v>
      </c>
      <c r="K91" s="95">
        <f t="shared" si="12"/>
        <v>1863.7399999999998</v>
      </c>
      <c r="L91" s="95">
        <f t="shared" si="12"/>
        <v>1881.1399999999999</v>
      </c>
      <c r="M91" s="95">
        <f t="shared" si="12"/>
        <v>1912.7400000000002</v>
      </c>
      <c r="N91" s="95">
        <f t="shared" si="12"/>
        <v>1927.34</v>
      </c>
      <c r="O91" s="95">
        <f t="shared" si="12"/>
        <v>2011.14</v>
      </c>
      <c r="P91" s="95">
        <f t="shared" si="12"/>
        <v>1984.74</v>
      </c>
      <c r="Q91" s="95">
        <f t="shared" si="12"/>
        <v>2019.94</v>
      </c>
      <c r="R91" s="95">
        <f t="shared" si="12"/>
        <v>2003.5400000000002</v>
      </c>
      <c r="S91" s="95">
        <f t="shared" si="12"/>
        <v>1988.4400000000003</v>
      </c>
      <c r="T91" s="95">
        <f t="shared" si="12"/>
        <v>1981.6399999999999</v>
      </c>
      <c r="U91" s="95">
        <f t="shared" si="12"/>
        <v>1956.1400000000003</v>
      </c>
      <c r="V91" s="95">
        <f t="shared" si="12"/>
        <v>536.54</v>
      </c>
      <c r="W91" s="95">
        <f t="shared" si="12"/>
        <v>1883.9400000000003</v>
      </c>
      <c r="X91" s="95">
        <f t="shared" si="12"/>
        <v>1768.04</v>
      </c>
      <c r="Y91" s="95">
        <f t="shared" si="12"/>
        <v>1832.04</v>
      </c>
      <c r="Z91" s="95">
        <f t="shared" si="12"/>
        <v>1908.8400000000001</v>
      </c>
      <c r="AA91" s="95">
        <f>SUM(AA89+AA90)</f>
        <v>2106.9399999999996</v>
      </c>
      <c r="AB91" s="95">
        <f t="shared" si="12"/>
        <v>2113.1400000000003</v>
      </c>
      <c r="AC91" s="95">
        <f t="shared" si="12"/>
        <v>2072.4399999999996</v>
      </c>
      <c r="AD91" s="95">
        <f t="shared" si="12"/>
        <v>2014.54</v>
      </c>
      <c r="AE91" s="95">
        <f t="shared" si="12"/>
        <v>1947.5399999999997</v>
      </c>
      <c r="AF91" s="95">
        <f t="shared" si="12"/>
        <v>1912.34</v>
      </c>
      <c r="AG91" s="88">
        <f>AG88+AG84+AG72+AG68+AG50+AG90</f>
        <v>1573.45</v>
      </c>
      <c r="AH91" s="47">
        <f t="shared" si="8"/>
        <v>2113.1400000000003</v>
      </c>
      <c r="AI91" s="48">
        <f t="shared" si="9"/>
        <v>536.54</v>
      </c>
    </row>
    <row r="92" spans="1:40" ht="15.75" thickBot="1" x14ac:dyDescent="0.3">
      <c r="A92" s="73" t="s">
        <v>111</v>
      </c>
      <c r="B92" s="95">
        <f t="shared" ref="B92:AF92" si="13">B91-B99</f>
        <v>1985.5399999999997</v>
      </c>
      <c r="C92" s="95">
        <f t="shared" si="13"/>
        <v>1985.9399999999998</v>
      </c>
      <c r="D92" s="95">
        <f t="shared" si="13"/>
        <v>1974.7399999999998</v>
      </c>
      <c r="E92" s="95">
        <f t="shared" si="13"/>
        <v>1911.0399999999997</v>
      </c>
      <c r="F92" s="95">
        <f t="shared" si="13"/>
        <v>1859.5399999999997</v>
      </c>
      <c r="G92" s="95">
        <f t="shared" si="13"/>
        <v>1876.2399999999998</v>
      </c>
      <c r="H92" s="95">
        <f t="shared" si="13"/>
        <v>1879.7399999999998</v>
      </c>
      <c r="I92" s="95">
        <f t="shared" si="13"/>
        <v>1872.3399999999997</v>
      </c>
      <c r="J92" s="95">
        <f t="shared" si="13"/>
        <v>1745.1399999999999</v>
      </c>
      <c r="K92" s="95">
        <f t="shared" si="13"/>
        <v>1863.7399999999998</v>
      </c>
      <c r="L92" s="95">
        <f t="shared" si="13"/>
        <v>1881.1399999999999</v>
      </c>
      <c r="M92" s="95">
        <f t="shared" si="13"/>
        <v>1912.7400000000002</v>
      </c>
      <c r="N92" s="95">
        <f t="shared" si="13"/>
        <v>1927.34</v>
      </c>
      <c r="O92" s="95">
        <f t="shared" si="13"/>
        <v>2011.14</v>
      </c>
      <c r="P92" s="95">
        <f t="shared" si="13"/>
        <v>1984.74</v>
      </c>
      <c r="Q92" s="95">
        <f t="shared" si="13"/>
        <v>2019.94</v>
      </c>
      <c r="R92" s="95">
        <f t="shared" si="13"/>
        <v>2003.5400000000002</v>
      </c>
      <c r="S92" s="95">
        <f t="shared" si="13"/>
        <v>1988.4400000000003</v>
      </c>
      <c r="T92" s="95">
        <f t="shared" si="13"/>
        <v>1981.6399999999999</v>
      </c>
      <c r="U92" s="95">
        <f t="shared" si="13"/>
        <v>1956.1400000000003</v>
      </c>
      <c r="V92" s="95">
        <f t="shared" si="13"/>
        <v>536.54</v>
      </c>
      <c r="W92" s="95">
        <f t="shared" si="13"/>
        <v>1883.9400000000003</v>
      </c>
      <c r="X92" s="95">
        <f t="shared" si="13"/>
        <v>1768.04</v>
      </c>
      <c r="Y92" s="95">
        <f t="shared" si="13"/>
        <v>1832.04</v>
      </c>
      <c r="Z92" s="95">
        <f t="shared" si="13"/>
        <v>1908.8400000000001</v>
      </c>
      <c r="AA92" s="95">
        <f>AA91-AA99</f>
        <v>2106.9399999999996</v>
      </c>
      <c r="AB92" s="95">
        <f t="shared" si="13"/>
        <v>2113.1400000000003</v>
      </c>
      <c r="AC92" s="95">
        <f t="shared" si="13"/>
        <v>2072.4399999999996</v>
      </c>
      <c r="AD92" s="95">
        <f t="shared" si="13"/>
        <v>2014.54</v>
      </c>
      <c r="AE92" s="95">
        <f t="shared" si="13"/>
        <v>1947.5399999999997</v>
      </c>
      <c r="AF92" s="95">
        <f t="shared" si="13"/>
        <v>1912.34</v>
      </c>
      <c r="AG92" s="88"/>
      <c r="AH92" s="47">
        <f t="shared" si="8"/>
        <v>2113.1400000000003</v>
      </c>
      <c r="AI92" s="48">
        <f t="shared" si="9"/>
        <v>536.54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>
        <f>SUM(AA93:AA98)</f>
        <v>0</v>
      </c>
      <c r="AB99" s="59"/>
      <c r="AC99" s="59"/>
      <c r="AD99" s="59"/>
      <c r="AE99" s="59"/>
      <c r="AF99" s="59"/>
      <c r="AG99" s="88"/>
      <c r="AH99" s="47">
        <f t="shared" si="8"/>
        <v>0</v>
      </c>
      <c r="AI99" s="48">
        <f t="shared" si="9"/>
        <v>0</v>
      </c>
      <c r="AK99" s="74"/>
    </row>
    <row r="100" spans="1:37" ht="15.75" thickBot="1" x14ac:dyDescent="0.3">
      <c r="A100" s="73" t="s">
        <v>116</v>
      </c>
      <c r="B100" s="59">
        <f t="shared" ref="B100:AF100" si="14">B84-B99</f>
        <v>86.3</v>
      </c>
      <c r="C100" s="59">
        <f t="shared" si="14"/>
        <v>86.7</v>
      </c>
      <c r="D100" s="59">
        <f t="shared" si="14"/>
        <v>110.5</v>
      </c>
      <c r="E100" s="59">
        <f t="shared" si="14"/>
        <v>63.800000000000004</v>
      </c>
      <c r="F100" s="59">
        <f t="shared" si="14"/>
        <v>52</v>
      </c>
      <c r="G100" s="59">
        <f t="shared" si="14"/>
        <v>45.1</v>
      </c>
      <c r="H100" s="59">
        <f t="shared" si="14"/>
        <v>32</v>
      </c>
      <c r="I100" s="59">
        <f t="shared" si="14"/>
        <v>20.6</v>
      </c>
      <c r="J100" s="59">
        <f t="shared" si="14"/>
        <v>40.4</v>
      </c>
      <c r="K100" s="59">
        <f t="shared" si="14"/>
        <v>53</v>
      </c>
      <c r="L100" s="59">
        <f t="shared" si="14"/>
        <v>53.7</v>
      </c>
      <c r="M100" s="59">
        <f t="shared" si="14"/>
        <v>66</v>
      </c>
      <c r="N100" s="59">
        <f t="shared" si="14"/>
        <v>75.7</v>
      </c>
      <c r="O100" s="59">
        <f t="shared" si="14"/>
        <v>51.3</v>
      </c>
      <c r="P100" s="59">
        <f t="shared" si="14"/>
        <v>58</v>
      </c>
      <c r="Q100" s="59">
        <f t="shared" si="14"/>
        <v>66.2</v>
      </c>
      <c r="R100" s="59">
        <f t="shared" si="14"/>
        <v>75.400000000000006</v>
      </c>
      <c r="S100" s="59">
        <f t="shared" si="14"/>
        <v>52.9</v>
      </c>
      <c r="T100" s="59">
        <f t="shared" si="14"/>
        <v>41.1</v>
      </c>
      <c r="U100" s="59">
        <f t="shared" si="14"/>
        <v>34</v>
      </c>
      <c r="V100" s="59">
        <f t="shared" si="14"/>
        <v>0</v>
      </c>
      <c r="W100" s="59">
        <f t="shared" si="14"/>
        <v>34.5</v>
      </c>
      <c r="X100" s="59">
        <f t="shared" si="14"/>
        <v>27.6</v>
      </c>
      <c r="Y100" s="59">
        <f t="shared" si="14"/>
        <v>27.6</v>
      </c>
      <c r="Z100" s="59">
        <f t="shared" si="14"/>
        <v>27.6</v>
      </c>
      <c r="AA100" s="59">
        <f>AA84-AA99</f>
        <v>62</v>
      </c>
      <c r="AB100" s="59">
        <f t="shared" si="14"/>
        <v>75.900000000000006</v>
      </c>
      <c r="AC100" s="59">
        <f t="shared" si="14"/>
        <v>64.599999999999994</v>
      </c>
      <c r="AD100" s="59">
        <f t="shared" si="14"/>
        <v>59.5</v>
      </c>
      <c r="AE100" s="59">
        <f t="shared" si="14"/>
        <v>60.3</v>
      </c>
      <c r="AF100" s="59">
        <f t="shared" si="14"/>
        <v>53.1</v>
      </c>
      <c r="AG100" s="88"/>
      <c r="AH100" s="47">
        <f t="shared" si="8"/>
        <v>110.5</v>
      </c>
      <c r="AI100" s="48">
        <f t="shared" si="9"/>
        <v>0</v>
      </c>
    </row>
    <row r="101" spans="1:37" x14ac:dyDescent="0.25">
      <c r="A101" s="100" t="s">
        <v>117</v>
      </c>
      <c r="B101" s="101">
        <v>50.017000000000003</v>
      </c>
      <c r="C101" s="101">
        <v>49.976999999999997</v>
      </c>
      <c r="D101" s="101">
        <v>49.976999999999997</v>
      </c>
      <c r="E101" s="101">
        <v>49.985999999999997</v>
      </c>
      <c r="F101" s="101">
        <v>50.012</v>
      </c>
      <c r="G101" s="101">
        <v>49.965000000000003</v>
      </c>
      <c r="H101" s="101">
        <v>49.965000000000003</v>
      </c>
      <c r="I101" s="101">
        <v>49.965000000000003</v>
      </c>
      <c r="J101" s="101">
        <v>49.965000000000003</v>
      </c>
      <c r="K101" s="101">
        <v>49.965000000000003</v>
      </c>
      <c r="L101" s="101">
        <v>49.978000000000002</v>
      </c>
      <c r="M101" s="101">
        <v>49.99</v>
      </c>
      <c r="N101" s="101">
        <v>50.067</v>
      </c>
      <c r="O101" s="101">
        <v>49.966000000000001</v>
      </c>
      <c r="P101" s="101">
        <v>50.03</v>
      </c>
      <c r="Q101" s="101">
        <v>49.968000000000004</v>
      </c>
      <c r="R101" s="101">
        <v>49.85</v>
      </c>
      <c r="S101" s="101">
        <v>49.94</v>
      </c>
      <c r="T101" s="101">
        <v>50.04</v>
      </c>
      <c r="U101" s="101">
        <v>49.79</v>
      </c>
      <c r="V101" s="101"/>
      <c r="W101" s="101">
        <v>49.96</v>
      </c>
      <c r="X101" s="101">
        <v>49.95</v>
      </c>
      <c r="Y101" s="101">
        <v>50</v>
      </c>
      <c r="Z101" s="101">
        <v>49.95</v>
      </c>
      <c r="AA101" s="101">
        <v>49.97</v>
      </c>
      <c r="AB101" s="101">
        <v>50.033999999999999</v>
      </c>
      <c r="AC101" s="101">
        <v>50.037999999999997</v>
      </c>
      <c r="AD101" s="101">
        <v>49.978000000000002</v>
      </c>
      <c r="AE101" s="101">
        <v>50.143000000000001</v>
      </c>
      <c r="AF101" s="101">
        <v>50.033000000000001</v>
      </c>
      <c r="AG101" s="102"/>
      <c r="AH101" s="47">
        <f t="shared" si="8"/>
        <v>50.143000000000001</v>
      </c>
      <c r="AI101" s="48">
        <f t="shared" si="9"/>
        <v>49.79</v>
      </c>
    </row>
    <row r="102" spans="1:37" x14ac:dyDescent="0.25">
      <c r="A102" s="103" t="s">
        <v>118</v>
      </c>
      <c r="B102" s="64">
        <v>123</v>
      </c>
      <c r="C102" s="64">
        <v>121.3</v>
      </c>
      <c r="D102" s="64">
        <v>121.3</v>
      </c>
      <c r="E102" s="64">
        <v>122.3</v>
      </c>
      <c r="F102" s="64">
        <v>124.4</v>
      </c>
      <c r="G102" s="64">
        <v>121.2</v>
      </c>
      <c r="H102" s="64">
        <v>122</v>
      </c>
      <c r="I102" s="64">
        <v>122</v>
      </c>
      <c r="J102" s="64">
        <v>122</v>
      </c>
      <c r="K102" s="64">
        <v>122</v>
      </c>
      <c r="L102" s="64">
        <v>123.3</v>
      </c>
      <c r="M102" s="64">
        <v>122</v>
      </c>
      <c r="N102" s="64">
        <v>121.2</v>
      </c>
      <c r="O102" s="64">
        <v>122.8</v>
      </c>
      <c r="P102" s="64">
        <v>120</v>
      </c>
      <c r="Q102" s="64">
        <v>121.5</v>
      </c>
      <c r="R102" s="64">
        <v>121.5</v>
      </c>
      <c r="S102" s="64">
        <v>121.4</v>
      </c>
      <c r="T102" s="64">
        <v>118.1</v>
      </c>
      <c r="U102" s="64">
        <v>120.8</v>
      </c>
      <c r="V102" s="64"/>
      <c r="W102" s="64">
        <v>123.9</v>
      </c>
      <c r="X102" s="64">
        <v>123.3</v>
      </c>
      <c r="Y102" s="64">
        <v>123.3</v>
      </c>
      <c r="Z102" s="64">
        <v>123.4</v>
      </c>
      <c r="AA102" s="64">
        <v>123</v>
      </c>
      <c r="AB102" s="64">
        <v>124.6</v>
      </c>
      <c r="AC102" s="64">
        <v>123.3</v>
      </c>
      <c r="AD102" s="64">
        <v>124.2</v>
      </c>
      <c r="AE102" s="64">
        <v>124.4</v>
      </c>
      <c r="AF102" s="64">
        <v>122.7</v>
      </c>
      <c r="AG102" s="104"/>
      <c r="AH102" s="47">
        <f t="shared" si="8"/>
        <v>124.6</v>
      </c>
      <c r="AI102" s="48">
        <f t="shared" si="9"/>
        <v>118.1</v>
      </c>
    </row>
    <row r="103" spans="1:37" x14ac:dyDescent="0.25">
      <c r="A103" s="103" t="s">
        <v>119</v>
      </c>
      <c r="B103" s="64">
        <v>128.19999999999999</v>
      </c>
      <c r="C103" s="64">
        <v>127.7</v>
      </c>
      <c r="D103" s="64">
        <v>127.7</v>
      </c>
      <c r="E103" s="64">
        <v>128.9</v>
      </c>
      <c r="F103" s="64">
        <v>129.9</v>
      </c>
      <c r="G103" s="64">
        <v>127.1</v>
      </c>
      <c r="H103" s="64">
        <v>127.6</v>
      </c>
      <c r="I103" s="64">
        <v>127.6</v>
      </c>
      <c r="J103" s="64">
        <v>127.6</v>
      </c>
      <c r="K103" s="64">
        <v>127.6</v>
      </c>
      <c r="L103" s="64">
        <v>127.3</v>
      </c>
      <c r="M103" s="64">
        <v>125.8</v>
      </c>
      <c r="N103" s="64">
        <v>125.4</v>
      </c>
      <c r="O103" s="64">
        <v>125.7</v>
      </c>
      <c r="P103" s="64">
        <v>123.8</v>
      </c>
      <c r="Q103" s="64">
        <v>124.9</v>
      </c>
      <c r="R103" s="64">
        <v>125.2</v>
      </c>
      <c r="S103" s="64">
        <v>124.6</v>
      </c>
      <c r="T103" s="64">
        <v>123.4</v>
      </c>
      <c r="U103" s="64">
        <v>124.4</v>
      </c>
      <c r="V103" s="64"/>
      <c r="W103" s="64">
        <v>127.3</v>
      </c>
      <c r="X103" s="64">
        <v>127.1</v>
      </c>
      <c r="Y103" s="64">
        <v>127.1</v>
      </c>
      <c r="Z103" s="64">
        <v>126.4</v>
      </c>
      <c r="AA103" s="64">
        <v>126.5</v>
      </c>
      <c r="AB103" s="64">
        <v>128.30000000000001</v>
      </c>
      <c r="AC103" s="64">
        <v>127.1</v>
      </c>
      <c r="AD103" s="64">
        <v>128.30000000000001</v>
      </c>
      <c r="AE103" s="64">
        <v>129.19999999999999</v>
      </c>
      <c r="AF103" s="64">
        <v>128.1</v>
      </c>
      <c r="AG103" s="104"/>
      <c r="AH103" s="47">
        <f t="shared" si="8"/>
        <v>129.9</v>
      </c>
      <c r="AI103" s="48">
        <f t="shared" si="9"/>
        <v>123.4</v>
      </c>
    </row>
    <row r="104" spans="1:37" x14ac:dyDescent="0.25">
      <c r="A104" s="103" t="s">
        <v>120</v>
      </c>
      <c r="B104" s="64">
        <v>129</v>
      </c>
      <c r="C104" s="64">
        <v>128</v>
      </c>
      <c r="D104" s="64">
        <v>128</v>
      </c>
      <c r="E104" s="64">
        <v>127.8</v>
      </c>
      <c r="F104" s="64">
        <v>126.5</v>
      </c>
      <c r="G104" s="64">
        <v>130</v>
      </c>
      <c r="H104" s="64">
        <v>131.80000000000001</v>
      </c>
      <c r="I104" s="64">
        <v>131.80000000000001</v>
      </c>
      <c r="J104" s="64">
        <v>131.80000000000001</v>
      </c>
      <c r="K104" s="64">
        <v>131.80000000000001</v>
      </c>
      <c r="L104" s="64">
        <v>128.5</v>
      </c>
      <c r="M104" s="64">
        <v>129</v>
      </c>
      <c r="N104" s="64">
        <v>126.3</v>
      </c>
      <c r="O104" s="64">
        <v>128</v>
      </c>
      <c r="P104" s="64">
        <v>124</v>
      </c>
      <c r="Q104" s="64">
        <v>127.5</v>
      </c>
      <c r="R104" s="64">
        <v>132</v>
      </c>
      <c r="S104" s="64">
        <v>129.4</v>
      </c>
      <c r="T104" s="64">
        <v>128.19999999999999</v>
      </c>
      <c r="U104" s="64">
        <v>128.19999999999999</v>
      </c>
      <c r="V104" s="64"/>
      <c r="W104" s="64">
        <v>130.80000000000001</v>
      </c>
      <c r="X104" s="64">
        <v>129.21</v>
      </c>
      <c r="Y104" s="64">
        <v>129.21</v>
      </c>
      <c r="Z104" s="64">
        <v>127.3</v>
      </c>
      <c r="AA104" s="64">
        <v>126.5</v>
      </c>
      <c r="AB104" s="64">
        <v>127.7</v>
      </c>
      <c r="AC104" s="64">
        <v>126.8</v>
      </c>
      <c r="AD104" s="64">
        <v>126</v>
      </c>
      <c r="AE104" s="64">
        <v>128</v>
      </c>
      <c r="AF104" s="64">
        <v>128.69999999999999</v>
      </c>
      <c r="AG104" s="104"/>
      <c r="AH104" s="47">
        <f t="shared" si="8"/>
        <v>132</v>
      </c>
      <c r="AI104" s="48">
        <f t="shared" si="9"/>
        <v>124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122</v>
      </c>
      <c r="B106" s="106">
        <v>130.6</v>
      </c>
      <c r="C106" s="106">
        <v>130</v>
      </c>
      <c r="D106" s="106">
        <v>130</v>
      </c>
      <c r="E106" s="106">
        <v>133.4</v>
      </c>
      <c r="F106" s="106">
        <v>132.80000000000001</v>
      </c>
      <c r="G106" s="106">
        <v>130.80000000000001</v>
      </c>
      <c r="H106" s="106">
        <v>133.6</v>
      </c>
      <c r="I106" s="106">
        <v>133.6</v>
      </c>
      <c r="J106" s="106">
        <v>133.6</v>
      </c>
      <c r="K106" s="106">
        <v>133.6</v>
      </c>
      <c r="L106" s="106">
        <v>134.80000000000001</v>
      </c>
      <c r="M106" s="106">
        <v>135</v>
      </c>
      <c r="N106" s="106">
        <v>126.8</v>
      </c>
      <c r="O106" s="106">
        <v>131.4</v>
      </c>
      <c r="P106" s="106">
        <v>129</v>
      </c>
      <c r="Q106" s="106">
        <v>130.6</v>
      </c>
      <c r="R106" s="106">
        <v>132.5</v>
      </c>
      <c r="S106" s="106">
        <v>128.80000000000001</v>
      </c>
      <c r="T106" s="106">
        <v>129.9</v>
      </c>
      <c r="U106" s="106">
        <v>134.30000000000001</v>
      </c>
      <c r="V106" s="106"/>
      <c r="W106" s="106">
        <v>134</v>
      </c>
      <c r="X106" s="106">
        <v>132.80000000000001</v>
      </c>
      <c r="Y106" s="106">
        <v>132.4</v>
      </c>
      <c r="Z106" s="106">
        <v>133.80000000000001</v>
      </c>
      <c r="AA106" s="106">
        <v>132</v>
      </c>
      <c r="AB106" s="106">
        <v>135</v>
      </c>
      <c r="AC106" s="106">
        <v>132.30000000000001</v>
      </c>
      <c r="AD106" s="106">
        <v>132.4</v>
      </c>
      <c r="AE106" s="106">
        <v>130.9</v>
      </c>
      <c r="AF106" s="106">
        <v>129.69999999999999</v>
      </c>
      <c r="AG106" s="107"/>
      <c r="AH106" s="47">
        <f t="shared" si="8"/>
        <v>135</v>
      </c>
      <c r="AI106" s="48">
        <f t="shared" si="9"/>
        <v>126.8</v>
      </c>
    </row>
    <row r="107" spans="1:37" x14ac:dyDescent="0.25">
      <c r="A107" s="103" t="s">
        <v>123</v>
      </c>
      <c r="B107" s="64">
        <v>128</v>
      </c>
      <c r="C107" s="64">
        <v>130.6</v>
      </c>
      <c r="D107" s="64">
        <v>130.6</v>
      </c>
      <c r="E107" s="64">
        <v>130.1</v>
      </c>
      <c r="F107" s="64">
        <v>132.4</v>
      </c>
      <c r="G107" s="64">
        <v>127.6</v>
      </c>
      <c r="H107" s="64">
        <v>131.6</v>
      </c>
      <c r="I107" s="64">
        <v>131.6</v>
      </c>
      <c r="J107" s="64">
        <v>131.6</v>
      </c>
      <c r="K107" s="64">
        <v>131.6</v>
      </c>
      <c r="L107" s="64">
        <v>134.30000000000001</v>
      </c>
      <c r="M107" s="64">
        <v>133</v>
      </c>
      <c r="N107" s="64">
        <v>121.9</v>
      </c>
      <c r="O107" s="64">
        <v>132.19999999999999</v>
      </c>
      <c r="P107" s="64">
        <v>129</v>
      </c>
      <c r="Q107" s="64">
        <v>130.5</v>
      </c>
      <c r="R107" s="64">
        <v>124</v>
      </c>
      <c r="S107" s="64">
        <v>123.5</v>
      </c>
      <c r="T107" s="64">
        <v>132.4</v>
      </c>
      <c r="U107" s="64">
        <v>128.30000000000001</v>
      </c>
      <c r="V107" s="64"/>
      <c r="W107" s="64">
        <v>126.7</v>
      </c>
      <c r="X107" s="64">
        <v>132.19999999999999</v>
      </c>
      <c r="Y107" s="64">
        <v>132.19999999999999</v>
      </c>
      <c r="Z107" s="64">
        <v>132.19999999999999</v>
      </c>
      <c r="AA107" s="64">
        <v>125.6</v>
      </c>
      <c r="AB107" s="64">
        <v>129.1</v>
      </c>
      <c r="AC107" s="64">
        <v>125</v>
      </c>
      <c r="AD107" s="64">
        <v>124.5</v>
      </c>
      <c r="AE107" s="64">
        <v>126.1</v>
      </c>
      <c r="AF107" s="64">
        <v>123.3</v>
      </c>
      <c r="AG107" s="104"/>
      <c r="AH107" s="47">
        <f t="shared" si="8"/>
        <v>134.30000000000001</v>
      </c>
      <c r="AI107" s="48">
        <f t="shared" si="9"/>
        <v>121.9</v>
      </c>
    </row>
    <row r="108" spans="1:37" ht="15.75" thickBot="1" x14ac:dyDescent="0.3">
      <c r="A108" s="103" t="s">
        <v>124</v>
      </c>
      <c r="B108" s="92">
        <v>64.099999999999994</v>
      </c>
      <c r="C108" s="92">
        <v>63.7</v>
      </c>
      <c r="D108" s="92">
        <v>63.7</v>
      </c>
      <c r="E108" s="92">
        <v>64.5</v>
      </c>
      <c r="F108" s="92">
        <v>64.900000000000006</v>
      </c>
      <c r="G108" s="92">
        <v>63.8</v>
      </c>
      <c r="H108" s="92">
        <v>63.9</v>
      </c>
      <c r="I108" s="92">
        <v>63.9</v>
      </c>
      <c r="J108" s="92">
        <v>63.9</v>
      </c>
      <c r="K108" s="92">
        <v>63.9</v>
      </c>
      <c r="L108" s="92">
        <v>63.7</v>
      </c>
      <c r="M108" s="92">
        <v>63</v>
      </c>
      <c r="N108" s="92">
        <v>62.4</v>
      </c>
      <c r="O108" s="92">
        <v>62.2</v>
      </c>
      <c r="P108" s="92">
        <v>61.4</v>
      </c>
      <c r="Q108" s="92">
        <v>62.3</v>
      </c>
      <c r="R108" s="92">
        <v>62.4</v>
      </c>
      <c r="S108" s="92">
        <v>62.3</v>
      </c>
      <c r="T108" s="92">
        <v>62.2</v>
      </c>
      <c r="U108" s="92">
        <v>62</v>
      </c>
      <c r="V108" s="92"/>
      <c r="W108" s="92">
        <v>63.5</v>
      </c>
      <c r="X108" s="92">
        <v>63.4</v>
      </c>
      <c r="Y108" s="92">
        <v>63.4</v>
      </c>
      <c r="Z108" s="92">
        <v>63</v>
      </c>
      <c r="AA108" s="92">
        <v>63</v>
      </c>
      <c r="AB108" s="92">
        <v>64.3</v>
      </c>
      <c r="AC108" s="92">
        <v>63.7</v>
      </c>
      <c r="AD108" s="92">
        <v>64.3</v>
      </c>
      <c r="AE108" s="92">
        <v>65.099999999999994</v>
      </c>
      <c r="AF108" s="92">
        <v>64.2</v>
      </c>
      <c r="AG108" s="108"/>
      <c r="AH108" s="47">
        <f t="shared" si="8"/>
        <v>65.099999999999994</v>
      </c>
      <c r="AI108" s="48">
        <f t="shared" si="9"/>
        <v>61.4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 t="str">
        <f t="shared" ref="AA109" si="15">IF(AA92=MAX($B$93:$F$93),"PN","")</f>
        <v/>
      </c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126</v>
      </c>
      <c r="B110" s="111">
        <f t="shared" ref="B110:O110" si="16">SUM(B20,B26,B29:B30,B58,B60:B61,B63,B65,B111:B115,B138,B144,B150,B159,B161,B173,B180,B183:B184,B191,B193,B195,B199:B201,B203:B205,B210,B216:B217,B219:B221,B229,B234)</f>
        <v>104.2</v>
      </c>
      <c r="C110" s="111">
        <f t="shared" si="16"/>
        <v>73.04000000000002</v>
      </c>
      <c r="D110" s="111">
        <f t="shared" si="16"/>
        <v>73.04000000000002</v>
      </c>
      <c r="E110" s="111">
        <f t="shared" si="16"/>
        <v>49.940000000000012</v>
      </c>
      <c r="F110" s="111">
        <f t="shared" si="16"/>
        <v>54.039999999999985</v>
      </c>
      <c r="G110" s="111">
        <f t="shared" si="16"/>
        <v>79.040000000000006</v>
      </c>
      <c r="H110" s="111">
        <f t="shared" si="16"/>
        <v>110.84000000000005</v>
      </c>
      <c r="I110" s="111">
        <f t="shared" si="16"/>
        <v>110.84000000000005</v>
      </c>
      <c r="J110" s="111">
        <f t="shared" si="16"/>
        <v>110.84000000000005</v>
      </c>
      <c r="K110" s="111">
        <f t="shared" si="16"/>
        <v>189.14000000000001</v>
      </c>
      <c r="L110" s="111">
        <f t="shared" si="16"/>
        <v>192.04000000000002</v>
      </c>
      <c r="M110" s="111">
        <f t="shared" si="16"/>
        <v>238.94000000000005</v>
      </c>
      <c r="N110" s="111">
        <f t="shared" si="16"/>
        <v>240.54</v>
      </c>
      <c r="O110" s="111">
        <f t="shared" si="16"/>
        <v>255.64000000000004</v>
      </c>
      <c r="P110" s="111">
        <v>42</v>
      </c>
      <c r="Q110" s="111">
        <f t="shared" ref="Q110:AF110" si="17">SUM(Q20,Q26,Q29:Q30,Q58,Q60:Q61,Q63,Q65,Q111:Q115,Q138,Q144,Q150,Q159,Q161,Q173,Q180,Q183:Q184,Q191,Q193,Q195,Q199:Q201,Q203:Q205,Q210,Q216:Q217,Q219:Q221,Q229,Q234)</f>
        <v>252.10000000000005</v>
      </c>
      <c r="R110" s="111">
        <f t="shared" si="17"/>
        <v>240.8</v>
      </c>
      <c r="S110" s="111">
        <f t="shared" si="17"/>
        <v>233.8</v>
      </c>
      <c r="T110" s="111">
        <f t="shared" si="17"/>
        <v>229.50000000000003</v>
      </c>
      <c r="U110" s="111">
        <f t="shared" si="17"/>
        <v>234.96000000000004</v>
      </c>
      <c r="V110" s="111">
        <f t="shared" si="17"/>
        <v>0</v>
      </c>
      <c r="W110" s="111">
        <f t="shared" si="17"/>
        <v>188.3</v>
      </c>
      <c r="X110" s="111">
        <f t="shared" si="17"/>
        <v>206.6</v>
      </c>
      <c r="Y110" s="111">
        <f t="shared" si="17"/>
        <v>206.6</v>
      </c>
      <c r="Z110" s="111">
        <f t="shared" si="17"/>
        <v>249.9</v>
      </c>
      <c r="AA110" s="111">
        <f>SUM(AA155,AA111:AA115,AA14,AA23,AA29,AA37,AA40,AA58,AA60:AA61,AA63,AA65)</f>
        <v>289.10000000000002</v>
      </c>
      <c r="AB110" s="111">
        <f t="shared" si="17"/>
        <v>232.1</v>
      </c>
      <c r="AC110" s="111">
        <f t="shared" si="17"/>
        <v>230.89999999999998</v>
      </c>
      <c r="AD110" s="111">
        <f t="shared" si="17"/>
        <v>151</v>
      </c>
      <c r="AE110" s="111">
        <f t="shared" si="17"/>
        <v>123.20000000000002</v>
      </c>
      <c r="AF110" s="111">
        <f t="shared" si="17"/>
        <v>99.1</v>
      </c>
      <c r="AG110" s="112"/>
      <c r="AH110" s="47">
        <f t="shared" si="8"/>
        <v>289.10000000000002</v>
      </c>
      <c r="AI110" s="48">
        <f t="shared" si="9"/>
        <v>0</v>
      </c>
    </row>
    <row r="111" spans="1:37" x14ac:dyDescent="0.25">
      <c r="A111" s="100" t="s">
        <v>127</v>
      </c>
      <c r="B111" s="113">
        <v>24.2</v>
      </c>
      <c r="C111" s="113">
        <v>32.4</v>
      </c>
      <c r="D111" s="113">
        <v>32.4</v>
      </c>
      <c r="E111" s="113">
        <v>23</v>
      </c>
      <c r="F111" s="113">
        <v>19.600000000000001</v>
      </c>
      <c r="G111" s="113">
        <v>22.8</v>
      </c>
      <c r="H111" s="113">
        <v>29.8</v>
      </c>
      <c r="I111" s="113">
        <v>29.8</v>
      </c>
      <c r="J111" s="113">
        <v>29.8</v>
      </c>
      <c r="K111" s="113">
        <v>36.6</v>
      </c>
      <c r="L111" s="113">
        <v>40.5</v>
      </c>
      <c r="M111" s="113">
        <v>38.4</v>
      </c>
      <c r="N111" s="113">
        <v>21.3</v>
      </c>
      <c r="O111" s="113">
        <v>34</v>
      </c>
      <c r="P111" s="113">
        <v>36.5</v>
      </c>
      <c r="Q111" s="113">
        <v>32.200000000000003</v>
      </c>
      <c r="R111" s="113">
        <v>33.1</v>
      </c>
      <c r="S111" s="113">
        <v>27.9</v>
      </c>
      <c r="T111" s="113">
        <v>25.8</v>
      </c>
      <c r="U111" s="113">
        <v>26.96</v>
      </c>
      <c r="V111" s="113"/>
      <c r="W111" s="113">
        <v>38.200000000000003</v>
      </c>
      <c r="X111" s="113">
        <v>44.5</v>
      </c>
      <c r="Y111" s="113">
        <v>44.5</v>
      </c>
      <c r="Z111" s="113">
        <v>38.200000000000003</v>
      </c>
      <c r="AA111" s="113">
        <v>43.6</v>
      </c>
      <c r="AB111" s="113">
        <v>35.700000000000003</v>
      </c>
      <c r="AC111" s="113">
        <v>38.200000000000003</v>
      </c>
      <c r="AD111" s="113">
        <v>33.1</v>
      </c>
      <c r="AE111" s="113">
        <v>22.9</v>
      </c>
      <c r="AF111" s="113">
        <v>24.7</v>
      </c>
      <c r="AG111" s="114">
        <v>75</v>
      </c>
      <c r="AH111" s="47">
        <f t="shared" si="8"/>
        <v>44.5</v>
      </c>
      <c r="AI111" s="48">
        <f t="shared" si="9"/>
        <v>19.600000000000001</v>
      </c>
    </row>
    <row r="112" spans="1:37" x14ac:dyDescent="0.25">
      <c r="A112" s="103" t="s">
        <v>128</v>
      </c>
      <c r="B112" s="115">
        <v>44.1</v>
      </c>
      <c r="C112" s="115">
        <v>58</v>
      </c>
      <c r="D112" s="115">
        <v>58</v>
      </c>
      <c r="E112" s="115">
        <v>42.6</v>
      </c>
      <c r="F112" s="115">
        <v>35.1</v>
      </c>
      <c r="G112" s="115">
        <v>42.8</v>
      </c>
      <c r="H112" s="115">
        <v>53.2</v>
      </c>
      <c r="I112" s="115">
        <v>53.2</v>
      </c>
      <c r="J112" s="115">
        <v>53.2</v>
      </c>
      <c r="K112" s="115">
        <v>58.8</v>
      </c>
      <c r="L112" s="115">
        <v>67.3</v>
      </c>
      <c r="M112" s="115">
        <v>60.5</v>
      </c>
      <c r="N112" s="115">
        <v>36.200000000000003</v>
      </c>
      <c r="O112" s="115">
        <v>53.1</v>
      </c>
      <c r="P112" s="115">
        <v>58.5</v>
      </c>
      <c r="Q112" s="115">
        <v>52.9</v>
      </c>
      <c r="R112" s="115">
        <v>56.4</v>
      </c>
      <c r="S112" s="115">
        <v>45.8</v>
      </c>
      <c r="T112" s="115">
        <v>26.3</v>
      </c>
      <c r="U112" s="115">
        <v>44.4</v>
      </c>
      <c r="V112" s="115"/>
      <c r="W112" s="115">
        <v>53.1</v>
      </c>
      <c r="X112" s="115">
        <v>62.3</v>
      </c>
      <c r="Y112" s="115">
        <v>62.3</v>
      </c>
      <c r="Z112" s="115">
        <v>62.3</v>
      </c>
      <c r="AA112" s="115">
        <v>67.900000000000006</v>
      </c>
      <c r="AB112" s="115">
        <v>58.3</v>
      </c>
      <c r="AC112" s="115">
        <v>59.5</v>
      </c>
      <c r="AD112" s="115">
        <v>55.9</v>
      </c>
      <c r="AE112" s="115">
        <v>43.9</v>
      </c>
      <c r="AF112" s="115">
        <v>45.6</v>
      </c>
      <c r="AG112" s="114">
        <v>240</v>
      </c>
      <c r="AH112" s="47">
        <f t="shared" si="8"/>
        <v>67.900000000000006</v>
      </c>
      <c r="AI112" s="48">
        <f t="shared" si="9"/>
        <v>26.3</v>
      </c>
    </row>
    <row r="113" spans="1:37" x14ac:dyDescent="0.25">
      <c r="A113" s="103" t="s">
        <v>129</v>
      </c>
      <c r="B113" s="115">
        <v>-139</v>
      </c>
      <c r="C113" s="115">
        <v>-180</v>
      </c>
      <c r="D113" s="115">
        <v>-180</v>
      </c>
      <c r="E113" s="115">
        <f>-90-90</f>
        <v>-180</v>
      </c>
      <c r="F113" s="115">
        <v>-155</v>
      </c>
      <c r="G113" s="115">
        <f>-73.6-78.2</f>
        <v>-151.80000000000001</v>
      </c>
      <c r="H113" s="115">
        <f>-73.6-77.5</f>
        <v>-151.1</v>
      </c>
      <c r="I113" s="115">
        <f t="shared" ref="I113:J113" si="18">-73.6-77.5</f>
        <v>-151.1</v>
      </c>
      <c r="J113" s="115">
        <f t="shared" si="18"/>
        <v>-151.1</v>
      </c>
      <c r="K113" s="115">
        <f>-45-48.6</f>
        <v>-93.6</v>
      </c>
      <c r="L113" s="115">
        <f>-45.5-51.5</f>
        <v>-97</v>
      </c>
      <c r="M113" s="115">
        <v>-105</v>
      </c>
      <c r="N113" s="115">
        <v>-90</v>
      </c>
      <c r="O113" s="115">
        <v>-90</v>
      </c>
      <c r="P113" s="115">
        <v>-110</v>
      </c>
      <c r="Q113" s="115">
        <v>-100</v>
      </c>
      <c r="R113" s="115">
        <v>-100</v>
      </c>
      <c r="S113" s="115">
        <v>-110.1</v>
      </c>
      <c r="T113" s="115">
        <v>-94.6</v>
      </c>
      <c r="U113" s="115">
        <f>-74.7-43.2</f>
        <v>-117.9</v>
      </c>
      <c r="V113" s="115"/>
      <c r="W113" s="115">
        <f>-80.2-49.1</f>
        <v>-129.30000000000001</v>
      </c>
      <c r="X113" s="115">
        <f>-66.1-51</f>
        <v>-117.1</v>
      </c>
      <c r="Y113" s="115">
        <f t="shared" ref="Y113" si="19">-66.1-51</f>
        <v>-117.1</v>
      </c>
      <c r="Z113" s="115">
        <f>-64.6-43.9</f>
        <v>-108.5</v>
      </c>
      <c r="AA113" s="115">
        <f>-65.9-45.9</f>
        <v>-111.80000000000001</v>
      </c>
      <c r="AB113" s="115">
        <v>-123</v>
      </c>
      <c r="AC113" s="115">
        <v>-121</v>
      </c>
      <c r="AD113" s="115">
        <v>-125</v>
      </c>
      <c r="AE113" s="115">
        <v>-127</v>
      </c>
      <c r="AF113" s="115">
        <v>-136</v>
      </c>
      <c r="AG113" s="114">
        <v>240</v>
      </c>
      <c r="AH113" s="47">
        <f t="shared" si="8"/>
        <v>-90</v>
      </c>
      <c r="AI113" s="48">
        <f t="shared" si="9"/>
        <v>-180</v>
      </c>
    </row>
    <row r="114" spans="1:37" x14ac:dyDescent="0.25">
      <c r="A114" s="103" t="s">
        <v>130</v>
      </c>
      <c r="B114" s="115">
        <v>-9.5</v>
      </c>
      <c r="C114" s="115">
        <v>-23</v>
      </c>
      <c r="D114" s="115">
        <v>-23</v>
      </c>
      <c r="E114" s="115">
        <v>-20.399999999999999</v>
      </c>
      <c r="F114" s="115">
        <v>-17.5</v>
      </c>
      <c r="G114" s="115">
        <v>-16.100000000000001</v>
      </c>
      <c r="H114" s="115">
        <v>-10.9</v>
      </c>
      <c r="I114" s="115">
        <v>-10.9</v>
      </c>
      <c r="J114" s="115">
        <v>-10.9</v>
      </c>
      <c r="K114" s="115">
        <v>-2.2999999999999998</v>
      </c>
      <c r="L114" s="115">
        <v>5.8</v>
      </c>
      <c r="M114" s="115">
        <v>5.3</v>
      </c>
      <c r="N114" s="115">
        <v>11.7</v>
      </c>
      <c r="O114" s="115">
        <v>12.4</v>
      </c>
      <c r="P114" s="115">
        <v>16.5</v>
      </c>
      <c r="Q114" s="115">
        <v>25.8</v>
      </c>
      <c r="R114" s="115">
        <v>11.1</v>
      </c>
      <c r="S114" s="115">
        <v>12</v>
      </c>
      <c r="T114" s="115">
        <v>38.299999999999997</v>
      </c>
      <c r="U114" s="115">
        <v>30.3</v>
      </c>
      <c r="V114" s="115"/>
      <c r="W114" s="115">
        <v>26.9</v>
      </c>
      <c r="X114" s="115">
        <v>18.8</v>
      </c>
      <c r="Y114" s="115">
        <v>18.8</v>
      </c>
      <c r="Z114" s="115">
        <v>35.200000000000003</v>
      </c>
      <c r="AA114" s="115">
        <v>37.1</v>
      </c>
      <c r="AB114" s="115">
        <v>39.4</v>
      </c>
      <c r="AC114" s="115">
        <v>35</v>
      </c>
      <c r="AD114" s="115">
        <v>16</v>
      </c>
      <c r="AE114" s="115">
        <v>16.2</v>
      </c>
      <c r="AF114" s="115">
        <v>-2.8</v>
      </c>
      <c r="AG114" s="114">
        <v>60</v>
      </c>
      <c r="AH114" s="47">
        <f t="shared" si="8"/>
        <v>39.4</v>
      </c>
      <c r="AI114" s="48">
        <f t="shared" si="9"/>
        <v>-23</v>
      </c>
    </row>
    <row r="115" spans="1:37" x14ac:dyDescent="0.25">
      <c r="A115" s="116" t="s">
        <v>131</v>
      </c>
      <c r="B115" s="117">
        <v>21.2</v>
      </c>
      <c r="C115" s="117">
        <v>21.5</v>
      </c>
      <c r="D115" s="117">
        <v>21.5</v>
      </c>
      <c r="E115" s="117">
        <v>20.6</v>
      </c>
      <c r="F115" s="117">
        <v>21.4</v>
      </c>
      <c r="G115" s="117">
        <v>20.9</v>
      </c>
      <c r="H115" s="117">
        <v>20.7</v>
      </c>
      <c r="I115" s="117">
        <v>20.7</v>
      </c>
      <c r="J115" s="117">
        <v>20.7</v>
      </c>
      <c r="K115" s="117">
        <v>20.5</v>
      </c>
      <c r="L115" s="117" t="s">
        <v>271</v>
      </c>
      <c r="M115" s="117">
        <v>67</v>
      </c>
      <c r="N115" s="117">
        <v>88.6</v>
      </c>
      <c r="O115" s="117">
        <v>73.400000000000006</v>
      </c>
      <c r="P115" s="117">
        <v>80.400000000000006</v>
      </c>
      <c r="Q115" s="117">
        <v>80</v>
      </c>
      <c r="R115" s="117">
        <v>79</v>
      </c>
      <c r="S115" s="117">
        <v>98.8</v>
      </c>
      <c r="T115" s="117">
        <v>74.400000000000006</v>
      </c>
      <c r="U115" s="117">
        <v>101.2</v>
      </c>
      <c r="V115" s="117"/>
      <c r="W115" s="117">
        <v>45.8</v>
      </c>
      <c r="X115" s="117">
        <v>44.5</v>
      </c>
      <c r="Y115" s="117">
        <v>44.5</v>
      </c>
      <c r="Z115" s="117">
        <v>69.099999999999994</v>
      </c>
      <c r="AA115" s="117">
        <v>72.2</v>
      </c>
      <c r="AB115" s="117">
        <v>70.5</v>
      </c>
      <c r="AC115" s="117">
        <v>68</v>
      </c>
      <c r="AD115" s="117">
        <v>19.8</v>
      </c>
      <c r="AE115" s="117">
        <v>20.2</v>
      </c>
      <c r="AF115" s="117">
        <v>20.7</v>
      </c>
      <c r="AG115" s="118">
        <v>120</v>
      </c>
      <c r="AH115" s="47">
        <f t="shared" si="8"/>
        <v>101.2</v>
      </c>
      <c r="AI115" s="48">
        <f t="shared" si="9"/>
        <v>19.8</v>
      </c>
    </row>
    <row r="116" spans="1:37" x14ac:dyDescent="0.25">
      <c r="A116" s="116" t="s">
        <v>132</v>
      </c>
      <c r="B116" s="117">
        <v>48</v>
      </c>
      <c r="C116" s="117">
        <v>34</v>
      </c>
      <c r="D116" s="117">
        <v>34</v>
      </c>
      <c r="E116" s="117">
        <v>44.1</v>
      </c>
      <c r="F116" s="117">
        <v>23.2</v>
      </c>
      <c r="G116" s="117">
        <v>33.9</v>
      </c>
      <c r="H116" s="117">
        <v>27.8</v>
      </c>
      <c r="I116" s="117">
        <v>27.8</v>
      </c>
      <c r="J116" s="117">
        <v>27.8</v>
      </c>
      <c r="K116" s="117">
        <v>48.7</v>
      </c>
      <c r="L116" s="117">
        <v>37.200000000000003</v>
      </c>
      <c r="M116" s="117">
        <v>52</v>
      </c>
      <c r="N116" s="117">
        <v>63.1</v>
      </c>
      <c r="O116" s="117">
        <v>54.3</v>
      </c>
      <c r="P116" s="117">
        <v>66.599999999999994</v>
      </c>
      <c r="Q116" s="117">
        <v>66</v>
      </c>
      <c r="R116" s="117">
        <v>66</v>
      </c>
      <c r="S116" s="117">
        <v>90.2</v>
      </c>
      <c r="T116" s="117">
        <v>65.2</v>
      </c>
      <c r="U116" s="117">
        <v>79.099999999999994</v>
      </c>
      <c r="V116" s="117"/>
      <c r="W116" s="117">
        <v>31.2</v>
      </c>
      <c r="X116" s="117">
        <v>33.299999999999997</v>
      </c>
      <c r="Y116" s="117">
        <v>33.299999999999997</v>
      </c>
      <c r="Z116" s="117">
        <v>50.2</v>
      </c>
      <c r="AA116" s="117">
        <v>50.5</v>
      </c>
      <c r="AB116" s="117">
        <v>41.7</v>
      </c>
      <c r="AC116" s="117">
        <v>52</v>
      </c>
      <c r="AD116" s="117">
        <v>59.9</v>
      </c>
      <c r="AE116" s="117">
        <v>59.8</v>
      </c>
      <c r="AF116" s="117">
        <v>70.5</v>
      </c>
      <c r="AG116" s="118"/>
      <c r="AH116" s="47">
        <f t="shared" si="8"/>
        <v>90.2</v>
      </c>
      <c r="AI116" s="48">
        <f t="shared" si="9"/>
        <v>23.2</v>
      </c>
    </row>
    <row r="117" spans="1:37" x14ac:dyDescent="0.25">
      <c r="A117" s="116" t="s">
        <v>133</v>
      </c>
      <c r="B117" s="117">
        <v>42</v>
      </c>
      <c r="C117" s="117">
        <v>46.5</v>
      </c>
      <c r="D117" s="117">
        <v>46.5</v>
      </c>
      <c r="E117" s="117">
        <v>42.5</v>
      </c>
      <c r="F117" s="117">
        <v>29.8</v>
      </c>
      <c r="G117" s="117">
        <v>21.7</v>
      </c>
      <c r="H117" s="117">
        <v>21.4</v>
      </c>
      <c r="I117" s="117">
        <v>21.4</v>
      </c>
      <c r="J117" s="117">
        <v>21.4</v>
      </c>
      <c r="K117" s="117">
        <v>7.1</v>
      </c>
      <c r="L117" s="117">
        <v>7.5</v>
      </c>
      <c r="M117" s="117">
        <v>8.6999999999999993</v>
      </c>
      <c r="N117" s="117">
        <v>31.8</v>
      </c>
      <c r="O117" s="117">
        <v>5.3</v>
      </c>
      <c r="P117" s="117">
        <v>10.4</v>
      </c>
      <c r="Q117" s="117">
        <v>11.9</v>
      </c>
      <c r="R117" s="117">
        <v>12.6</v>
      </c>
      <c r="S117" s="117">
        <v>44.1</v>
      </c>
      <c r="T117" s="117">
        <v>40.799999999999997</v>
      </c>
      <c r="U117" s="117">
        <v>47.6</v>
      </c>
      <c r="V117" s="117"/>
      <c r="W117" s="117">
        <v>4.3</v>
      </c>
      <c r="X117" s="117">
        <v>35.200000000000003</v>
      </c>
      <c r="Y117" s="117">
        <v>35.200000000000003</v>
      </c>
      <c r="Z117" s="117">
        <v>8.9</v>
      </c>
      <c r="AA117" s="117">
        <v>-5.0999999999999996</v>
      </c>
      <c r="AB117" s="117">
        <v>12.3</v>
      </c>
      <c r="AC117" s="117">
        <v>2.4</v>
      </c>
      <c r="AD117" s="117">
        <v>20.7</v>
      </c>
      <c r="AE117" s="117">
        <v>27.2</v>
      </c>
      <c r="AF117" s="117">
        <v>23.4</v>
      </c>
      <c r="AG117" s="119"/>
      <c r="AH117" s="47">
        <f t="shared" si="8"/>
        <v>47.6</v>
      </c>
      <c r="AI117" s="48">
        <f t="shared" si="9"/>
        <v>-5.0999999999999996</v>
      </c>
    </row>
    <row r="118" spans="1:37" x14ac:dyDescent="0.25">
      <c r="A118" s="120" t="s">
        <v>134</v>
      </c>
      <c r="B118" s="106">
        <v>42.2</v>
      </c>
      <c r="C118" s="106">
        <v>48</v>
      </c>
      <c r="D118" s="106">
        <v>48</v>
      </c>
      <c r="E118" s="106">
        <v>55.7</v>
      </c>
      <c r="F118" s="106">
        <v>-23.2</v>
      </c>
      <c r="G118" s="106">
        <v>49.5</v>
      </c>
      <c r="H118" s="106">
        <v>50.2</v>
      </c>
      <c r="I118" s="106">
        <v>50.2</v>
      </c>
      <c r="J118" s="106">
        <v>50.2</v>
      </c>
      <c r="K118" s="106">
        <v>38.299999999999997</v>
      </c>
      <c r="L118" s="106">
        <v>40</v>
      </c>
      <c r="M118" s="106">
        <v>37.299999999999997</v>
      </c>
      <c r="N118" s="106">
        <v>33.5</v>
      </c>
      <c r="O118" s="106">
        <v>15.3</v>
      </c>
      <c r="P118" s="106">
        <v>24.5</v>
      </c>
      <c r="Q118" s="106">
        <v>21.8</v>
      </c>
      <c r="R118" s="106">
        <v>29.1</v>
      </c>
      <c r="S118" s="106">
        <v>56.1</v>
      </c>
      <c r="T118" s="106">
        <v>42.4</v>
      </c>
      <c r="U118" s="106">
        <v>34.9</v>
      </c>
      <c r="V118" s="106"/>
      <c r="W118" s="106">
        <v>34.4</v>
      </c>
      <c r="X118" s="106">
        <v>-30.4</v>
      </c>
      <c r="Y118" s="106">
        <v>-30.4</v>
      </c>
      <c r="Z118" s="106">
        <v>16</v>
      </c>
      <c r="AA118" s="106">
        <v>15</v>
      </c>
      <c r="AB118" s="106">
        <v>9.1</v>
      </c>
      <c r="AC118" s="106">
        <v>17</v>
      </c>
      <c r="AD118" s="106">
        <v>32.200000000000003</v>
      </c>
      <c r="AE118" s="106">
        <v>44.9</v>
      </c>
      <c r="AF118" s="106">
        <v>49.1</v>
      </c>
      <c r="AG118" s="119"/>
      <c r="AH118" s="47">
        <f t="shared" si="8"/>
        <v>56.1</v>
      </c>
      <c r="AI118" s="48">
        <f t="shared" si="9"/>
        <v>-30.4</v>
      </c>
    </row>
    <row r="119" spans="1:37" x14ac:dyDescent="0.25">
      <c r="A119" s="121" t="s">
        <v>135</v>
      </c>
      <c r="B119" s="106">
        <v>82</v>
      </c>
      <c r="C119" s="106">
        <v>82</v>
      </c>
      <c r="D119" s="106">
        <v>82</v>
      </c>
      <c r="E119" s="106">
        <v>80.3</v>
      </c>
      <c r="F119" s="106">
        <v>96.7</v>
      </c>
      <c r="G119" s="106">
        <v>94.7</v>
      </c>
      <c r="H119" s="106">
        <v>98.9</v>
      </c>
      <c r="I119" s="106">
        <v>98.9</v>
      </c>
      <c r="J119" s="106">
        <v>98.9</v>
      </c>
      <c r="K119" s="106">
        <v>63</v>
      </c>
      <c r="L119" s="106">
        <v>72.5</v>
      </c>
      <c r="M119" s="106">
        <v>77.8</v>
      </c>
      <c r="N119" s="106">
        <v>56.3</v>
      </c>
      <c r="O119" s="106">
        <v>60</v>
      </c>
      <c r="P119" s="106">
        <v>70.2</v>
      </c>
      <c r="Q119" s="106">
        <v>75.400000000000006</v>
      </c>
      <c r="R119" s="106">
        <v>66.3</v>
      </c>
      <c r="S119" s="106">
        <v>62.2</v>
      </c>
      <c r="T119" s="106">
        <v>68.3</v>
      </c>
      <c r="U119" s="106">
        <v>50.5</v>
      </c>
      <c r="V119" s="106"/>
      <c r="W119" s="106">
        <v>76.3</v>
      </c>
      <c r="X119" s="106">
        <v>51.2</v>
      </c>
      <c r="Y119" s="106">
        <v>51.2</v>
      </c>
      <c r="Z119" s="106">
        <v>73</v>
      </c>
      <c r="AA119" s="106">
        <v>76</v>
      </c>
      <c r="AB119" s="106">
        <v>79.400000000000006</v>
      </c>
      <c r="AC119" s="106">
        <v>89</v>
      </c>
      <c r="AD119" s="106">
        <v>77</v>
      </c>
      <c r="AE119" s="106">
        <v>87</v>
      </c>
      <c r="AF119" s="106">
        <v>89</v>
      </c>
      <c r="AG119" s="119"/>
      <c r="AH119" s="47">
        <f t="shared" si="8"/>
        <v>98.9</v>
      </c>
      <c r="AI119" s="48">
        <f t="shared" si="9"/>
        <v>50.5</v>
      </c>
    </row>
    <row r="120" spans="1:37" ht="15.75" thickBot="1" x14ac:dyDescent="0.3">
      <c r="A120" s="120" t="s">
        <v>272</v>
      </c>
      <c r="B120" s="106">
        <v>60</v>
      </c>
      <c r="C120" s="106">
        <v>59</v>
      </c>
      <c r="D120" s="106">
        <v>59</v>
      </c>
      <c r="E120" s="106">
        <v>44.7</v>
      </c>
      <c r="F120" s="106">
        <v>85.5</v>
      </c>
      <c r="G120" s="106">
        <v>42.4</v>
      </c>
      <c r="H120" s="106">
        <v>28.9</v>
      </c>
      <c r="I120" s="106">
        <v>28.9</v>
      </c>
      <c r="J120" s="106">
        <v>28.9</v>
      </c>
      <c r="K120" s="106">
        <v>39.5</v>
      </c>
      <c r="L120" s="106">
        <v>45</v>
      </c>
      <c r="M120" s="106">
        <v>55.3</v>
      </c>
      <c r="N120" s="106">
        <v>63.8</v>
      </c>
      <c r="O120" s="106">
        <v>70</v>
      </c>
      <c r="P120" s="106">
        <v>58</v>
      </c>
      <c r="Q120" s="106">
        <v>67</v>
      </c>
      <c r="R120" s="106">
        <v>25</v>
      </c>
      <c r="S120" s="106">
        <v>42</v>
      </c>
      <c r="T120" s="106">
        <v>39.299999999999997</v>
      </c>
      <c r="U120" s="106">
        <v>56.8</v>
      </c>
      <c r="V120" s="106"/>
      <c r="W120" s="106">
        <v>47.7</v>
      </c>
      <c r="X120" s="106">
        <v>50</v>
      </c>
      <c r="Y120" s="106">
        <v>50</v>
      </c>
      <c r="Z120" s="106">
        <v>79.7</v>
      </c>
      <c r="AA120" s="106">
        <v>79.2</v>
      </c>
      <c r="AB120" s="106">
        <v>83.7</v>
      </c>
      <c r="AC120" s="106">
        <v>87.2</v>
      </c>
      <c r="AD120" s="106">
        <v>80.7</v>
      </c>
      <c r="AE120" s="106">
        <v>81.5</v>
      </c>
      <c r="AF120" s="106">
        <v>62.6</v>
      </c>
      <c r="AG120" s="119"/>
      <c r="AH120" s="47">
        <f t="shared" si="8"/>
        <v>87.2</v>
      </c>
      <c r="AI120" s="48">
        <f t="shared" si="9"/>
        <v>25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20">SUM(B122:B226)</f>
        <v>0</v>
      </c>
      <c r="C227" s="137">
        <f t="shared" si="20"/>
        <v>0</v>
      </c>
      <c r="D227" s="137">
        <f t="shared" si="20"/>
        <v>0</v>
      </c>
      <c r="E227" s="137">
        <f t="shared" si="20"/>
        <v>0</v>
      </c>
      <c r="F227" s="137">
        <f t="shared" si="20"/>
        <v>0</v>
      </c>
      <c r="G227" s="137">
        <f t="shared" si="20"/>
        <v>0</v>
      </c>
      <c r="H227" s="137">
        <f t="shared" si="20"/>
        <v>0</v>
      </c>
      <c r="I227" s="137">
        <f t="shared" si="20"/>
        <v>0</v>
      </c>
      <c r="J227" s="137">
        <f t="shared" si="20"/>
        <v>0</v>
      </c>
      <c r="K227" s="137">
        <f t="shared" si="20"/>
        <v>0</v>
      </c>
      <c r="L227" s="137">
        <f t="shared" si="20"/>
        <v>0</v>
      </c>
      <c r="M227" s="137">
        <f t="shared" si="20"/>
        <v>0</v>
      </c>
      <c r="N227" s="137">
        <f t="shared" si="20"/>
        <v>0</v>
      </c>
      <c r="O227" s="137">
        <f t="shared" si="20"/>
        <v>0</v>
      </c>
      <c r="P227" s="137">
        <f t="shared" si="20"/>
        <v>0</v>
      </c>
      <c r="Q227" s="137">
        <f t="shared" si="20"/>
        <v>0</v>
      </c>
      <c r="R227" s="137">
        <f t="shared" si="20"/>
        <v>0</v>
      </c>
      <c r="S227" s="137">
        <f t="shared" si="20"/>
        <v>0</v>
      </c>
      <c r="T227" s="137">
        <f t="shared" si="20"/>
        <v>0</v>
      </c>
      <c r="U227" s="137">
        <f t="shared" si="20"/>
        <v>0</v>
      </c>
      <c r="V227" s="137">
        <f t="shared" si="20"/>
        <v>0</v>
      </c>
      <c r="W227" s="137">
        <f t="shared" si="20"/>
        <v>0</v>
      </c>
      <c r="X227" s="137">
        <f t="shared" si="20"/>
        <v>0</v>
      </c>
      <c r="Y227" s="137">
        <f t="shared" si="20"/>
        <v>0</v>
      </c>
      <c r="Z227" s="137">
        <f t="shared" si="20"/>
        <v>0</v>
      </c>
      <c r="AA227" s="137">
        <f t="shared" si="20"/>
        <v>0</v>
      </c>
      <c r="AB227" s="137">
        <f t="shared" si="20"/>
        <v>0</v>
      </c>
      <c r="AC227" s="137">
        <f t="shared" si="20"/>
        <v>0</v>
      </c>
      <c r="AD227" s="137">
        <f t="shared" si="20"/>
        <v>0</v>
      </c>
      <c r="AE227" s="137">
        <f t="shared" si="20"/>
        <v>0</v>
      </c>
      <c r="AF227" s="138">
        <f t="shared" si="20"/>
        <v>0</v>
      </c>
      <c r="AG227" s="139">
        <f t="shared" si="20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21">AF229</f>
        <v>0</v>
      </c>
      <c r="C229" s="141">
        <v>0.3</v>
      </c>
      <c r="D229" s="141">
        <f t="shared" ref="D229:P234" si="22">C229</f>
        <v>0.3</v>
      </c>
      <c r="E229" s="141">
        <f t="shared" si="22"/>
        <v>0.3</v>
      </c>
      <c r="F229" s="141">
        <f t="shared" si="22"/>
        <v>0.3</v>
      </c>
      <c r="G229" s="141">
        <f t="shared" si="22"/>
        <v>0.3</v>
      </c>
      <c r="H229" s="141">
        <f t="shared" si="22"/>
        <v>0.3</v>
      </c>
      <c r="I229" s="141">
        <f t="shared" si="22"/>
        <v>0.3</v>
      </c>
      <c r="J229" s="141">
        <f t="shared" si="22"/>
        <v>0.3</v>
      </c>
      <c r="K229" s="141">
        <f t="shared" si="22"/>
        <v>0.3</v>
      </c>
      <c r="L229" s="141">
        <f t="shared" si="22"/>
        <v>0.3</v>
      </c>
      <c r="M229" s="141">
        <f t="shared" si="22"/>
        <v>0.3</v>
      </c>
      <c r="N229" s="141">
        <f t="shared" si="22"/>
        <v>0.3</v>
      </c>
      <c r="O229" s="141">
        <f t="shared" si="22"/>
        <v>0.3</v>
      </c>
      <c r="P229" s="141">
        <f t="shared" si="22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21"/>
        <v>0</v>
      </c>
      <c r="C230" s="129">
        <v>0.4</v>
      </c>
      <c r="D230" s="129">
        <f t="shared" si="22"/>
        <v>0.4</v>
      </c>
      <c r="E230" s="129">
        <f t="shared" si="22"/>
        <v>0.4</v>
      </c>
      <c r="F230" s="129">
        <f t="shared" si="22"/>
        <v>0.4</v>
      </c>
      <c r="G230" s="129">
        <f t="shared" si="22"/>
        <v>0.4</v>
      </c>
      <c r="H230" s="129">
        <f t="shared" si="22"/>
        <v>0.4</v>
      </c>
      <c r="I230" s="129">
        <f t="shared" si="22"/>
        <v>0.4</v>
      </c>
      <c r="J230" s="129">
        <f t="shared" si="22"/>
        <v>0.4</v>
      </c>
      <c r="K230" s="129">
        <f t="shared" si="22"/>
        <v>0.4</v>
      </c>
      <c r="L230" s="129">
        <f t="shared" si="22"/>
        <v>0.4</v>
      </c>
      <c r="M230" s="129">
        <f t="shared" si="22"/>
        <v>0.4</v>
      </c>
      <c r="N230" s="129">
        <f t="shared" si="22"/>
        <v>0.4</v>
      </c>
      <c r="O230" s="129">
        <f t="shared" si="22"/>
        <v>0.4</v>
      </c>
      <c r="P230" s="129">
        <f t="shared" si="22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21"/>
        <v>0</v>
      </c>
      <c r="C231" s="129">
        <v>1.5</v>
      </c>
      <c r="D231" s="129">
        <f t="shared" si="22"/>
        <v>1.5</v>
      </c>
      <c r="E231" s="129">
        <f t="shared" si="22"/>
        <v>1.5</v>
      </c>
      <c r="F231" s="129">
        <f t="shared" si="22"/>
        <v>1.5</v>
      </c>
      <c r="G231" s="129">
        <f t="shared" si="22"/>
        <v>1.5</v>
      </c>
      <c r="H231" s="129">
        <f t="shared" si="22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22"/>
        <v>123.21900000000009</v>
      </c>
      <c r="K231" s="129">
        <f t="shared" ca="1" si="22"/>
        <v>123.21900000000009</v>
      </c>
      <c r="L231" s="129">
        <f t="shared" ca="1" si="22"/>
        <v>123.21900000000009</v>
      </c>
      <c r="M231" s="129">
        <f t="shared" ca="1" si="22"/>
        <v>119.19900000000008</v>
      </c>
      <c r="N231" s="129">
        <f t="shared" ca="1" si="22"/>
        <v>119.19900000000008</v>
      </c>
      <c r="O231" s="129">
        <f t="shared" ca="1" si="22"/>
        <v>119.19900000000008</v>
      </c>
      <c r="P231" s="129">
        <f t="shared" ca="1" si="22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21"/>
        <v>0</v>
      </c>
      <c r="C232" s="129">
        <v>0.3</v>
      </c>
      <c r="D232" s="129">
        <f t="shared" si="22"/>
        <v>0.3</v>
      </c>
      <c r="E232" s="129">
        <f t="shared" si="22"/>
        <v>0.3</v>
      </c>
      <c r="F232" s="129">
        <f t="shared" si="22"/>
        <v>0.3</v>
      </c>
      <c r="G232" s="129">
        <f t="shared" si="22"/>
        <v>0.3</v>
      </c>
      <c r="H232" s="129">
        <f t="shared" si="22"/>
        <v>0.3</v>
      </c>
      <c r="I232" s="129">
        <f t="shared" si="22"/>
        <v>0.3</v>
      </c>
      <c r="J232" s="129">
        <f t="shared" si="22"/>
        <v>0.3</v>
      </c>
      <c r="K232" s="129">
        <f t="shared" si="22"/>
        <v>0.3</v>
      </c>
      <c r="L232" s="129">
        <f t="shared" si="22"/>
        <v>0.3</v>
      </c>
      <c r="M232" s="129">
        <f t="shared" si="22"/>
        <v>0.3</v>
      </c>
      <c r="N232" s="129">
        <f t="shared" si="22"/>
        <v>0.3</v>
      </c>
      <c r="O232" s="129">
        <f t="shared" si="22"/>
        <v>0.3</v>
      </c>
      <c r="P232" s="129">
        <f t="shared" si="22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21"/>
        <v>0</v>
      </c>
      <c r="C233" s="129">
        <v>0.4</v>
      </c>
      <c r="D233" s="129">
        <f t="shared" si="22"/>
        <v>0.4</v>
      </c>
      <c r="E233" s="129">
        <f t="shared" si="22"/>
        <v>0.4</v>
      </c>
      <c r="F233" s="129">
        <f t="shared" si="22"/>
        <v>0.4</v>
      </c>
      <c r="G233" s="129">
        <f t="shared" si="22"/>
        <v>0.4</v>
      </c>
      <c r="H233" s="129">
        <f t="shared" si="22"/>
        <v>0.4</v>
      </c>
      <c r="I233" s="129">
        <f t="shared" si="22"/>
        <v>0.4</v>
      </c>
      <c r="J233" s="129">
        <f t="shared" si="22"/>
        <v>0.4</v>
      </c>
      <c r="K233" s="129">
        <f t="shared" si="22"/>
        <v>0.4</v>
      </c>
      <c r="L233" s="129">
        <f t="shared" si="22"/>
        <v>0.4</v>
      </c>
      <c r="M233" s="129">
        <f t="shared" si="22"/>
        <v>0.4</v>
      </c>
      <c r="N233" s="129">
        <f t="shared" si="22"/>
        <v>0.4</v>
      </c>
      <c r="O233" s="129">
        <f t="shared" si="22"/>
        <v>0.4</v>
      </c>
      <c r="P233" s="129">
        <f t="shared" si="22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21"/>
        <v>0</v>
      </c>
      <c r="C234" s="133">
        <v>0.64</v>
      </c>
      <c r="D234" s="133">
        <f t="shared" si="22"/>
        <v>0.64</v>
      </c>
      <c r="E234" s="133">
        <f t="shared" si="22"/>
        <v>0.64</v>
      </c>
      <c r="F234" s="133">
        <f t="shared" si="22"/>
        <v>0.64</v>
      </c>
      <c r="G234" s="133">
        <f t="shared" si="22"/>
        <v>0.64</v>
      </c>
      <c r="H234" s="133">
        <f t="shared" si="22"/>
        <v>0.64</v>
      </c>
      <c r="I234" s="133">
        <f t="shared" si="22"/>
        <v>0.64</v>
      </c>
      <c r="J234" s="133">
        <f t="shared" si="22"/>
        <v>0.64</v>
      </c>
      <c r="K234" s="133">
        <f t="shared" si="22"/>
        <v>0.64</v>
      </c>
      <c r="L234" s="133">
        <f t="shared" si="22"/>
        <v>0.64</v>
      </c>
      <c r="M234" s="133">
        <f t="shared" si="22"/>
        <v>0.64</v>
      </c>
      <c r="N234" s="133">
        <f t="shared" si="22"/>
        <v>0.64</v>
      </c>
      <c r="O234" s="133">
        <f t="shared" si="22"/>
        <v>0.64</v>
      </c>
      <c r="P234" s="133">
        <f t="shared" si="22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3">SUM(B229:B234)</f>
        <v>0</v>
      </c>
      <c r="C235" s="137">
        <f t="shared" si="23"/>
        <v>3.54</v>
      </c>
      <c r="D235" s="137">
        <f t="shared" si="23"/>
        <v>3.54</v>
      </c>
      <c r="E235" s="137">
        <f t="shared" si="23"/>
        <v>3.54</v>
      </c>
      <c r="F235" s="137">
        <f t="shared" si="23"/>
        <v>3.54</v>
      </c>
      <c r="G235" s="137">
        <f t="shared" si="23"/>
        <v>3.54</v>
      </c>
      <c r="H235" s="137">
        <f t="shared" si="23"/>
        <v>3.54</v>
      </c>
      <c r="I235" s="137">
        <f t="shared" ca="1" si="23"/>
        <v>121.23900000000009</v>
      </c>
      <c r="J235" s="137">
        <f t="shared" ca="1" si="23"/>
        <v>121.23900000000009</v>
      </c>
      <c r="K235" s="137">
        <f t="shared" ca="1" si="23"/>
        <v>121.23900000000009</v>
      </c>
      <c r="L235" s="137">
        <f t="shared" ca="1" si="23"/>
        <v>125.2590000000001</v>
      </c>
      <c r="M235" s="137">
        <f t="shared" ca="1" si="23"/>
        <v>121.23900000000009</v>
      </c>
      <c r="N235" s="137">
        <f t="shared" ca="1" si="23"/>
        <v>121.23900000000009</v>
      </c>
      <c r="O235" s="137">
        <f t="shared" ca="1" si="23"/>
        <v>121.23900000000009</v>
      </c>
      <c r="P235" s="137">
        <f t="shared" ca="1" si="23"/>
        <v>121.23900000000009</v>
      </c>
      <c r="Q235" s="137">
        <f t="shared" si="23"/>
        <v>0</v>
      </c>
      <c r="R235" s="137">
        <f t="shared" si="23"/>
        <v>0</v>
      </c>
      <c r="S235" s="137">
        <f t="shared" si="23"/>
        <v>0</v>
      </c>
      <c r="T235" s="137">
        <f t="shared" si="23"/>
        <v>0</v>
      </c>
      <c r="U235" s="137">
        <f t="shared" si="23"/>
        <v>0</v>
      </c>
      <c r="V235" s="137">
        <f t="shared" si="23"/>
        <v>0</v>
      </c>
      <c r="W235" s="137">
        <f t="shared" si="23"/>
        <v>0</v>
      </c>
      <c r="X235" s="137">
        <f t="shared" si="23"/>
        <v>0</v>
      </c>
      <c r="Y235" s="137">
        <f t="shared" si="23"/>
        <v>0</v>
      </c>
      <c r="Z235" s="137">
        <f t="shared" si="23"/>
        <v>0</v>
      </c>
      <c r="AA235" s="137">
        <f t="shared" si="23"/>
        <v>0</v>
      </c>
      <c r="AB235" s="137">
        <f t="shared" si="23"/>
        <v>0</v>
      </c>
      <c r="AC235" s="137">
        <f t="shared" si="23"/>
        <v>0</v>
      </c>
      <c r="AD235" s="137">
        <f t="shared" si="23"/>
        <v>0</v>
      </c>
      <c r="AE235" s="137">
        <f t="shared" si="23"/>
        <v>0</v>
      </c>
      <c r="AF235" s="137">
        <f t="shared" si="23"/>
        <v>0</v>
      </c>
      <c r="AG235" s="146">
        <f t="shared" si="23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1927.34</v>
      </c>
      <c r="C244" s="162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06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2080/03/6)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2080/03/6)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4">B91</f>
        <v>1985.5399999999997</v>
      </c>
      <c r="U249" s="171">
        <f t="shared" si="24"/>
        <v>1985.9399999999998</v>
      </c>
      <c r="V249" s="171">
        <f t="shared" si="24"/>
        <v>1974.7399999999998</v>
      </c>
      <c r="W249" s="171">
        <f t="shared" si="24"/>
        <v>1911.0399999999997</v>
      </c>
      <c r="X249" s="171">
        <f t="shared" si="24"/>
        <v>1859.5399999999997</v>
      </c>
      <c r="Y249" s="171">
        <f t="shared" si="24"/>
        <v>1876.2399999999998</v>
      </c>
      <c r="Z249" s="171">
        <f t="shared" si="24"/>
        <v>1879.7399999999998</v>
      </c>
      <c r="AA249" s="171">
        <f t="shared" si="24"/>
        <v>1872.3399999999997</v>
      </c>
      <c r="AB249" s="171">
        <f t="shared" si="24"/>
        <v>1745.1399999999999</v>
      </c>
      <c r="AC249" s="171">
        <f t="shared" si="24"/>
        <v>1863.7399999999998</v>
      </c>
      <c r="AD249" s="171">
        <f t="shared" si="24"/>
        <v>1881.1399999999999</v>
      </c>
      <c r="AE249" s="171">
        <f t="shared" si="24"/>
        <v>1912.7400000000002</v>
      </c>
      <c r="AF249" s="171">
        <f t="shared" si="24"/>
        <v>1927.34</v>
      </c>
      <c r="AG249" s="171">
        <f t="shared" si="24"/>
        <v>2011.14</v>
      </c>
      <c r="AH249" s="171">
        <f t="shared" si="24"/>
        <v>1984.74</v>
      </c>
      <c r="AI249" s="171">
        <f t="shared" si="24"/>
        <v>2019.94</v>
      </c>
      <c r="AJ249" s="171">
        <f t="shared" si="24"/>
        <v>2003.5400000000002</v>
      </c>
      <c r="AK249" s="171">
        <f t="shared" si="24"/>
        <v>1988.4400000000003</v>
      </c>
      <c r="AL249" s="171">
        <f t="shared" si="24"/>
        <v>1981.6399999999999</v>
      </c>
      <c r="AM249" s="171">
        <f t="shared" si="24"/>
        <v>1956.1400000000003</v>
      </c>
      <c r="AN249" s="171">
        <f t="shared" si="24"/>
        <v>536.54</v>
      </c>
      <c r="AO249" s="171">
        <f t="shared" si="24"/>
        <v>1883.9400000000003</v>
      </c>
      <c r="AP249" s="171">
        <f t="shared" si="24"/>
        <v>1768.04</v>
      </c>
      <c r="AQ249" s="171">
        <f t="shared" si="24"/>
        <v>1832.04</v>
      </c>
      <c r="AR249" s="171">
        <f t="shared" si="24"/>
        <v>1908.8400000000001</v>
      </c>
      <c r="AS249" s="171">
        <f t="shared" si="24"/>
        <v>2106.9399999999996</v>
      </c>
      <c r="AT249" s="171">
        <f t="shared" si="24"/>
        <v>2113.1400000000003</v>
      </c>
      <c r="AU249" s="171">
        <f t="shared" si="24"/>
        <v>2072.4399999999996</v>
      </c>
      <c r="AV249" s="171">
        <f t="shared" si="24"/>
        <v>2014.54</v>
      </c>
      <c r="AW249" s="171">
        <f t="shared" si="24"/>
        <v>1947.5399999999997</v>
      </c>
      <c r="AX249" s="171">
        <f t="shared" si="24"/>
        <v>1912.34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25">C234</f>
        <v>0.64</v>
      </c>
      <c r="C270" s="174">
        <f t="shared" si="25"/>
        <v>0.64</v>
      </c>
      <c r="D270" s="174">
        <f t="shared" si="25"/>
        <v>0.64</v>
      </c>
      <c r="E270" s="174">
        <f t="shared" si="25"/>
        <v>0.64</v>
      </c>
      <c r="F270" s="174">
        <f t="shared" si="25"/>
        <v>0.64</v>
      </c>
      <c r="G270" s="174">
        <f t="shared" si="25"/>
        <v>0.64</v>
      </c>
      <c r="H270" s="174">
        <f t="shared" si="25"/>
        <v>0.64</v>
      </c>
      <c r="I270" s="174">
        <f t="shared" si="25"/>
        <v>0.64</v>
      </c>
      <c r="J270" s="174">
        <f t="shared" si="25"/>
        <v>0.64</v>
      </c>
      <c r="K270" s="174">
        <f t="shared" si="25"/>
        <v>0.64</v>
      </c>
      <c r="L270" s="174">
        <f t="shared" si="25"/>
        <v>0.64</v>
      </c>
      <c r="M270" s="174">
        <f t="shared" si="25"/>
        <v>0.64</v>
      </c>
      <c r="N270" s="174">
        <f t="shared" si="25"/>
        <v>0.64</v>
      </c>
      <c r="O270" s="174">
        <f t="shared" si="25"/>
        <v>0.64</v>
      </c>
      <c r="P270" s="174">
        <f t="shared" si="25"/>
        <v>0</v>
      </c>
      <c r="Q270" s="174">
        <f t="shared" si="25"/>
        <v>0</v>
      </c>
      <c r="R270" s="174">
        <f t="shared" si="25"/>
        <v>0</v>
      </c>
      <c r="S270" s="174">
        <f t="shared" si="25"/>
        <v>0</v>
      </c>
      <c r="T270" s="174">
        <f t="shared" si="25"/>
        <v>0</v>
      </c>
      <c r="U270" s="174">
        <f t="shared" si="25"/>
        <v>0</v>
      </c>
      <c r="V270" s="174">
        <f t="shared" si="25"/>
        <v>0</v>
      </c>
      <c r="W270" s="174">
        <f t="shared" si="25"/>
        <v>0</v>
      </c>
      <c r="X270" s="174">
        <f t="shared" si="25"/>
        <v>0</v>
      </c>
      <c r="Y270" s="174">
        <f t="shared" si="25"/>
        <v>0</v>
      </c>
      <c r="Z270" s="174">
        <f t="shared" si="25"/>
        <v>0</v>
      </c>
      <c r="AA270" s="174">
        <f t="shared" si="25"/>
        <v>0</v>
      </c>
      <c r="AB270" s="174">
        <f t="shared" si="25"/>
        <v>0</v>
      </c>
      <c r="AC270" s="174">
        <f t="shared" si="25"/>
        <v>0</v>
      </c>
      <c r="AD270" s="174">
        <f t="shared" si="25"/>
        <v>0</v>
      </c>
      <c r="AE270" s="174">
        <f t="shared" si="25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26">IF(B238&lt;100,"",B238-520)</f>
        <v/>
      </c>
      <c r="C271" s="175" t="str">
        <f t="shared" si="26"/>
        <v/>
      </c>
      <c r="D271" s="175" t="str">
        <f t="shared" si="26"/>
        <v/>
      </c>
      <c r="E271" s="175" t="str">
        <f t="shared" si="26"/>
        <v/>
      </c>
      <c r="F271" s="175" t="str">
        <f t="shared" si="26"/>
        <v/>
      </c>
      <c r="G271" s="175" t="str">
        <f t="shared" si="26"/>
        <v/>
      </c>
      <c r="H271" s="175" t="str">
        <f t="shared" si="26"/>
        <v/>
      </c>
      <c r="I271" s="175" t="str">
        <f t="shared" si="26"/>
        <v/>
      </c>
      <c r="J271" s="175" t="str">
        <f t="shared" si="26"/>
        <v/>
      </c>
      <c r="K271" s="175" t="str">
        <f t="shared" si="26"/>
        <v/>
      </c>
      <c r="L271" s="175" t="str">
        <f t="shared" si="26"/>
        <v/>
      </c>
      <c r="M271" s="175" t="str">
        <f t="shared" si="26"/>
        <v/>
      </c>
      <c r="N271" s="175" t="str">
        <f t="shared" si="26"/>
        <v/>
      </c>
      <c r="O271" s="175" t="str">
        <f t="shared" si="26"/>
        <v/>
      </c>
      <c r="P271" s="175" t="str">
        <f t="shared" si="26"/>
        <v/>
      </c>
      <c r="Q271" s="175" t="str">
        <f t="shared" si="26"/>
        <v/>
      </c>
      <c r="R271" s="175" t="str">
        <f t="shared" si="26"/>
        <v/>
      </c>
      <c r="S271" s="175" t="str">
        <f t="shared" si="26"/>
        <v/>
      </c>
      <c r="T271" s="175" t="str">
        <f t="shared" si="26"/>
        <v/>
      </c>
      <c r="U271" s="175" t="str">
        <f t="shared" si="26"/>
        <v/>
      </c>
      <c r="V271" s="175" t="str">
        <f t="shared" si="26"/>
        <v/>
      </c>
      <c r="W271" s="175" t="str">
        <f t="shared" si="26"/>
        <v/>
      </c>
      <c r="X271" s="175" t="str">
        <f t="shared" si="26"/>
        <v/>
      </c>
      <c r="Y271" s="175" t="str">
        <f t="shared" si="26"/>
        <v/>
      </c>
      <c r="Z271" s="175" t="str">
        <f t="shared" si="26"/>
        <v/>
      </c>
      <c r="AA271" s="175" t="str">
        <f t="shared" si="26"/>
        <v/>
      </c>
      <c r="AB271" s="175" t="str">
        <f t="shared" si="26"/>
        <v/>
      </c>
      <c r="AC271" s="175" t="str">
        <f t="shared" si="26"/>
        <v/>
      </c>
      <c r="AD271" s="175" t="str">
        <f t="shared" si="26"/>
        <v/>
      </c>
      <c r="AE271" s="175" t="str">
        <f t="shared" si="26"/>
        <v/>
      </c>
      <c r="AF271" s="175" t="str">
        <f t="shared" si="26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27">IF(B239&lt;100,"",B239-620)</f>
        <v/>
      </c>
      <c r="C272" s="175" t="str">
        <f t="shared" si="27"/>
        <v/>
      </c>
      <c r="D272" s="175" t="str">
        <f t="shared" si="27"/>
        <v/>
      </c>
      <c r="E272" s="175" t="str">
        <f t="shared" si="27"/>
        <v/>
      </c>
      <c r="F272" s="175" t="str">
        <f t="shared" si="27"/>
        <v/>
      </c>
      <c r="G272" s="175" t="str">
        <f t="shared" si="27"/>
        <v/>
      </c>
      <c r="H272" s="175" t="str">
        <f t="shared" si="27"/>
        <v/>
      </c>
      <c r="I272" s="175" t="str">
        <f t="shared" si="27"/>
        <v/>
      </c>
      <c r="J272" s="175" t="str">
        <f t="shared" si="27"/>
        <v/>
      </c>
      <c r="K272" s="175" t="str">
        <f t="shared" si="27"/>
        <v/>
      </c>
      <c r="L272" s="175" t="str">
        <f t="shared" si="27"/>
        <v/>
      </c>
      <c r="M272" s="175" t="str">
        <f t="shared" si="27"/>
        <v/>
      </c>
      <c r="N272" s="175" t="str">
        <f t="shared" si="27"/>
        <v/>
      </c>
      <c r="O272" s="175" t="str">
        <f t="shared" si="27"/>
        <v/>
      </c>
      <c r="P272" s="175" t="str">
        <f t="shared" si="27"/>
        <v/>
      </c>
      <c r="Q272" s="175" t="str">
        <f t="shared" si="27"/>
        <v/>
      </c>
      <c r="R272" s="175" t="str">
        <f t="shared" si="27"/>
        <v/>
      </c>
      <c r="S272" s="175" t="str">
        <f t="shared" si="27"/>
        <v/>
      </c>
      <c r="T272" s="175" t="str">
        <f t="shared" si="27"/>
        <v/>
      </c>
      <c r="U272" s="175" t="str">
        <f t="shared" si="27"/>
        <v/>
      </c>
      <c r="V272" s="175" t="str">
        <f t="shared" si="27"/>
        <v/>
      </c>
      <c r="W272" s="175" t="str">
        <f t="shared" si="27"/>
        <v/>
      </c>
      <c r="X272" s="175" t="str">
        <f t="shared" si="27"/>
        <v/>
      </c>
      <c r="Y272" s="175" t="str">
        <f t="shared" si="27"/>
        <v/>
      </c>
      <c r="Z272" s="175" t="str">
        <f t="shared" si="27"/>
        <v/>
      </c>
      <c r="AA272" s="175" t="str">
        <f t="shared" si="27"/>
        <v/>
      </c>
      <c r="AB272" s="175" t="str">
        <f t="shared" si="27"/>
        <v/>
      </c>
      <c r="AC272" s="175" t="str">
        <f t="shared" si="27"/>
        <v/>
      </c>
      <c r="AD272" s="175" t="str">
        <f t="shared" si="27"/>
        <v/>
      </c>
      <c r="AE272" s="175" t="str">
        <f t="shared" si="27"/>
        <v/>
      </c>
      <c r="AF272" s="175" t="str">
        <f t="shared" si="27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28">IF(B240&lt;100,"",B240-330)</f>
        <v/>
      </c>
      <c r="C273" s="175" t="str">
        <f t="shared" si="28"/>
        <v/>
      </c>
      <c r="D273" s="175" t="str">
        <f t="shared" si="28"/>
        <v/>
      </c>
      <c r="E273" s="175" t="str">
        <f t="shared" si="28"/>
        <v/>
      </c>
      <c r="F273" s="175" t="str">
        <f t="shared" si="28"/>
        <v/>
      </c>
      <c r="G273" s="175" t="str">
        <f t="shared" si="28"/>
        <v/>
      </c>
      <c r="H273" s="175" t="str">
        <f t="shared" si="28"/>
        <v/>
      </c>
      <c r="I273" s="175" t="str">
        <f t="shared" si="28"/>
        <v/>
      </c>
      <c r="J273" s="175" t="str">
        <f t="shared" si="28"/>
        <v/>
      </c>
      <c r="K273" s="175" t="str">
        <f t="shared" si="28"/>
        <v/>
      </c>
      <c r="L273" s="175" t="str">
        <f t="shared" si="28"/>
        <v/>
      </c>
      <c r="M273" s="175" t="str">
        <f t="shared" si="28"/>
        <v/>
      </c>
      <c r="N273" s="175" t="str">
        <f t="shared" si="28"/>
        <v/>
      </c>
      <c r="O273" s="175" t="str">
        <f t="shared" si="28"/>
        <v/>
      </c>
      <c r="P273" s="175" t="str">
        <f t="shared" si="28"/>
        <v/>
      </c>
      <c r="Q273" s="175" t="str">
        <f t="shared" si="28"/>
        <v/>
      </c>
      <c r="R273" s="175" t="str">
        <f t="shared" si="28"/>
        <v/>
      </c>
      <c r="S273" s="175" t="str">
        <f t="shared" si="28"/>
        <v/>
      </c>
      <c r="T273" s="175" t="str">
        <f t="shared" si="28"/>
        <v/>
      </c>
      <c r="U273" s="175" t="str">
        <f t="shared" si="28"/>
        <v/>
      </c>
      <c r="V273" s="175" t="str">
        <f t="shared" si="28"/>
        <v/>
      </c>
      <c r="W273" s="175" t="str">
        <f t="shared" si="28"/>
        <v/>
      </c>
      <c r="X273" s="175" t="str">
        <f t="shared" si="28"/>
        <v/>
      </c>
      <c r="Y273" s="175" t="str">
        <f t="shared" si="28"/>
        <v/>
      </c>
      <c r="Z273" s="175" t="str">
        <f t="shared" si="28"/>
        <v/>
      </c>
      <c r="AA273" s="175" t="str">
        <f t="shared" si="28"/>
        <v/>
      </c>
      <c r="AB273" s="175" t="str">
        <f t="shared" si="28"/>
        <v/>
      </c>
      <c r="AC273" s="175" t="str">
        <f t="shared" si="28"/>
        <v/>
      </c>
      <c r="AD273" s="175" t="str">
        <f t="shared" si="28"/>
        <v/>
      </c>
      <c r="AE273" s="175" t="str">
        <f t="shared" si="28"/>
        <v/>
      </c>
      <c r="AF273" s="175" t="str">
        <f t="shared" si="28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29">IF(B241&lt;100,"",B241-1500)</f>
        <v/>
      </c>
      <c r="C274" s="175" t="str">
        <f t="shared" si="29"/>
        <v/>
      </c>
      <c r="D274" s="175" t="str">
        <f t="shared" si="29"/>
        <v/>
      </c>
      <c r="E274" s="175" t="str">
        <f t="shared" si="29"/>
        <v/>
      </c>
      <c r="F274" s="175" t="str">
        <f t="shared" si="29"/>
        <v/>
      </c>
      <c r="G274" s="175" t="str">
        <f t="shared" si="29"/>
        <v/>
      </c>
      <c r="H274" s="175" t="str">
        <f t="shared" si="29"/>
        <v/>
      </c>
      <c r="I274" s="175" t="str">
        <f t="shared" si="29"/>
        <v/>
      </c>
      <c r="J274" s="175" t="str">
        <f t="shared" si="29"/>
        <v/>
      </c>
      <c r="K274" s="175" t="str">
        <f t="shared" si="29"/>
        <v/>
      </c>
      <c r="L274" s="175" t="str">
        <f t="shared" si="29"/>
        <v/>
      </c>
      <c r="M274" s="175" t="str">
        <f t="shared" si="29"/>
        <v/>
      </c>
      <c r="N274" s="175" t="str">
        <f t="shared" si="29"/>
        <v/>
      </c>
      <c r="O274" s="175" t="str">
        <f t="shared" si="29"/>
        <v/>
      </c>
      <c r="P274" s="175" t="str">
        <f t="shared" si="29"/>
        <v/>
      </c>
      <c r="Q274" s="175" t="str">
        <f t="shared" si="29"/>
        <v/>
      </c>
      <c r="R274" s="175" t="str">
        <f t="shared" si="29"/>
        <v/>
      </c>
      <c r="S274" s="175" t="str">
        <f t="shared" si="29"/>
        <v/>
      </c>
      <c r="T274" s="175" t="str">
        <f t="shared" si="29"/>
        <v/>
      </c>
      <c r="U274" s="175" t="str">
        <f t="shared" si="29"/>
        <v/>
      </c>
      <c r="V274" s="175" t="str">
        <f t="shared" si="29"/>
        <v/>
      </c>
      <c r="W274" s="175" t="str">
        <f t="shared" si="29"/>
        <v/>
      </c>
      <c r="X274" s="175" t="str">
        <f t="shared" si="29"/>
        <v/>
      </c>
      <c r="Y274" s="175" t="str">
        <f t="shared" si="29"/>
        <v/>
      </c>
      <c r="Z274" s="175" t="str">
        <f t="shared" si="29"/>
        <v/>
      </c>
      <c r="AA274" s="175" t="str">
        <f t="shared" si="29"/>
        <v/>
      </c>
      <c r="AB274" s="175" t="str">
        <f t="shared" si="29"/>
        <v/>
      </c>
      <c r="AC274" s="175" t="str">
        <f t="shared" si="29"/>
        <v/>
      </c>
      <c r="AD274" s="175" t="str">
        <f t="shared" si="29"/>
        <v/>
      </c>
      <c r="AE274" s="175" t="str">
        <f t="shared" si="29"/>
        <v/>
      </c>
      <c r="AF274" s="175" t="str">
        <f t="shared" si="29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2319" priority="161">
      <formula>$AH11=0</formula>
    </cfRule>
  </conditionalFormatting>
  <conditionalFormatting sqref="B8 M8 S8 AB8">
    <cfRule type="expression" dxfId="2318" priority="415">
      <formula>C$9&lt;8/24</formula>
    </cfRule>
    <cfRule type="expression" dxfId="2317" priority="413">
      <formula>AND(C$9&gt;=14/24,C$9&lt;20/24)</formula>
    </cfRule>
    <cfRule type="expression" dxfId="2316" priority="414">
      <formula>AND(C$9&gt;=8/24,C$9&lt;14/24)</formula>
    </cfRule>
  </conditionalFormatting>
  <conditionalFormatting sqref="B73:D83 E79:AD83">
    <cfRule type="expression" dxfId="2315" priority="94">
      <formula>B$9&lt;8/24</formula>
    </cfRule>
  </conditionalFormatting>
  <conditionalFormatting sqref="B74:D83 E79:AD83">
    <cfRule type="expression" dxfId="2314" priority="91">
      <formula>B$9&gt;=20/24</formula>
    </cfRule>
    <cfRule type="expression" dxfId="2313" priority="92">
      <formula>AND(B$9&gt;=14/24,B$9&lt;20/24)</formula>
    </cfRule>
    <cfRule type="expression" dxfId="2312" priority="93">
      <formula>AND(B$9&gt;=8/24,B$9&lt;14/24)</formula>
    </cfRule>
  </conditionalFormatting>
  <conditionalFormatting sqref="B55:E59">
    <cfRule type="expression" dxfId="2311" priority="132">
      <formula>B$9&gt;=20/24</formula>
    </cfRule>
    <cfRule type="expression" dxfId="2310" priority="133">
      <formula>AND(B$9&gt;=14/24,B$9&lt;20/24)</formula>
    </cfRule>
    <cfRule type="expression" dxfId="2309" priority="134">
      <formula>AND(B$9&gt;=8/24,B$9&lt;14/24)</formula>
    </cfRule>
    <cfRule type="expression" dxfId="2308" priority="135">
      <formula>B$9&lt;8/24</formula>
    </cfRule>
  </conditionalFormatting>
  <conditionalFormatting sqref="B60:T66">
    <cfRule type="expression" dxfId="2307" priority="73">
      <formula>B$9&gt;=20/24</formula>
    </cfRule>
    <cfRule type="expression" dxfId="2306" priority="76">
      <formula>B$9&lt;8/24</formula>
    </cfRule>
    <cfRule type="expression" dxfId="2305" priority="75">
      <formula>AND(B$9&gt;=8/24,B$9&lt;14/24)</formula>
    </cfRule>
    <cfRule type="expression" dxfId="2304" priority="74">
      <formula>AND(B$9&gt;=14/24,B$9&lt;20/24)</formula>
    </cfRule>
  </conditionalFormatting>
  <conditionalFormatting sqref="B73:AE73">
    <cfRule type="expression" dxfId="2303" priority="18">
      <formula>B$9&gt;=20/24</formula>
    </cfRule>
    <cfRule type="expression" dxfId="2302" priority="19">
      <formula>AND(B$9&gt;=14/24,B$9&lt;20/24)</formula>
    </cfRule>
    <cfRule type="expression" dxfId="2301" priority="20">
      <formula>AND(B$9&gt;=8/24,B$9&lt;14/24)</formula>
    </cfRule>
  </conditionalFormatting>
  <conditionalFormatting sqref="B9:AF45">
    <cfRule type="expression" dxfId="2300" priority="42">
      <formula>B$9&gt;=20/24</formula>
    </cfRule>
    <cfRule type="expression" dxfId="2299" priority="43">
      <formula>AND(B$9&gt;=14/24,B$9&lt;20/24)</formula>
    </cfRule>
    <cfRule type="expression" dxfId="2298" priority="44">
      <formula>AND(B$9&gt;=8/24,B$9&lt;14/24)</formula>
    </cfRule>
    <cfRule type="expression" dxfId="2297" priority="45">
      <formula>B$9&lt;8/24</formula>
    </cfRule>
  </conditionalFormatting>
  <conditionalFormatting sqref="B11:AF46">
    <cfRule type="expression" dxfId="2296" priority="40">
      <formula>B11&gt;$AG11</formula>
    </cfRule>
  </conditionalFormatting>
  <conditionalFormatting sqref="B46:AF46">
    <cfRule type="expression" dxfId="2295" priority="38">
      <formula>AND(B$9&gt;=8/24,B$9&lt;14/24)</formula>
    </cfRule>
    <cfRule type="expression" dxfId="2294" priority="37">
      <formula>AND(B$9&gt;=14/24,B$9&lt;20/24)</formula>
    </cfRule>
    <cfRule type="expression" dxfId="2293" priority="36">
      <formula>B$9&gt;=20/24</formula>
    </cfRule>
    <cfRule type="expression" dxfId="2292" priority="39">
      <formula>B$9&lt;8/24</formula>
    </cfRule>
  </conditionalFormatting>
  <conditionalFormatting sqref="B47:AF47">
    <cfRule type="expression" dxfId="2291" priority="71">
      <formula>B47&gt;$AG47</formula>
    </cfRule>
  </conditionalFormatting>
  <conditionalFormatting sqref="B47:AF49">
    <cfRule type="expression" dxfId="2290" priority="58">
      <formula>B$9&gt;=20/24</formula>
    </cfRule>
    <cfRule type="expression" dxfId="2289" priority="59">
      <formula>AND(B$9&gt;=14/24,B$9&lt;20/24)</formula>
    </cfRule>
    <cfRule type="expression" dxfId="2288" priority="60">
      <formula>AND(B$9&gt;=8/24,B$9&lt;14/24)</formula>
    </cfRule>
    <cfRule type="expression" dxfId="2287" priority="61">
      <formula>B$9&lt;8/24</formula>
    </cfRule>
  </conditionalFormatting>
  <conditionalFormatting sqref="B48:AF53">
    <cfRule type="expression" dxfId="2286" priority="56">
      <formula>B48&gt;$AG48</formula>
    </cfRule>
  </conditionalFormatting>
  <conditionalFormatting sqref="B51:AF53">
    <cfRule type="expression" dxfId="2285" priority="109">
      <formula>B$9&gt;=20/24</formula>
    </cfRule>
    <cfRule type="expression" dxfId="2284" priority="110">
      <formula>AND(B$9&gt;=14/24,B$9&lt;20/24)</formula>
    </cfRule>
    <cfRule type="expression" dxfId="2283" priority="111">
      <formula>AND(B$9&gt;=8/24,B$9&lt;14/24)</formula>
    </cfRule>
    <cfRule type="expression" dxfId="2282" priority="112">
      <formula>B$9&lt;8/24</formula>
    </cfRule>
  </conditionalFormatting>
  <conditionalFormatting sqref="B55:AF66">
    <cfRule type="expression" dxfId="2281" priority="1">
      <formula>B55&gt;$AG55</formula>
    </cfRule>
  </conditionalFormatting>
  <conditionalFormatting sqref="B69:AF71">
    <cfRule type="expression" dxfId="2280" priority="130">
      <formula>B$9&lt;8/24</formula>
    </cfRule>
    <cfRule type="expression" dxfId="2279" priority="126">
      <formula>B69&gt;$AG69</formula>
    </cfRule>
    <cfRule type="expression" dxfId="2278" priority="127">
      <formula>B$9&gt;=20/24</formula>
    </cfRule>
    <cfRule type="expression" dxfId="2277" priority="128">
      <formula>AND(B$9&gt;=14/24,B$9&lt;20/24)</formula>
    </cfRule>
    <cfRule type="expression" dxfId="2276" priority="129">
      <formula>AND(B$9&gt;=8/24,B$9&lt;14/24)</formula>
    </cfRule>
  </conditionalFormatting>
  <conditionalFormatting sqref="B84:AF91">
    <cfRule type="expression" dxfId="2275" priority="82">
      <formula>B$9&gt;=20/24</formula>
    </cfRule>
    <cfRule type="expression" dxfId="2274" priority="83">
      <formula>AND(B$9&gt;=14/24,B$9&lt;20/24)</formula>
    </cfRule>
    <cfRule type="expression" dxfId="2273" priority="84">
      <formula>AND(B$9&gt;=8/24,B$9&lt;14/24)</formula>
    </cfRule>
    <cfRule type="expression" dxfId="2272" priority="85">
      <formula>B$9&lt;8/24</formula>
    </cfRule>
  </conditionalFormatting>
  <conditionalFormatting sqref="B111:AF120">
    <cfRule type="expression" dxfId="2271" priority="35">
      <formula>B$9&lt;8/24</formula>
    </cfRule>
    <cfRule type="expression" dxfId="2270" priority="34">
      <formula>AND(B$9&gt;=8/24,B$9&lt;14/24)</formula>
    </cfRule>
    <cfRule type="expression" dxfId="2269" priority="33">
      <formula>AND(B$9&gt;=14/24,B$9&lt;20/24)</formula>
    </cfRule>
    <cfRule type="expression" dxfId="2268" priority="32">
      <formula>B$9&gt;=20/24</formula>
    </cfRule>
  </conditionalFormatting>
  <conditionalFormatting sqref="B227:AF227 D229:AF230 B229:B235 D231:H231 J231:AF231 D232:AF235 U248:AF248">
    <cfRule type="expression" dxfId="2267" priority="407">
      <formula>AND(B$9&gt;=14/24,B$9&lt;20/24)</formula>
    </cfRule>
    <cfRule type="expression" dxfId="2266" priority="409">
      <formula>B$9&lt;8/24</formula>
    </cfRule>
    <cfRule type="expression" dxfId="2265" priority="408">
      <formula>AND(B$9&gt;=8/24,B$9&lt;14/24)</formula>
    </cfRule>
    <cfRule type="expression" dxfId="2264" priority="406">
      <formula>B$9&gt;=20/24</formula>
    </cfRule>
  </conditionalFormatting>
  <conditionalFormatting sqref="B54:AG54">
    <cfRule type="expression" dxfId="2263" priority="81">
      <formula>B$9&lt;8/24</formula>
    </cfRule>
    <cfRule type="expression" dxfId="2262" priority="77">
      <formula>B54&gt;$AG54</formula>
    </cfRule>
    <cfRule type="expression" dxfId="2261" priority="78">
      <formula>B$9&gt;=20/24</formula>
    </cfRule>
    <cfRule type="expression" dxfId="2260" priority="79">
      <formula>AND(B$9&gt;=14/24,B$9&lt;20/24)</formula>
    </cfRule>
    <cfRule type="expression" dxfId="2259" priority="80">
      <formula>AND(B$9&gt;=8/24,B$9&lt;14/24)</formula>
    </cfRule>
  </conditionalFormatting>
  <conditionalFormatting sqref="B67:AG68 B72:AG72">
    <cfRule type="expression" dxfId="2258" priority="86">
      <formula>B67&gt;$AG67</formula>
    </cfRule>
  </conditionalFormatting>
  <conditionalFormatting sqref="B72:AG72 B93:AF109">
    <cfRule type="expression" dxfId="2257" priority="88">
      <formula>AND(B$9&gt;=14/24,B$9&lt;20/24)</formula>
    </cfRule>
    <cfRule type="expression" dxfId="2256" priority="89">
      <formula>AND(B$9&gt;=8/24,B$9&lt;14/24)</formula>
    </cfRule>
    <cfRule type="expression" dxfId="2255" priority="90">
      <formula>B$9&lt;8/24</formula>
    </cfRule>
    <cfRule type="expression" dxfId="2254" priority="87">
      <formula>B$9&gt;=20/24</formula>
    </cfRule>
  </conditionalFormatting>
  <conditionalFormatting sqref="E73:AE73">
    <cfRule type="expression" dxfId="2253" priority="21">
      <formula>E$9&lt;8/24</formula>
    </cfRule>
  </conditionalFormatting>
  <conditionalFormatting sqref="F59:G59">
    <cfRule type="expression" dxfId="2252" priority="136">
      <formula>F$9&gt;=20/24</formula>
    </cfRule>
    <cfRule type="expression" dxfId="2251" priority="137">
      <formula>AND(F$9&gt;=14/24,F$9&lt;20/24)</formula>
    </cfRule>
    <cfRule type="expression" dxfId="2250" priority="138">
      <formula>AND(F$9&gt;=8/24,F$9&lt;14/24)</formula>
    </cfRule>
    <cfRule type="expression" dxfId="2249" priority="139">
      <formula>F$9&lt;8/24</formula>
    </cfRule>
  </conditionalFormatting>
  <conditionalFormatting sqref="F55:T57">
    <cfRule type="expression" dxfId="2248" priority="344">
      <formula>F$9&gt;=20/24</formula>
    </cfRule>
    <cfRule type="expression" dxfId="2247" priority="345">
      <formula>AND(F$9&gt;=14/24,F$9&lt;20/24)</formula>
    </cfRule>
    <cfRule type="expression" dxfId="2246" priority="346">
      <formula>AND(F$9&gt;=8/24,F$9&lt;14/24)</formula>
    </cfRule>
    <cfRule type="expression" dxfId="2245" priority="347">
      <formula>F$9&lt;8/24</formula>
    </cfRule>
  </conditionalFormatting>
  <conditionalFormatting sqref="M58:T59">
    <cfRule type="expression" dxfId="2244" priority="379">
      <formula>M$9&lt;8/24</formula>
    </cfRule>
    <cfRule type="expression" dxfId="2243" priority="376">
      <formula>M$9&gt;=20/24</formula>
    </cfRule>
    <cfRule type="expression" dxfId="2242" priority="377">
      <formula>AND(M$9&gt;=14/24,M$9&lt;20/24)</formula>
    </cfRule>
    <cfRule type="expression" dxfId="2241" priority="378">
      <formula>AND(M$9&gt;=8/24,M$9&lt;14/24)</formula>
    </cfRule>
  </conditionalFormatting>
  <conditionalFormatting sqref="O3:P3">
    <cfRule type="iconSet" priority="410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240" priority="412">
      <formula>C$9&gt;=20/24</formula>
    </cfRule>
  </conditionalFormatting>
  <conditionalFormatting sqref="S8">
    <cfRule type="expression" dxfId="2239" priority="388">
      <formula>U$9&lt;8/24</formula>
    </cfRule>
    <cfRule type="expression" dxfId="2238" priority="387">
      <formula>AND(U$9&gt;=8/24,U$9&lt;14/24)</formula>
    </cfRule>
    <cfRule type="expression" dxfId="2237" priority="386">
      <formula>AND(U$9&gt;=14/24,U$9&lt;20/24)</formula>
    </cfRule>
    <cfRule type="expression" dxfId="2236" priority="385">
      <formula>U$9&gt;=20/24</formula>
    </cfRule>
  </conditionalFormatting>
  <conditionalFormatting sqref="T248">
    <cfRule type="expression" dxfId="2235" priority="426">
      <formula>AND(AX$9&gt;=14/24,AX$9&lt;20/24)</formula>
    </cfRule>
    <cfRule type="expression" dxfId="2234" priority="425">
      <formula>AX$9&gt;=20/24</formula>
    </cfRule>
    <cfRule type="expression" dxfId="2233" priority="428">
      <formula>AX$9&lt;8/24</formula>
    </cfRule>
    <cfRule type="expression" dxfId="2232" priority="427">
      <formula>AND(AX$9&gt;=8/24,AX$9&lt;14/24)</formula>
    </cfRule>
  </conditionalFormatting>
  <conditionalFormatting sqref="U55:AF66">
    <cfRule type="expression" dxfId="2231" priority="2">
      <formula>U$9&gt;=20/24</formula>
    </cfRule>
    <cfRule type="expression" dxfId="2230" priority="3">
      <formula>AND(U$9&gt;=14/24,U$9&lt;20/24)</formula>
    </cfRule>
    <cfRule type="expression" dxfId="2229" priority="4">
      <formula>AND(U$9&gt;=8/24,U$9&lt;14/24)</formula>
    </cfRule>
    <cfRule type="expression" dxfId="2228" priority="5">
      <formula>U$9&lt;8/24</formula>
    </cfRule>
  </conditionalFormatting>
  <conditionalFormatting sqref="V3 AB3">
    <cfRule type="iconSet" priority="411">
      <iconSet iconSet="3TrafficLights2" reverse="1">
        <cfvo type="percent" val="0"/>
        <cfvo type="num" val="1"/>
        <cfvo type="num" val="1"/>
      </iconSet>
    </cfRule>
  </conditionalFormatting>
  <conditionalFormatting sqref="AA76:AC76 E76:Z78 AA77:AD78">
    <cfRule type="expression" dxfId="2227" priority="277">
      <formula>AND(E$9&gt;=14/24,E$9&lt;20/24)</formula>
    </cfRule>
    <cfRule type="expression" dxfId="2226" priority="278">
      <formula>AND(E$9&gt;=8/24,E$9&lt;14/24)</formula>
    </cfRule>
    <cfRule type="expression" dxfId="2225" priority="279">
      <formula>E$9&lt;8/24</formula>
    </cfRule>
    <cfRule type="expression" dxfId="2224" priority="276">
      <formula>E$9&gt;=20/24</formula>
    </cfRule>
  </conditionalFormatting>
  <conditionalFormatting sqref="AB8">
    <cfRule type="expression" dxfId="2223" priority="384">
      <formula>AD$9&lt;8/24</formula>
    </cfRule>
    <cfRule type="expression" dxfId="2222" priority="383">
      <formula>AND(AD$9&gt;=8/24,AD$9&lt;14/24)</formula>
    </cfRule>
    <cfRule type="expression" dxfId="2221" priority="382">
      <formula>AND(AD$9&gt;=14/24,AD$9&lt;20/24)</formula>
    </cfRule>
    <cfRule type="expression" dxfId="2220" priority="381">
      <formula>AD$9&gt;=20/24</formula>
    </cfRule>
  </conditionalFormatting>
  <conditionalFormatting sqref="AE74:AE75">
    <cfRule type="expression" dxfId="2219" priority="17">
      <formula>AE$9&lt;8/24</formula>
    </cfRule>
    <cfRule type="expression" dxfId="2218" priority="14">
      <formula>AE$9&gt;=20/24</formula>
    </cfRule>
    <cfRule type="expression" dxfId="2217" priority="15">
      <formula>AND(AE$9&gt;=14/24,AE$9&lt;20/24)</formula>
    </cfRule>
    <cfRule type="expression" dxfId="2216" priority="16">
      <formula>AND(AE$9&gt;=8/24,AE$9&lt;14/24)</formula>
    </cfRule>
  </conditionalFormatting>
  <conditionalFormatting sqref="AE76:AF83">
    <cfRule type="expression" dxfId="2215" priority="7">
      <formula>AND(AE$9&gt;=14/24,AE$9&lt;20/24)</formula>
    </cfRule>
    <cfRule type="expression" dxfId="2214" priority="6">
      <formula>AE$9&gt;=20/24</formula>
    </cfRule>
    <cfRule type="expression" dxfId="2213" priority="8">
      <formula>AND(AE$9&gt;=8/24,AE$9&lt;14/24)</formula>
    </cfRule>
    <cfRule type="expression" dxfId="2212" priority="9">
      <formula>AE$9&lt;8/24</formula>
    </cfRule>
  </conditionalFormatting>
  <conditionalFormatting sqref="AF73:AF75 E74:AC75 AD74:AD76">
    <cfRule type="expression" dxfId="2211" priority="368">
      <formula>AND(E$9&gt;=14/24,E$9&lt;20/24)</formula>
    </cfRule>
    <cfRule type="expression" dxfId="2210" priority="370">
      <formula>E$9&lt;8/24</formula>
    </cfRule>
    <cfRule type="expression" dxfId="2209" priority="367">
      <formula>E$9&gt;=20/24</formula>
    </cfRule>
    <cfRule type="expression" dxfId="2208" priority="369">
      <formula>AND(E$9&gt;=8/24,E$9&lt;14/24)</formula>
    </cfRule>
  </conditionalFormatting>
  <conditionalFormatting sqref="AG50">
    <cfRule type="expression" dxfId="2207" priority="338">
      <formula>AG50&gt;$AG50</formula>
    </cfRule>
  </conditionalFormatting>
  <conditionalFormatting sqref="AG89">
    <cfRule type="expression" dxfId="2206" priority="340">
      <formula>AND(AG$9&gt;=14/24,AG$9&lt;20/24)</formula>
    </cfRule>
    <cfRule type="expression" dxfId="2205" priority="341">
      <formula>AND(AG$9&gt;=8/24,AG$9&lt;14/24)</formula>
    </cfRule>
    <cfRule type="expression" dxfId="2204" priority="342">
      <formula>AG$9&lt;8/24</formula>
    </cfRule>
    <cfRule type="expression" dxfId="2203" priority="339">
      <formula>AG$9&gt;=20/24</formula>
    </cfRule>
  </conditionalFormatting>
  <conditionalFormatting sqref="AG248">
    <cfRule type="expression" dxfId="2202" priority="419">
      <formula>AND(B$9&gt;=8/24,B$9&lt;14/24)</formula>
    </cfRule>
    <cfRule type="expression" dxfId="2201" priority="418">
      <formula>AND(B$9&gt;=14/24,B$9&lt;20/24)</formula>
    </cfRule>
    <cfRule type="expression" dxfId="2200" priority="417">
      <formula>B$9&gt;=20/24</formula>
    </cfRule>
    <cfRule type="expression" dxfId="2199" priority="420">
      <formula>B$9&lt;8/24</formula>
    </cfRule>
  </conditionalFormatting>
  <conditionalFormatting sqref="AH248:AX248">
    <cfRule type="expression" dxfId="2198" priority="421">
      <formula>AG$9&gt;=20/24</formula>
    </cfRule>
    <cfRule type="expression" dxfId="2197" priority="422">
      <formula>AND(AG$9&gt;=14/24,AG$9&lt;20/24)</formula>
    </cfRule>
    <cfRule type="expression" dxfId="2196" priority="423">
      <formula>AND(AG$9&gt;=8/24,AG$9&lt;14/24)</formula>
    </cfRule>
    <cfRule type="expression" dxfId="2195" priority="424">
      <formula>AG$9&lt;8/24</formula>
    </cfRule>
  </conditionalFormatting>
  <conditionalFormatting sqref="AL4:AL6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6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1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401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89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29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194" priority="430">
      <formula>AJ$9&gt;=20/24</formula>
    </cfRule>
    <cfRule type="expression" dxfId="2193" priority="431">
      <formula>AND(AJ$9&gt;=14/24,AJ$9&lt;20/24)</formula>
    </cfRule>
    <cfRule type="expression" dxfId="2192" priority="432">
      <formula>AND(AJ$9&gt;=8/24,AJ$9&lt;14/24)</formula>
    </cfRule>
    <cfRule type="expression" dxfId="2191" priority="433">
      <formula>AJ$9&lt;8/24</formula>
    </cfRule>
  </conditionalFormatting>
  <conditionalFormatting sqref="AL80:AN80 AL86:AN86">
    <cfRule type="expression" dxfId="2190" priority="233">
      <formula>AL$9&lt;8/24</formula>
    </cfRule>
    <cfRule type="expression" dxfId="2189" priority="232">
      <formula>AND(AL$9&gt;=8/24,AL$9&lt;14/24)</formula>
    </cfRule>
    <cfRule type="expression" dxfId="2188" priority="231">
      <formula>AND(AL$9&gt;=14/24,AL$9&lt;20/24)</formula>
    </cfRule>
    <cfRule type="expression" dxfId="2187" priority="230">
      <formula>AL$9&gt;=20/24</formula>
    </cfRule>
  </conditionalFormatting>
  <conditionalFormatting sqref="AN81:AN84">
    <cfRule type="expression" dxfId="2186" priority="228">
      <formula>AND(AN$9&gt;=8/24,AN$9&lt;14/24)</formula>
    </cfRule>
    <cfRule type="expression" dxfId="2185" priority="226">
      <formula>AN$9&gt;=20/24</formula>
    </cfRule>
    <cfRule type="expression" dxfId="2184" priority="229">
      <formula>AN$9&lt;8/24</formula>
    </cfRule>
    <cfRule type="expression" dxfId="2183" priority="227">
      <formula>AND(AN$9&gt;=14/24,AN$9&lt;20/24)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9DFC-1DBF-460D-A9B0-6317CB3ED094}">
  <dimension ref="A1:CJ281"/>
  <sheetViews>
    <sheetView zoomScaleNormal="100" workbookViewId="0">
      <pane xSplit="1" ySplit="10" topLeftCell="R25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Y41" sqref="Y4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2080/03/7</v>
      </c>
      <c r="C4" s="187"/>
      <c r="D4" s="187"/>
      <c r="E4" s="188" t="str">
        <f ca="1">"2079/"&amp;"12/"&amp;INT(MID(CELL("filename",G6),FIND("]",CELL("filename",G6))+1,200))</f>
        <v>2079/12/7</v>
      </c>
      <c r="F4" s="188"/>
      <c r="G4" s="188"/>
      <c r="H4" s="188" t="str">
        <f ca="1">TEXT(E4,"dddd")</f>
        <v>Thursday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118.5</v>
      </c>
      <c r="C5" s="30">
        <f t="shared" si="0"/>
        <v>81.599999999999994</v>
      </c>
      <c r="D5" s="30">
        <f t="shared" si="0"/>
        <v>76</v>
      </c>
      <c r="E5" s="30">
        <f t="shared" si="0"/>
        <v>64.599999999999994</v>
      </c>
      <c r="F5" s="30">
        <f t="shared" si="0"/>
        <v>64</v>
      </c>
      <c r="G5" s="30">
        <f t="shared" si="0"/>
        <v>67</v>
      </c>
      <c r="H5" s="30">
        <f t="shared" si="0"/>
        <v>59.7</v>
      </c>
      <c r="I5" s="30">
        <f t="shared" si="0"/>
        <v>58</v>
      </c>
      <c r="J5" s="30">
        <f t="shared" si="0"/>
        <v>62</v>
      </c>
      <c r="K5" s="30">
        <f t="shared" si="0"/>
        <v>61.1</v>
      </c>
      <c r="L5" s="30">
        <f t="shared" si="0"/>
        <v>53.7</v>
      </c>
      <c r="M5" s="30">
        <f t="shared" si="0"/>
        <v>25.8</v>
      </c>
      <c r="N5" s="30">
        <f t="shared" si="0"/>
        <v>37.6</v>
      </c>
      <c r="O5" s="30">
        <f t="shared" si="0"/>
        <v>96.1</v>
      </c>
      <c r="P5" s="30">
        <f t="shared" si="0"/>
        <v>109</v>
      </c>
      <c r="Q5" s="30">
        <f t="shared" si="0"/>
        <v>108.1</v>
      </c>
      <c r="R5" s="30">
        <f t="shared" si="0"/>
        <v>100.19999999999999</v>
      </c>
      <c r="S5" s="30">
        <f t="shared" si="0"/>
        <v>114.89999999999999</v>
      </c>
      <c r="T5" s="30">
        <f t="shared" si="0"/>
        <v>114.89999999999999</v>
      </c>
      <c r="U5" s="30">
        <f t="shared" si="0"/>
        <v>80.099999999999994</v>
      </c>
      <c r="V5" s="30">
        <f t="shared" si="0"/>
        <v>80.099999999999994</v>
      </c>
      <c r="W5" s="30">
        <f t="shared" si="0"/>
        <v>80.099999999999994</v>
      </c>
      <c r="X5" s="30">
        <f t="shared" si="0"/>
        <v>70.7</v>
      </c>
      <c r="Y5" s="30">
        <f t="shared" si="0"/>
        <v>77.099999999999994</v>
      </c>
      <c r="Z5" s="30">
        <f t="shared" si="0"/>
        <v>77.099999999999994</v>
      </c>
      <c r="AA5" s="30">
        <f t="shared" si="0"/>
        <v>87.5</v>
      </c>
      <c r="AB5" s="30">
        <f t="shared" si="0"/>
        <v>87.5</v>
      </c>
      <c r="AC5" s="30">
        <f t="shared" si="0"/>
        <v>94.6</v>
      </c>
      <c r="AD5" s="30">
        <f t="shared" si="0"/>
        <v>0</v>
      </c>
      <c r="AE5" s="30">
        <f t="shared" si="0"/>
        <v>0</v>
      </c>
      <c r="AF5" s="30">
        <f>B84</f>
        <v>98.1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2027MW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1984.44</v>
      </c>
      <c r="C7" s="35">
        <f t="shared" si="1"/>
        <v>1943.8400000000001</v>
      </c>
      <c r="D7" s="35">
        <f t="shared" si="1"/>
        <v>1887.04</v>
      </c>
      <c r="E7" s="35">
        <f t="shared" si="1"/>
        <v>843.44</v>
      </c>
      <c r="F7" s="35">
        <f t="shared" si="1"/>
        <v>1861.0400000000002</v>
      </c>
      <c r="G7" s="35">
        <f t="shared" si="1"/>
        <v>1889.3400000000001</v>
      </c>
      <c r="H7" s="35">
        <f t="shared" si="1"/>
        <v>1906.24</v>
      </c>
      <c r="I7" s="35">
        <f t="shared" si="1"/>
        <v>1933.64</v>
      </c>
      <c r="J7" s="35">
        <f t="shared" si="1"/>
        <v>1934.04</v>
      </c>
      <c r="K7" s="35">
        <f t="shared" si="1"/>
        <v>2003.54</v>
      </c>
      <c r="L7" s="35">
        <f t="shared" si="1"/>
        <v>2027.34</v>
      </c>
      <c r="M7" s="35">
        <f t="shared" si="1"/>
        <v>1979.54</v>
      </c>
      <c r="N7" s="35">
        <f>N91</f>
        <v>1904.54</v>
      </c>
      <c r="O7" s="35">
        <f t="shared" si="1"/>
        <v>1955.7399999999998</v>
      </c>
      <c r="P7" s="35">
        <f t="shared" si="1"/>
        <v>2015.04</v>
      </c>
      <c r="Q7" s="35">
        <f t="shared" si="1"/>
        <v>2061.6400000000003</v>
      </c>
      <c r="R7" s="35">
        <f t="shared" si="1"/>
        <v>2047.7399999999998</v>
      </c>
      <c r="S7" s="35">
        <f t="shared" si="1"/>
        <v>2030.84</v>
      </c>
      <c r="T7" s="35">
        <f t="shared" si="1"/>
        <v>2023.54</v>
      </c>
      <c r="U7" s="35">
        <f t="shared" si="1"/>
        <v>1992.74</v>
      </c>
      <c r="V7" s="35">
        <f t="shared" si="1"/>
        <v>1914.9399999999998</v>
      </c>
      <c r="W7" s="35">
        <f t="shared" si="1"/>
        <v>1914.9399999999998</v>
      </c>
      <c r="X7" s="35">
        <f t="shared" si="1"/>
        <v>1957.8399999999997</v>
      </c>
      <c r="Y7" s="35">
        <f t="shared" si="1"/>
        <v>1968.54</v>
      </c>
      <c r="Z7" s="35">
        <f t="shared" si="1"/>
        <v>1974.9399999999998</v>
      </c>
      <c r="AA7" s="35">
        <f t="shared" si="1"/>
        <v>1974.9399999999998</v>
      </c>
      <c r="AB7" s="35">
        <f t="shared" si="1"/>
        <v>2102.04</v>
      </c>
      <c r="AC7" s="35">
        <f t="shared" si="1"/>
        <v>2102.04</v>
      </c>
      <c r="AD7" s="35">
        <f t="shared" si="1"/>
        <v>2088.3399999999997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49.5</v>
      </c>
      <c r="C11" s="45">
        <v>47.7</v>
      </c>
      <c r="D11" s="45">
        <v>47.7</v>
      </c>
      <c r="E11" s="45">
        <v>60</v>
      </c>
      <c r="F11" s="45">
        <v>60</v>
      </c>
      <c r="G11" s="45">
        <v>60</v>
      </c>
      <c r="H11" s="45">
        <v>60</v>
      </c>
      <c r="I11" s="45">
        <v>60</v>
      </c>
      <c r="J11" s="45">
        <v>60</v>
      </c>
      <c r="K11" s="45">
        <v>60</v>
      </c>
      <c r="L11" s="45">
        <v>60</v>
      </c>
      <c r="M11" s="45">
        <v>60.5</v>
      </c>
      <c r="N11" s="45">
        <v>60.5</v>
      </c>
      <c r="O11" s="45">
        <v>60.5</v>
      </c>
      <c r="P11" s="45">
        <v>60.5</v>
      </c>
      <c r="Q11" s="45">
        <v>60.5</v>
      </c>
      <c r="R11" s="45">
        <v>60.5</v>
      </c>
      <c r="S11" s="45">
        <v>60.5</v>
      </c>
      <c r="T11" s="45">
        <v>60.5</v>
      </c>
      <c r="U11" s="45">
        <v>60.5</v>
      </c>
      <c r="V11" s="45">
        <v>60.5</v>
      </c>
      <c r="W11" s="45">
        <v>60.5</v>
      </c>
      <c r="X11" s="45">
        <v>60.5</v>
      </c>
      <c r="Y11" s="45">
        <v>60.5</v>
      </c>
      <c r="Z11" s="45">
        <v>60.5</v>
      </c>
      <c r="AA11" s="45">
        <v>60.5</v>
      </c>
      <c r="AB11" s="45">
        <v>60.5</v>
      </c>
      <c r="AC11" s="45">
        <v>60.5</v>
      </c>
      <c r="AD11" s="45">
        <v>60.5</v>
      </c>
      <c r="AE11" s="45" t="s">
        <v>273</v>
      </c>
      <c r="AF11" s="45" t="s">
        <v>273</v>
      </c>
      <c r="AG11" s="46">
        <v>86</v>
      </c>
      <c r="AH11" s="47">
        <f t="shared" ref="AH11:AH76" si="2">MAX(B11:AF11)</f>
        <v>60.5</v>
      </c>
      <c r="AI11" s="48">
        <f t="shared" ref="AI11:AI76" si="3">MIN(B11:AF11)</f>
        <v>47.7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 t="s">
        <v>281</v>
      </c>
      <c r="AF12" s="45" t="s">
        <v>281</v>
      </c>
      <c r="AG12" s="49">
        <v>54</v>
      </c>
      <c r="AH12" s="47">
        <f t="shared" si="2"/>
        <v>0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53.8</v>
      </c>
      <c r="C13" s="45">
        <v>53.5</v>
      </c>
      <c r="D13" s="45">
        <v>53.5</v>
      </c>
      <c r="E13" s="45">
        <v>53.5</v>
      </c>
      <c r="F13" s="45">
        <v>53</v>
      </c>
      <c r="G13" s="45">
        <v>53.8</v>
      </c>
      <c r="H13" s="45">
        <v>53.8</v>
      </c>
      <c r="I13" s="45">
        <v>53.8</v>
      </c>
      <c r="J13" s="45">
        <v>53.8</v>
      </c>
      <c r="K13" s="45">
        <v>54</v>
      </c>
      <c r="L13" s="45">
        <v>54</v>
      </c>
      <c r="M13" s="45">
        <v>54.3</v>
      </c>
      <c r="N13" s="45">
        <v>54.3</v>
      </c>
      <c r="O13" s="45">
        <v>54.3</v>
      </c>
      <c r="P13" s="45">
        <v>54.3</v>
      </c>
      <c r="Q13" s="45">
        <v>54.3</v>
      </c>
      <c r="R13" s="45">
        <v>54.3</v>
      </c>
      <c r="S13" s="45">
        <v>54.3</v>
      </c>
      <c r="T13" s="45">
        <v>54.3</v>
      </c>
      <c r="U13" s="45">
        <v>54.3</v>
      </c>
      <c r="V13" s="45">
        <v>54.3</v>
      </c>
      <c r="W13" s="45">
        <v>54.3</v>
      </c>
      <c r="X13" s="45">
        <v>54.3</v>
      </c>
      <c r="Y13" s="45">
        <v>54.3</v>
      </c>
      <c r="Z13" s="45">
        <v>54.3</v>
      </c>
      <c r="AA13" s="45">
        <v>54.3</v>
      </c>
      <c r="AB13" s="45">
        <v>54.3</v>
      </c>
      <c r="AC13" s="45">
        <v>54.3</v>
      </c>
      <c r="AD13" s="45">
        <v>54.3</v>
      </c>
      <c r="AE13" s="45" t="s">
        <v>282</v>
      </c>
      <c r="AF13" s="45" t="s">
        <v>282</v>
      </c>
      <c r="AG13" s="46">
        <v>52.4</v>
      </c>
      <c r="AH13" s="47">
        <f t="shared" si="2"/>
        <v>54.3</v>
      </c>
      <c r="AI13" s="48">
        <f t="shared" si="3"/>
        <v>53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45">
        <v>50.5</v>
      </c>
      <c r="C14" s="45">
        <v>50.6</v>
      </c>
      <c r="D14" s="45">
        <v>50.6</v>
      </c>
      <c r="E14" s="50">
        <v>0</v>
      </c>
      <c r="F14" s="50">
        <v>50.6</v>
      </c>
      <c r="G14" s="50">
        <v>50.4</v>
      </c>
      <c r="H14" s="50">
        <v>50.4</v>
      </c>
      <c r="I14" s="50">
        <v>50.4</v>
      </c>
      <c r="J14" s="50">
        <v>50.4</v>
      </c>
      <c r="K14" s="50">
        <v>50.4</v>
      </c>
      <c r="L14" s="50">
        <v>50.4</v>
      </c>
      <c r="M14" s="50">
        <v>50.5</v>
      </c>
      <c r="N14" s="50">
        <v>50.5</v>
      </c>
      <c r="O14" s="50">
        <v>50.5</v>
      </c>
      <c r="P14" s="50">
        <v>50.5</v>
      </c>
      <c r="Q14" s="50">
        <v>50.5</v>
      </c>
      <c r="R14" s="50">
        <v>50.4</v>
      </c>
      <c r="S14" s="50">
        <v>50.4</v>
      </c>
      <c r="T14" s="50">
        <v>50.4</v>
      </c>
      <c r="U14" s="50">
        <v>50.4</v>
      </c>
      <c r="V14" s="50">
        <v>50.4</v>
      </c>
      <c r="W14" s="50">
        <v>50.4</v>
      </c>
      <c r="X14" s="50">
        <v>50.4</v>
      </c>
      <c r="Y14" s="50">
        <v>50.4</v>
      </c>
      <c r="Z14" s="50">
        <v>50.4</v>
      </c>
      <c r="AA14" s="50">
        <v>50.4</v>
      </c>
      <c r="AB14" s="50">
        <v>50.4</v>
      </c>
      <c r="AC14" s="50">
        <v>50.4</v>
      </c>
      <c r="AD14" s="50">
        <v>50.4</v>
      </c>
      <c r="AE14" s="45" t="s">
        <v>274</v>
      </c>
      <c r="AF14" s="45" t="s">
        <v>274</v>
      </c>
      <c r="AG14" s="49">
        <v>50</v>
      </c>
      <c r="AH14" s="47">
        <f t="shared" si="2"/>
        <v>50.6</v>
      </c>
      <c r="AI14" s="48">
        <f t="shared" si="3"/>
        <v>0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46</v>
      </c>
      <c r="C15" s="45">
        <v>46</v>
      </c>
      <c r="D15" s="45">
        <v>46</v>
      </c>
      <c r="E15" s="45">
        <v>0</v>
      </c>
      <c r="F15" s="45">
        <v>46</v>
      </c>
      <c r="G15" s="45">
        <v>46</v>
      </c>
      <c r="H15" s="45">
        <v>46</v>
      </c>
      <c r="I15" s="45">
        <v>46</v>
      </c>
      <c r="J15" s="45">
        <v>46</v>
      </c>
      <c r="K15" s="45">
        <v>46</v>
      </c>
      <c r="L15" s="45">
        <v>46</v>
      </c>
      <c r="M15" s="45">
        <v>46.2</v>
      </c>
      <c r="N15" s="45">
        <v>46.2</v>
      </c>
      <c r="O15" s="45">
        <v>46.2</v>
      </c>
      <c r="P15" s="45">
        <v>46.2</v>
      </c>
      <c r="Q15" s="45">
        <v>46.2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46</v>
      </c>
      <c r="AB15" s="45">
        <v>46</v>
      </c>
      <c r="AC15" s="45">
        <v>46</v>
      </c>
      <c r="AD15" s="45">
        <v>46</v>
      </c>
      <c r="AE15" s="45" t="s">
        <v>275</v>
      </c>
      <c r="AF15" s="45" t="s">
        <v>275</v>
      </c>
      <c r="AG15" s="49">
        <v>45</v>
      </c>
      <c r="AH15" s="47">
        <f t="shared" si="2"/>
        <v>46.2</v>
      </c>
      <c r="AI15" s="48">
        <f t="shared" si="3"/>
        <v>0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42</v>
      </c>
      <c r="C16" s="45">
        <v>42</v>
      </c>
      <c r="D16" s="45">
        <v>42</v>
      </c>
      <c r="E16" s="45">
        <v>0</v>
      </c>
      <c r="F16" s="45">
        <v>42</v>
      </c>
      <c r="G16" s="45">
        <v>42</v>
      </c>
      <c r="H16" s="45">
        <v>42</v>
      </c>
      <c r="I16" s="45">
        <v>42</v>
      </c>
      <c r="J16" s="45">
        <v>42</v>
      </c>
      <c r="K16" s="45">
        <v>42</v>
      </c>
      <c r="L16" s="45">
        <v>42</v>
      </c>
      <c r="M16" s="45">
        <v>42</v>
      </c>
      <c r="N16" s="45">
        <v>42</v>
      </c>
      <c r="O16" s="45">
        <v>42</v>
      </c>
      <c r="P16" s="45">
        <v>42</v>
      </c>
      <c r="Q16" s="45">
        <v>42</v>
      </c>
      <c r="R16" s="45">
        <v>42</v>
      </c>
      <c r="S16" s="45">
        <v>42</v>
      </c>
      <c r="T16" s="45">
        <v>42</v>
      </c>
      <c r="U16" s="45">
        <v>42</v>
      </c>
      <c r="V16" s="45">
        <v>42</v>
      </c>
      <c r="W16" s="45">
        <v>42</v>
      </c>
      <c r="X16" s="45">
        <v>42</v>
      </c>
      <c r="Y16" s="45">
        <v>42</v>
      </c>
      <c r="Z16" s="45">
        <v>42</v>
      </c>
      <c r="AA16" s="45">
        <v>42</v>
      </c>
      <c r="AB16" s="45">
        <v>42</v>
      </c>
      <c r="AC16" s="45">
        <v>42</v>
      </c>
      <c r="AD16" s="45">
        <v>42</v>
      </c>
      <c r="AE16" s="45" t="s">
        <v>283</v>
      </c>
      <c r="AF16" s="45" t="s">
        <v>283</v>
      </c>
      <c r="AG16" s="49">
        <v>44</v>
      </c>
      <c r="AH16" s="47">
        <f>MAX(B16:AG16)</f>
        <v>44</v>
      </c>
      <c r="AI16" s="48">
        <f>MIN(B16:AG16)</f>
        <v>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31</v>
      </c>
      <c r="C17" s="45">
        <v>31</v>
      </c>
      <c r="D17" s="45">
        <v>31</v>
      </c>
      <c r="E17" s="45">
        <v>0</v>
      </c>
      <c r="F17" s="45">
        <v>31</v>
      </c>
      <c r="G17" s="45">
        <v>30</v>
      </c>
      <c r="H17" s="45">
        <v>30</v>
      </c>
      <c r="I17" s="45">
        <v>30</v>
      </c>
      <c r="J17" s="45">
        <v>30</v>
      </c>
      <c r="K17" s="45">
        <v>35.700000000000003</v>
      </c>
      <c r="L17" s="45">
        <v>35.700000000000003</v>
      </c>
      <c r="M17" s="45">
        <v>35.700000000000003</v>
      </c>
      <c r="N17" s="45">
        <v>31.5</v>
      </c>
      <c r="O17" s="45">
        <v>31.5</v>
      </c>
      <c r="P17" s="45">
        <v>31.5</v>
      </c>
      <c r="Q17" s="45">
        <v>31.5</v>
      </c>
      <c r="R17" s="45">
        <v>31.5</v>
      </c>
      <c r="S17" s="45">
        <v>31.5</v>
      </c>
      <c r="T17" s="45">
        <v>31.5</v>
      </c>
      <c r="U17" s="45">
        <v>31.5</v>
      </c>
      <c r="V17" s="45">
        <v>31.5</v>
      </c>
      <c r="W17" s="45">
        <v>31.5</v>
      </c>
      <c r="X17" s="45">
        <v>31.5</v>
      </c>
      <c r="Y17" s="45">
        <v>31.5</v>
      </c>
      <c r="Z17" s="45">
        <v>31.5</v>
      </c>
      <c r="AA17" s="45">
        <v>31.5</v>
      </c>
      <c r="AB17" s="45">
        <v>31.5</v>
      </c>
      <c r="AC17" s="45">
        <v>31.5</v>
      </c>
      <c r="AD17" s="45">
        <v>31.5</v>
      </c>
      <c r="AE17" s="45"/>
      <c r="AF17" s="45"/>
      <c r="AG17" s="49">
        <v>42</v>
      </c>
      <c r="AH17" s="47">
        <f t="shared" si="2"/>
        <v>35.700000000000003</v>
      </c>
      <c r="AI17" s="48">
        <f t="shared" si="3"/>
        <v>0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36</v>
      </c>
      <c r="C18" s="45">
        <v>36</v>
      </c>
      <c r="D18" s="45">
        <v>36</v>
      </c>
      <c r="E18" s="45">
        <v>36</v>
      </c>
      <c r="F18" s="45">
        <v>36</v>
      </c>
      <c r="G18" s="45">
        <v>36</v>
      </c>
      <c r="H18" s="45">
        <v>0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 t="s">
        <v>276</v>
      </c>
      <c r="AF18" s="45" t="s">
        <v>276</v>
      </c>
      <c r="AG18" s="49">
        <v>38.46</v>
      </c>
      <c r="AH18" s="47">
        <f t="shared" si="2"/>
        <v>38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25</v>
      </c>
      <c r="C19" s="45">
        <v>25</v>
      </c>
      <c r="D19" s="45">
        <v>25</v>
      </c>
      <c r="E19" s="45"/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 t="s">
        <v>277</v>
      </c>
      <c r="AF19" s="45" t="s">
        <v>277</v>
      </c>
      <c r="AG19" s="49">
        <v>36</v>
      </c>
      <c r="AH19" s="47">
        <f t="shared" si="2"/>
        <v>25</v>
      </c>
      <c r="AI19" s="48">
        <f t="shared" si="3"/>
        <v>25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15</v>
      </c>
      <c r="C20" s="45">
        <v>10</v>
      </c>
      <c r="D20" s="45">
        <v>10</v>
      </c>
      <c r="E20" s="45"/>
      <c r="F20" s="45">
        <v>0</v>
      </c>
      <c r="G20" s="45">
        <v>5</v>
      </c>
      <c r="H20" s="45">
        <v>15</v>
      </c>
      <c r="I20" s="45">
        <v>15</v>
      </c>
      <c r="J20" s="45">
        <v>15</v>
      </c>
      <c r="K20" s="45">
        <v>29.3</v>
      </c>
      <c r="L20" s="45">
        <v>29.3</v>
      </c>
      <c r="M20" s="45">
        <v>14.2</v>
      </c>
      <c r="N20" s="45">
        <v>10</v>
      </c>
      <c r="O20" s="45">
        <v>10</v>
      </c>
      <c r="P20" s="45">
        <v>10</v>
      </c>
      <c r="Q20" s="45">
        <v>10</v>
      </c>
      <c r="R20" s="45">
        <v>24.6</v>
      </c>
      <c r="S20" s="45">
        <v>24.6</v>
      </c>
      <c r="T20" s="45">
        <v>24.6</v>
      </c>
      <c r="U20" s="45">
        <v>24.6</v>
      </c>
      <c r="V20" s="45">
        <v>24.6</v>
      </c>
      <c r="W20" s="45">
        <v>24.6</v>
      </c>
      <c r="X20" s="45">
        <v>24.6</v>
      </c>
      <c r="Y20" s="45">
        <v>24.6</v>
      </c>
      <c r="Z20" s="45">
        <v>24.6</v>
      </c>
      <c r="AA20" s="45">
        <v>24.6</v>
      </c>
      <c r="AB20" s="45">
        <v>24.6</v>
      </c>
      <c r="AC20" s="45">
        <v>24.6</v>
      </c>
      <c r="AD20" s="45">
        <v>24.6</v>
      </c>
      <c r="AE20" s="45" t="s">
        <v>273</v>
      </c>
      <c r="AF20" s="45" t="s">
        <v>273</v>
      </c>
      <c r="AG20" s="51">
        <v>30</v>
      </c>
      <c r="AH20" s="47">
        <f t="shared" si="2"/>
        <v>29.3</v>
      </c>
      <c r="AI20" s="48">
        <f t="shared" si="3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20.5</v>
      </c>
      <c r="C21" s="45">
        <v>20.5</v>
      </c>
      <c r="D21" s="45">
        <v>20.5</v>
      </c>
      <c r="E21" s="45"/>
      <c r="F21" s="45">
        <v>20.5</v>
      </c>
      <c r="G21" s="45">
        <v>20.7</v>
      </c>
      <c r="H21" s="45">
        <v>20.7</v>
      </c>
      <c r="I21" s="45">
        <v>20.7</v>
      </c>
      <c r="J21" s="45">
        <v>20.7</v>
      </c>
      <c r="K21" s="45">
        <v>33</v>
      </c>
      <c r="L21" s="45">
        <v>33</v>
      </c>
      <c r="M21" s="45">
        <v>33</v>
      </c>
      <c r="N21" s="45">
        <v>33</v>
      </c>
      <c r="O21" s="45">
        <v>33</v>
      </c>
      <c r="P21" s="45">
        <v>33</v>
      </c>
      <c r="Q21" s="45">
        <v>33</v>
      </c>
      <c r="R21" s="45">
        <v>33</v>
      </c>
      <c r="S21" s="45">
        <v>33</v>
      </c>
      <c r="T21" s="45">
        <v>33</v>
      </c>
      <c r="U21" s="45">
        <v>33</v>
      </c>
      <c r="V21" s="45">
        <v>33</v>
      </c>
      <c r="W21" s="45">
        <v>33</v>
      </c>
      <c r="X21" s="45">
        <v>33</v>
      </c>
      <c r="Y21" s="45">
        <v>33</v>
      </c>
      <c r="Z21" s="45">
        <v>33</v>
      </c>
      <c r="AA21" s="45">
        <v>33</v>
      </c>
      <c r="AB21" s="45">
        <v>33</v>
      </c>
      <c r="AC21" s="45">
        <v>33</v>
      </c>
      <c r="AD21" s="45">
        <v>33</v>
      </c>
      <c r="AE21" s="45" t="s">
        <v>274</v>
      </c>
      <c r="AF21" s="45" t="s">
        <v>274</v>
      </c>
      <c r="AG21" s="49">
        <v>24.2</v>
      </c>
      <c r="AH21" s="47">
        <f t="shared" si="2"/>
        <v>33</v>
      </c>
      <c r="AI21" s="48">
        <f t="shared" si="3"/>
        <v>20.5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21</v>
      </c>
      <c r="C22" s="45">
        <v>21</v>
      </c>
      <c r="D22" s="45">
        <v>21</v>
      </c>
      <c r="E22" s="45"/>
      <c r="F22" s="45">
        <v>21</v>
      </c>
      <c r="G22" s="45">
        <v>21</v>
      </c>
      <c r="H22" s="45">
        <v>21</v>
      </c>
      <c r="I22" s="45">
        <v>21</v>
      </c>
      <c r="J22" s="45">
        <v>21</v>
      </c>
      <c r="K22" s="45">
        <v>29</v>
      </c>
      <c r="L22" s="45">
        <v>29</v>
      </c>
      <c r="M22" s="45">
        <v>28</v>
      </c>
      <c r="N22" s="45">
        <v>28</v>
      </c>
      <c r="O22" s="45">
        <v>28</v>
      </c>
      <c r="P22" s="45">
        <v>28</v>
      </c>
      <c r="Q22" s="45">
        <v>28</v>
      </c>
      <c r="R22" s="45">
        <v>28</v>
      </c>
      <c r="S22" s="45">
        <v>28</v>
      </c>
      <c r="T22" s="45">
        <v>28</v>
      </c>
      <c r="U22" s="45">
        <v>28</v>
      </c>
      <c r="V22" s="45">
        <v>28</v>
      </c>
      <c r="W22" s="45">
        <v>28</v>
      </c>
      <c r="X22" s="45">
        <v>28</v>
      </c>
      <c r="Y22" s="45">
        <v>28</v>
      </c>
      <c r="Z22" s="45">
        <v>28</v>
      </c>
      <c r="AA22" s="45">
        <v>28</v>
      </c>
      <c r="AB22" s="45">
        <v>28</v>
      </c>
      <c r="AC22" s="45">
        <v>28</v>
      </c>
      <c r="AD22" s="45">
        <v>28</v>
      </c>
      <c r="AE22" s="45" t="s">
        <v>278</v>
      </c>
      <c r="AF22" s="45" t="s">
        <v>278</v>
      </c>
      <c r="AG22" s="49">
        <v>28</v>
      </c>
      <c r="AH22" s="47">
        <f t="shared" si="2"/>
        <v>29</v>
      </c>
      <c r="AI22" s="48">
        <f t="shared" si="3"/>
        <v>21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9</v>
      </c>
      <c r="D23" s="45">
        <v>9</v>
      </c>
      <c r="E23" s="45"/>
      <c r="F23" s="45">
        <v>0</v>
      </c>
      <c r="G23" s="45">
        <v>5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 t="s">
        <v>279</v>
      </c>
      <c r="AF23" s="45" t="s">
        <v>279</v>
      </c>
      <c r="AG23" s="51">
        <v>30</v>
      </c>
      <c r="AH23" s="47">
        <f t="shared" si="2"/>
        <v>9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26.1</v>
      </c>
      <c r="C24" s="45">
        <v>26.1</v>
      </c>
      <c r="D24" s="45">
        <v>26.1</v>
      </c>
      <c r="E24" s="45"/>
      <c r="F24" s="45">
        <v>26.1</v>
      </c>
      <c r="G24" s="45">
        <v>26.3</v>
      </c>
      <c r="H24" s="45">
        <v>26.3</v>
      </c>
      <c r="I24" s="45">
        <v>26.3</v>
      </c>
      <c r="J24" s="45">
        <v>26.3</v>
      </c>
      <c r="K24" s="45">
        <v>26.3</v>
      </c>
      <c r="L24" s="45">
        <v>26.3</v>
      </c>
      <c r="M24" s="45">
        <v>26.4</v>
      </c>
      <c r="N24" s="45">
        <v>26.4</v>
      </c>
      <c r="O24" s="45">
        <v>26.4</v>
      </c>
      <c r="P24" s="45">
        <v>26.4</v>
      </c>
      <c r="Q24" s="45">
        <v>26.4</v>
      </c>
      <c r="R24" s="45">
        <v>26.2</v>
      </c>
      <c r="S24" s="45">
        <v>26.2</v>
      </c>
      <c r="T24" s="45">
        <v>26.2</v>
      </c>
      <c r="U24" s="45">
        <v>26.2</v>
      </c>
      <c r="V24" s="45">
        <v>26.2</v>
      </c>
      <c r="W24" s="45">
        <v>26.2</v>
      </c>
      <c r="X24" s="45">
        <v>26.2</v>
      </c>
      <c r="Y24" s="45">
        <v>26.2</v>
      </c>
      <c r="Z24" s="45">
        <v>26.2</v>
      </c>
      <c r="AA24" s="45">
        <v>26.2</v>
      </c>
      <c r="AB24" s="45">
        <v>26.2</v>
      </c>
      <c r="AC24" s="45">
        <v>26.2</v>
      </c>
      <c r="AD24" s="45">
        <v>26.2</v>
      </c>
      <c r="AE24" s="45" t="s">
        <v>280</v>
      </c>
      <c r="AF24" s="45" t="s">
        <v>280</v>
      </c>
      <c r="AG24" s="49">
        <v>25</v>
      </c>
      <c r="AH24" s="47">
        <f t="shared" si="2"/>
        <v>26.4</v>
      </c>
      <c r="AI24" s="48">
        <f t="shared" si="3"/>
        <v>26.1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/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/>
      <c r="AF25" s="45"/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/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/>
      <c r="AF26" s="45"/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15</v>
      </c>
      <c r="C27" s="45">
        <v>10</v>
      </c>
      <c r="D27" s="45">
        <v>10</v>
      </c>
      <c r="E27" s="45"/>
      <c r="F27" s="45">
        <v>0</v>
      </c>
      <c r="G27" s="45">
        <v>5</v>
      </c>
      <c r="H27" s="45">
        <v>9</v>
      </c>
      <c r="I27" s="45">
        <v>9</v>
      </c>
      <c r="J27" s="45">
        <v>9</v>
      </c>
      <c r="K27" s="45">
        <v>24</v>
      </c>
      <c r="L27" s="45">
        <v>24</v>
      </c>
      <c r="M27" s="45">
        <v>15</v>
      </c>
      <c r="N27" s="45">
        <v>10</v>
      </c>
      <c r="O27" s="45">
        <v>10</v>
      </c>
      <c r="P27" s="45">
        <v>10</v>
      </c>
      <c r="Q27" s="45">
        <v>10</v>
      </c>
      <c r="R27" s="45">
        <v>25</v>
      </c>
      <c r="S27" s="45">
        <v>25</v>
      </c>
      <c r="T27" s="45">
        <v>25</v>
      </c>
      <c r="U27" s="45">
        <v>25</v>
      </c>
      <c r="V27" s="45">
        <v>25</v>
      </c>
      <c r="W27" s="45">
        <v>25</v>
      </c>
      <c r="X27" s="45">
        <v>25</v>
      </c>
      <c r="Y27" s="45">
        <v>25</v>
      </c>
      <c r="Z27" s="45">
        <v>25</v>
      </c>
      <c r="AA27" s="45">
        <v>25</v>
      </c>
      <c r="AB27" s="45">
        <v>25</v>
      </c>
      <c r="AC27" s="45">
        <v>25</v>
      </c>
      <c r="AD27" s="45">
        <v>25</v>
      </c>
      <c r="AE27" s="45"/>
      <c r="AG27" s="49">
        <v>25</v>
      </c>
      <c r="AH27" s="47">
        <f t="shared" si="2"/>
        <v>25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12.1</v>
      </c>
      <c r="C28" s="45">
        <v>12.1</v>
      </c>
      <c r="D28" s="45">
        <v>12.1</v>
      </c>
      <c r="E28" s="45">
        <v>23</v>
      </c>
      <c r="F28" s="45">
        <v>12.1</v>
      </c>
      <c r="G28" s="45">
        <v>12.1</v>
      </c>
      <c r="H28" s="45">
        <v>12.1</v>
      </c>
      <c r="I28" s="45">
        <v>12.1</v>
      </c>
      <c r="J28" s="45">
        <v>12.1</v>
      </c>
      <c r="K28" s="45">
        <v>12.1</v>
      </c>
      <c r="L28" s="45">
        <v>12.1</v>
      </c>
      <c r="M28" s="45">
        <v>24.3</v>
      </c>
      <c r="N28" s="45">
        <v>23.3</v>
      </c>
      <c r="O28" s="45">
        <v>23.3</v>
      </c>
      <c r="P28" s="45">
        <v>23.3</v>
      </c>
      <c r="Q28" s="45">
        <v>23.3</v>
      </c>
      <c r="R28" s="45">
        <v>20.399999999999999</v>
      </c>
      <c r="S28" s="45">
        <v>20.399999999999999</v>
      </c>
      <c r="T28" s="45">
        <v>20.399999999999999</v>
      </c>
      <c r="U28" s="45">
        <v>20.399999999999999</v>
      </c>
      <c r="V28" s="45">
        <v>20.399999999999999</v>
      </c>
      <c r="W28" s="45">
        <v>20.399999999999999</v>
      </c>
      <c r="X28" s="45">
        <v>20.399999999999999</v>
      </c>
      <c r="Y28" s="45">
        <v>20.399999999999999</v>
      </c>
      <c r="Z28" s="45">
        <v>20.399999999999999</v>
      </c>
      <c r="AA28" s="45">
        <v>20.399999999999999</v>
      </c>
      <c r="AB28" s="45">
        <v>20.399999999999999</v>
      </c>
      <c r="AC28" s="45">
        <v>20.399999999999999</v>
      </c>
      <c r="AD28" s="45">
        <v>20.399999999999999</v>
      </c>
      <c r="AE28" s="45"/>
      <c r="AF28" s="45"/>
      <c r="AG28" s="49">
        <v>23.5</v>
      </c>
      <c r="AH28" s="47">
        <f>MAX(B28:AF28)</f>
        <v>24.3</v>
      </c>
      <c r="AI28" s="48">
        <f>MIN(B28:AF28)</f>
        <v>12.1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15</v>
      </c>
      <c r="V29" s="45">
        <v>15</v>
      </c>
      <c r="W29" s="45">
        <v>15</v>
      </c>
      <c r="X29" s="45">
        <v>15</v>
      </c>
      <c r="Y29" s="45">
        <v>15</v>
      </c>
      <c r="Z29" s="45">
        <v>15</v>
      </c>
      <c r="AA29" s="45">
        <v>15</v>
      </c>
      <c r="AB29" s="45">
        <v>15</v>
      </c>
      <c r="AC29" s="45">
        <v>15</v>
      </c>
      <c r="AD29" s="45">
        <v>15</v>
      </c>
      <c r="AE29" s="45"/>
      <c r="AF29" s="45"/>
      <c r="AG29" s="49">
        <v>22.2</v>
      </c>
      <c r="AH29" s="47">
        <f t="shared" si="2"/>
        <v>15</v>
      </c>
      <c r="AI29" s="48">
        <f t="shared" si="3"/>
        <v>0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/>
      <c r="AF30" s="45"/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/>
      <c r="AF31" s="45"/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13.8</v>
      </c>
      <c r="C32" s="45">
        <v>13.8</v>
      </c>
      <c r="D32" s="45">
        <v>13.8</v>
      </c>
      <c r="E32" s="45">
        <v>0</v>
      </c>
      <c r="F32" s="45">
        <v>13.8</v>
      </c>
      <c r="G32" s="45">
        <v>13.8</v>
      </c>
      <c r="H32" s="45">
        <v>13.8</v>
      </c>
      <c r="I32" s="45">
        <v>12</v>
      </c>
      <c r="J32" s="45">
        <v>12</v>
      </c>
      <c r="K32" s="45">
        <v>10</v>
      </c>
      <c r="L32" s="45">
        <v>10</v>
      </c>
      <c r="M32" s="45">
        <v>7.1</v>
      </c>
      <c r="N32" s="45">
        <v>11.1</v>
      </c>
      <c r="O32" s="45">
        <v>11.1</v>
      </c>
      <c r="P32" s="45">
        <v>11.1</v>
      </c>
      <c r="Q32" s="45">
        <v>11.1</v>
      </c>
      <c r="R32" s="45">
        <v>11.1</v>
      </c>
      <c r="S32" s="45">
        <v>11.1</v>
      </c>
      <c r="T32" s="45">
        <v>11.1</v>
      </c>
      <c r="U32" s="45">
        <v>11.1</v>
      </c>
      <c r="V32" s="45">
        <v>11.1</v>
      </c>
      <c r="W32" s="45">
        <v>11.1</v>
      </c>
      <c r="X32" s="45">
        <v>11.1</v>
      </c>
      <c r="Y32" s="45">
        <v>11.1</v>
      </c>
      <c r="Z32" s="45">
        <v>11.1</v>
      </c>
      <c r="AA32" s="45">
        <v>11.1</v>
      </c>
      <c r="AB32" s="45">
        <v>11.1</v>
      </c>
      <c r="AC32" s="45">
        <v>11.1</v>
      </c>
      <c r="AD32" s="45">
        <v>11.1</v>
      </c>
      <c r="AE32" s="45"/>
      <c r="AF32" s="45"/>
      <c r="AG32" s="49">
        <v>22</v>
      </c>
      <c r="AH32" s="47">
        <f t="shared" si="2"/>
        <v>13.8</v>
      </c>
      <c r="AI32" s="48">
        <f t="shared" si="3"/>
        <v>0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5</v>
      </c>
      <c r="C33" s="45">
        <v>5</v>
      </c>
      <c r="D33" s="45">
        <v>5</v>
      </c>
      <c r="E33" s="45">
        <v>0</v>
      </c>
      <c r="F33" s="45">
        <v>0</v>
      </c>
      <c r="G33" s="45">
        <v>0</v>
      </c>
      <c r="H33" s="45">
        <v>10</v>
      </c>
      <c r="I33" s="45">
        <v>10</v>
      </c>
      <c r="J33" s="45">
        <v>10</v>
      </c>
      <c r="K33" s="45">
        <v>10</v>
      </c>
      <c r="L33" s="45">
        <v>10</v>
      </c>
      <c r="M33" s="45">
        <v>15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/>
      <c r="AF33" s="45"/>
      <c r="AG33" s="49">
        <v>20</v>
      </c>
      <c r="AH33" s="47">
        <f t="shared" si="2"/>
        <v>15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12</v>
      </c>
      <c r="C34" s="45">
        <v>12</v>
      </c>
      <c r="D34" s="45">
        <v>12</v>
      </c>
      <c r="E34" s="45">
        <v>0</v>
      </c>
      <c r="F34" s="45">
        <v>12</v>
      </c>
      <c r="G34" s="45">
        <v>12</v>
      </c>
      <c r="H34" s="45">
        <v>12</v>
      </c>
      <c r="I34" s="45">
        <v>12</v>
      </c>
      <c r="J34" s="45">
        <v>12</v>
      </c>
      <c r="K34" s="45">
        <v>12</v>
      </c>
      <c r="L34" s="45">
        <v>12</v>
      </c>
      <c r="M34" s="45">
        <v>12</v>
      </c>
      <c r="N34" s="45">
        <v>12</v>
      </c>
      <c r="O34" s="45">
        <v>12</v>
      </c>
      <c r="P34" s="45">
        <v>12</v>
      </c>
      <c r="Q34" s="45">
        <v>12</v>
      </c>
      <c r="R34" s="45">
        <v>12</v>
      </c>
      <c r="S34" s="45">
        <v>12</v>
      </c>
      <c r="T34" s="45">
        <v>12</v>
      </c>
      <c r="U34" s="45">
        <v>12</v>
      </c>
      <c r="V34" s="45">
        <v>12</v>
      </c>
      <c r="W34" s="45">
        <v>12</v>
      </c>
      <c r="X34" s="45">
        <v>12</v>
      </c>
      <c r="Y34" s="45">
        <v>12</v>
      </c>
      <c r="Z34" s="45">
        <v>12</v>
      </c>
      <c r="AA34" s="45">
        <v>12</v>
      </c>
      <c r="AB34" s="45">
        <v>12</v>
      </c>
      <c r="AC34" s="45">
        <v>12</v>
      </c>
      <c r="AD34" s="45">
        <v>12</v>
      </c>
      <c r="AE34" s="45"/>
      <c r="AF34" s="45"/>
      <c r="AG34" s="49">
        <v>18</v>
      </c>
      <c r="AH34" s="47">
        <f t="shared" si="2"/>
        <v>12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/>
      <c r="AF35" s="45"/>
      <c r="AG35" s="49">
        <v>14.9</v>
      </c>
      <c r="AH35" s="47">
        <f t="shared" si="2"/>
        <v>15</v>
      </c>
      <c r="AI35" s="48">
        <f t="shared" si="3"/>
        <v>15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/>
      <c r="AF36" s="45"/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4</v>
      </c>
      <c r="C37" s="45">
        <v>4</v>
      </c>
      <c r="D37" s="45">
        <v>4</v>
      </c>
      <c r="E37" s="45">
        <v>0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/>
      <c r="AF37" s="45"/>
      <c r="AG37" s="49">
        <v>13.6</v>
      </c>
      <c r="AH37" s="47">
        <f t="shared" si="2"/>
        <v>4</v>
      </c>
      <c r="AI37" s="48">
        <f t="shared" si="3"/>
        <v>0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6</v>
      </c>
      <c r="C38" s="45">
        <v>6</v>
      </c>
      <c r="D38" s="45">
        <v>6</v>
      </c>
      <c r="E38" s="45">
        <v>0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/>
      <c r="AF38" s="45"/>
      <c r="AG38" s="49">
        <v>13</v>
      </c>
      <c r="AH38" s="47">
        <f t="shared" si="2"/>
        <v>6</v>
      </c>
      <c r="AI38" s="48">
        <f t="shared" si="3"/>
        <v>0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10</v>
      </c>
      <c r="C39" s="45">
        <v>10</v>
      </c>
      <c r="D39" s="45">
        <v>10</v>
      </c>
      <c r="E39" s="45">
        <v>0</v>
      </c>
      <c r="F39" s="45">
        <v>0</v>
      </c>
      <c r="G39" s="45">
        <v>0</v>
      </c>
      <c r="H39" s="45">
        <v>4</v>
      </c>
      <c r="I39" s="45">
        <v>4</v>
      </c>
      <c r="J39" s="45">
        <v>4</v>
      </c>
      <c r="K39" s="45">
        <v>11</v>
      </c>
      <c r="L39" s="45">
        <v>11</v>
      </c>
      <c r="M39" s="45">
        <v>11</v>
      </c>
      <c r="N39" s="45">
        <v>11</v>
      </c>
      <c r="O39" s="45">
        <v>11</v>
      </c>
      <c r="P39" s="45">
        <v>11</v>
      </c>
      <c r="Q39" s="45">
        <v>11</v>
      </c>
      <c r="R39" s="45">
        <v>11</v>
      </c>
      <c r="S39" s="45">
        <v>11</v>
      </c>
      <c r="T39" s="45">
        <v>11</v>
      </c>
      <c r="U39" s="45">
        <v>11</v>
      </c>
      <c r="V39" s="45">
        <v>11</v>
      </c>
      <c r="W39" s="45">
        <v>11</v>
      </c>
      <c r="X39" s="45">
        <v>11</v>
      </c>
      <c r="Y39" s="45">
        <v>11</v>
      </c>
      <c r="Z39" s="45">
        <v>11</v>
      </c>
      <c r="AA39" s="45">
        <v>11</v>
      </c>
      <c r="AB39" s="45">
        <v>11</v>
      </c>
      <c r="AC39" s="45">
        <v>11</v>
      </c>
      <c r="AD39" s="45">
        <v>11</v>
      </c>
      <c r="AE39" s="45"/>
      <c r="AF39" s="45"/>
      <c r="AG39" s="49">
        <v>12</v>
      </c>
      <c r="AH39" s="47">
        <f t="shared" si="2"/>
        <v>11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2</v>
      </c>
      <c r="C40" s="45">
        <v>2</v>
      </c>
      <c r="D40" s="45">
        <v>2</v>
      </c>
      <c r="E40" s="45">
        <v>0</v>
      </c>
      <c r="F40" s="45">
        <v>2</v>
      </c>
      <c r="G40" s="45">
        <v>2</v>
      </c>
      <c r="H40" s="45">
        <v>2</v>
      </c>
      <c r="I40" s="45">
        <v>2</v>
      </c>
      <c r="J40" s="45">
        <v>2</v>
      </c>
      <c r="K40" s="45">
        <v>2</v>
      </c>
      <c r="L40" s="45">
        <v>2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>
        <v>2</v>
      </c>
      <c r="AB40" s="45">
        <v>2</v>
      </c>
      <c r="AC40" s="45">
        <v>2</v>
      </c>
      <c r="AD40" s="45">
        <v>2</v>
      </c>
      <c r="AE40" s="45"/>
      <c r="AF40" s="45"/>
      <c r="AG40" s="49">
        <v>12</v>
      </c>
      <c r="AH40" s="47">
        <f t="shared" si="2"/>
        <v>2</v>
      </c>
      <c r="AI40" s="48">
        <f t="shared" si="3"/>
        <v>0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8</v>
      </c>
      <c r="C41" s="45">
        <v>8</v>
      </c>
      <c r="D41" s="45">
        <v>8</v>
      </c>
      <c r="E41" s="45">
        <v>0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/>
      <c r="AF41" s="45"/>
      <c r="AG41" s="49">
        <v>12</v>
      </c>
      <c r="AH41" s="47">
        <f t="shared" si="2"/>
        <v>8</v>
      </c>
      <c r="AI41" s="48">
        <f t="shared" si="3"/>
        <v>0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/>
      <c r="AF42" s="45"/>
      <c r="AG42" s="52">
        <v>22</v>
      </c>
      <c r="AH42" s="47">
        <f t="shared" si="2"/>
        <v>4</v>
      </c>
      <c r="AI42" s="48">
        <f t="shared" si="3"/>
        <v>4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7.5</v>
      </c>
      <c r="C43" s="45">
        <v>7.5</v>
      </c>
      <c r="D43" s="45">
        <v>7.5</v>
      </c>
      <c r="E43" s="45">
        <v>0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/>
      <c r="AF43" s="45"/>
      <c r="AG43" s="51">
        <v>11.88</v>
      </c>
      <c r="AH43" s="47">
        <f t="shared" si="2"/>
        <v>7.5</v>
      </c>
      <c r="AI43" s="48">
        <f t="shared" si="3"/>
        <v>0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7</v>
      </c>
      <c r="C44" s="45">
        <v>7</v>
      </c>
      <c r="D44" s="45">
        <v>7</v>
      </c>
      <c r="E44" s="45">
        <v>0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/>
      <c r="AF44" s="45"/>
      <c r="AG44" s="54">
        <v>11</v>
      </c>
      <c r="AH44" s="47">
        <f t="shared" si="2"/>
        <v>7</v>
      </c>
      <c r="AI44" s="48">
        <f t="shared" si="3"/>
        <v>0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9.6</v>
      </c>
      <c r="C45" s="45">
        <v>9.6</v>
      </c>
      <c r="D45" s="45">
        <v>9.6</v>
      </c>
      <c r="E45" s="45">
        <v>0</v>
      </c>
      <c r="F45" s="45">
        <v>9.6</v>
      </c>
      <c r="G45" s="45">
        <v>9.6</v>
      </c>
      <c r="H45" s="45">
        <v>9.6</v>
      </c>
      <c r="I45" s="45">
        <v>9.6</v>
      </c>
      <c r="J45" s="45">
        <v>9.6</v>
      </c>
      <c r="K45" s="45">
        <v>9.6</v>
      </c>
      <c r="L45" s="45">
        <v>9.6</v>
      </c>
      <c r="M45" s="45">
        <v>9.6</v>
      </c>
      <c r="N45" s="45">
        <v>9.6</v>
      </c>
      <c r="O45" s="45">
        <v>9.6</v>
      </c>
      <c r="P45" s="45">
        <v>9.6</v>
      </c>
      <c r="Q45" s="45">
        <v>9.6</v>
      </c>
      <c r="R45" s="45">
        <v>9.6</v>
      </c>
      <c r="S45" s="45">
        <v>9.6</v>
      </c>
      <c r="T45" s="45">
        <v>9.6</v>
      </c>
      <c r="U45" s="45">
        <v>9.6</v>
      </c>
      <c r="V45" s="45">
        <v>9.6</v>
      </c>
      <c r="W45" s="45">
        <v>9.6</v>
      </c>
      <c r="X45" s="45">
        <v>9.6</v>
      </c>
      <c r="Y45" s="45">
        <v>9.6</v>
      </c>
      <c r="Z45" s="45">
        <v>9.6</v>
      </c>
      <c r="AA45" s="45">
        <v>9.6</v>
      </c>
      <c r="AB45" s="45">
        <v>9.6</v>
      </c>
      <c r="AC45" s="45">
        <v>9.6</v>
      </c>
      <c r="AD45" s="45">
        <v>9.6</v>
      </c>
      <c r="AE45" s="45"/>
      <c r="AF45" s="45"/>
      <c r="AG45" s="54">
        <v>10</v>
      </c>
      <c r="AH45" s="47">
        <f t="shared" si="2"/>
        <v>9.6</v>
      </c>
      <c r="AI45" s="48">
        <f t="shared" si="3"/>
        <v>0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/>
      <c r="AF46" s="45"/>
      <c r="AG46" s="54">
        <v>10</v>
      </c>
      <c r="AH46" s="47">
        <f t="shared" si="2"/>
        <v>10</v>
      </c>
      <c r="AI46" s="48">
        <f t="shared" si="3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/>
      <c r="AF47" s="45"/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/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/>
      <c r="AF48" s="56"/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>SUM(B11:B48)</f>
        <v>863.40000000000009</v>
      </c>
      <c r="C50" s="59">
        <f t="shared" ref="C50:AF50" si="4">SUM(C11:C48)</f>
        <v>851.40000000000009</v>
      </c>
      <c r="D50" s="59">
        <f t="shared" si="4"/>
        <v>851.40000000000009</v>
      </c>
      <c r="E50" s="59">
        <f t="shared" si="4"/>
        <v>223.5</v>
      </c>
      <c r="F50" s="59">
        <f t="shared" si="4"/>
        <v>819.20000000000016</v>
      </c>
      <c r="G50" s="59">
        <f t="shared" si="4"/>
        <v>834.2</v>
      </c>
      <c r="H50" s="59">
        <f t="shared" si="4"/>
        <v>830.2</v>
      </c>
      <c r="I50" s="59">
        <f t="shared" si="4"/>
        <v>866.4</v>
      </c>
      <c r="J50" s="59">
        <f t="shared" si="4"/>
        <v>866.4</v>
      </c>
      <c r="K50" s="59">
        <f t="shared" si="4"/>
        <v>926.90000000000009</v>
      </c>
      <c r="L50" s="59">
        <f t="shared" ref="L50:M50" si="5">SUM(L11:L48)</f>
        <v>926.90000000000009</v>
      </c>
      <c r="M50" s="59">
        <f t="shared" si="5"/>
        <v>917.3</v>
      </c>
      <c r="N50" s="59">
        <f t="shared" si="4"/>
        <v>896.9</v>
      </c>
      <c r="O50" s="59">
        <f t="shared" si="4"/>
        <v>896.9</v>
      </c>
      <c r="P50" s="59">
        <f t="shared" si="4"/>
        <v>896.9</v>
      </c>
      <c r="Q50" s="59">
        <f t="shared" si="4"/>
        <v>896.9</v>
      </c>
      <c r="R50" s="59">
        <f t="shared" si="4"/>
        <v>923.1</v>
      </c>
      <c r="S50" s="59">
        <f t="shared" si="4"/>
        <v>923.1</v>
      </c>
      <c r="T50" s="59">
        <f t="shared" si="4"/>
        <v>923.1</v>
      </c>
      <c r="U50" s="59">
        <f t="shared" si="4"/>
        <v>938.1</v>
      </c>
      <c r="V50" s="59">
        <f t="shared" ref="V50" si="6">SUM(V11:V48)</f>
        <v>938.1</v>
      </c>
      <c r="W50" s="59">
        <f t="shared" si="4"/>
        <v>938.1</v>
      </c>
      <c r="X50" s="59">
        <f t="shared" si="4"/>
        <v>938.1</v>
      </c>
      <c r="Y50" s="59">
        <f t="shared" si="4"/>
        <v>938.1</v>
      </c>
      <c r="Z50" s="59">
        <f t="shared" si="4"/>
        <v>938.1</v>
      </c>
      <c r="AA50" s="59">
        <f t="shared" si="4"/>
        <v>938.1</v>
      </c>
      <c r="AB50" s="59">
        <f t="shared" si="4"/>
        <v>938.1</v>
      </c>
      <c r="AC50" s="59">
        <f t="shared" si="4"/>
        <v>938.1</v>
      </c>
      <c r="AD50" s="59">
        <f t="shared" si="4"/>
        <v>938.1</v>
      </c>
      <c r="AE50" s="59">
        <f t="shared" si="4"/>
        <v>0</v>
      </c>
      <c r="AF50" s="59">
        <f t="shared" si="4"/>
        <v>0</v>
      </c>
      <c r="AG50" s="60">
        <f>SUM(AG13:AG48)</f>
        <v>922.14</v>
      </c>
      <c r="AH50" s="47">
        <f t="shared" si="2"/>
        <v>938.1</v>
      </c>
      <c r="AI50" s="48">
        <f t="shared" si="3"/>
        <v>0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62">
        <v>456</v>
      </c>
      <c r="O51" s="62">
        <v>456</v>
      </c>
      <c r="P51" s="62">
        <v>456</v>
      </c>
      <c r="Q51" s="62">
        <v>456</v>
      </c>
      <c r="R51" s="62">
        <v>456</v>
      </c>
      <c r="S51" s="62">
        <v>456</v>
      </c>
      <c r="T51" s="62">
        <v>456</v>
      </c>
      <c r="U51" s="62">
        <v>456</v>
      </c>
      <c r="V51" s="62">
        <v>440</v>
      </c>
      <c r="W51" s="62">
        <v>440</v>
      </c>
      <c r="X51" s="62">
        <v>456</v>
      </c>
      <c r="Y51" s="62">
        <v>456</v>
      </c>
      <c r="Z51" s="62">
        <v>456</v>
      </c>
      <c r="AA51" s="62">
        <v>456</v>
      </c>
      <c r="AB51" s="62">
        <v>456</v>
      </c>
      <c r="AC51" s="62">
        <v>456</v>
      </c>
      <c r="AD51" s="62">
        <v>456</v>
      </c>
      <c r="AE51" s="45"/>
      <c r="AF51" s="45"/>
      <c r="AG51" s="51">
        <v>456</v>
      </c>
      <c r="AH51" s="47">
        <f t="shared" si="2"/>
        <v>456</v>
      </c>
      <c r="AI51" s="48">
        <f t="shared" si="3"/>
        <v>440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0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60</v>
      </c>
      <c r="L52" s="64">
        <v>60</v>
      </c>
      <c r="M52" s="64">
        <v>60</v>
      </c>
      <c r="N52" s="64">
        <v>60</v>
      </c>
      <c r="O52" s="64">
        <v>60</v>
      </c>
      <c r="P52" s="64">
        <v>60</v>
      </c>
      <c r="Q52" s="64">
        <v>60</v>
      </c>
      <c r="R52" s="64">
        <v>60</v>
      </c>
      <c r="S52" s="64">
        <v>60</v>
      </c>
      <c r="T52" s="64">
        <v>60</v>
      </c>
      <c r="U52" s="64">
        <v>60</v>
      </c>
      <c r="V52" s="64">
        <v>60</v>
      </c>
      <c r="W52" s="64">
        <v>60</v>
      </c>
      <c r="X52" s="64">
        <v>60</v>
      </c>
      <c r="Y52" s="64">
        <v>60</v>
      </c>
      <c r="Z52" s="64">
        <v>60</v>
      </c>
      <c r="AA52" s="64">
        <v>60</v>
      </c>
      <c r="AB52" s="64">
        <v>60</v>
      </c>
      <c r="AC52" s="64">
        <v>60</v>
      </c>
      <c r="AD52" s="64">
        <v>60</v>
      </c>
      <c r="AE52" s="64"/>
      <c r="AF52" s="64"/>
      <c r="AG52" s="54">
        <v>60</v>
      </c>
      <c r="AH52" s="47">
        <f t="shared" si="2"/>
        <v>60</v>
      </c>
      <c r="AI52" s="48">
        <f t="shared" si="3"/>
        <v>0</v>
      </c>
      <c r="AK52" s="74"/>
    </row>
    <row r="53" spans="1:41" ht="15.75" thickBot="1" x14ac:dyDescent="0.3">
      <c r="A53" s="65" t="s">
        <v>69</v>
      </c>
      <c r="B53" s="66">
        <v>22.4</v>
      </c>
      <c r="C53" s="66">
        <v>22.4</v>
      </c>
      <c r="D53" s="66">
        <v>22.3</v>
      </c>
      <c r="E53" s="66">
        <v>0</v>
      </c>
      <c r="F53" s="66">
        <v>22</v>
      </c>
      <c r="G53" s="66">
        <v>22</v>
      </c>
      <c r="H53" s="66">
        <v>22</v>
      </c>
      <c r="I53" s="66">
        <v>22</v>
      </c>
      <c r="J53" s="66">
        <v>22</v>
      </c>
      <c r="K53" s="66">
        <v>22</v>
      </c>
      <c r="L53" s="66">
        <v>22</v>
      </c>
      <c r="M53" s="66">
        <v>22.4</v>
      </c>
      <c r="N53" s="66">
        <v>22.4</v>
      </c>
      <c r="O53" s="66">
        <v>22.4</v>
      </c>
      <c r="P53" s="66">
        <v>22.4</v>
      </c>
      <c r="Q53" s="66">
        <v>22.4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22.5</v>
      </c>
      <c r="AC53" s="66">
        <v>22.5</v>
      </c>
      <c r="AD53" s="66">
        <v>22.5</v>
      </c>
      <c r="AE53" s="66"/>
      <c r="AF53" s="66"/>
      <c r="AG53" s="67">
        <v>22.1</v>
      </c>
      <c r="AH53" s="47">
        <f t="shared" si="2"/>
        <v>22.5</v>
      </c>
      <c r="AI53" s="48">
        <f t="shared" si="3"/>
        <v>0</v>
      </c>
      <c r="AK53" s="74"/>
    </row>
    <row r="54" spans="1:41" ht="15.75" thickBot="1" x14ac:dyDescent="0.3">
      <c r="A54" s="68" t="s">
        <v>70</v>
      </c>
      <c r="B54" s="59">
        <f t="shared" ref="B54:AG54" si="7">SUM(B51:B53)</f>
        <v>533.4</v>
      </c>
      <c r="C54" s="59">
        <f t="shared" si="7"/>
        <v>533.4</v>
      </c>
      <c r="D54" s="59">
        <f t="shared" si="7"/>
        <v>533.29999999999995</v>
      </c>
      <c r="E54" s="59">
        <f t="shared" si="7"/>
        <v>456</v>
      </c>
      <c r="F54" s="59">
        <f t="shared" si="7"/>
        <v>533</v>
      </c>
      <c r="G54" s="59">
        <f t="shared" si="7"/>
        <v>533</v>
      </c>
      <c r="H54" s="59">
        <f t="shared" si="7"/>
        <v>533</v>
      </c>
      <c r="I54" s="59">
        <f t="shared" si="7"/>
        <v>533</v>
      </c>
      <c r="J54" s="59">
        <f t="shared" si="7"/>
        <v>533</v>
      </c>
      <c r="K54" s="59">
        <f t="shared" si="7"/>
        <v>538</v>
      </c>
      <c r="L54" s="59">
        <f t="shared" si="7"/>
        <v>538</v>
      </c>
      <c r="M54" s="59">
        <f t="shared" ref="M54" si="8">SUM(M51:M53)</f>
        <v>538.4</v>
      </c>
      <c r="N54" s="59">
        <f t="shared" si="7"/>
        <v>538.4</v>
      </c>
      <c r="O54" s="59">
        <f t="shared" si="7"/>
        <v>538.4</v>
      </c>
      <c r="P54" s="59">
        <f t="shared" si="7"/>
        <v>538.4</v>
      </c>
      <c r="Q54" s="59">
        <f t="shared" si="7"/>
        <v>538.4</v>
      </c>
      <c r="R54" s="59">
        <f t="shared" si="7"/>
        <v>538.5</v>
      </c>
      <c r="S54" s="59">
        <f t="shared" si="7"/>
        <v>538.5</v>
      </c>
      <c r="T54" s="59">
        <f t="shared" si="7"/>
        <v>538.5</v>
      </c>
      <c r="U54" s="59">
        <f t="shared" si="7"/>
        <v>538.5</v>
      </c>
      <c r="V54" s="59">
        <f t="shared" si="7"/>
        <v>522.5</v>
      </c>
      <c r="W54" s="59">
        <f t="shared" si="7"/>
        <v>522.5</v>
      </c>
      <c r="X54" s="59">
        <f t="shared" si="7"/>
        <v>538.5</v>
      </c>
      <c r="Y54" s="59">
        <f t="shared" si="7"/>
        <v>538.5</v>
      </c>
      <c r="Z54" s="59">
        <f t="shared" si="7"/>
        <v>538.5</v>
      </c>
      <c r="AA54" s="59">
        <f t="shared" si="7"/>
        <v>538.5</v>
      </c>
      <c r="AB54" s="59">
        <f t="shared" si="7"/>
        <v>538.5</v>
      </c>
      <c r="AC54" s="59">
        <f t="shared" si="7"/>
        <v>538.5</v>
      </c>
      <c r="AD54" s="59">
        <f t="shared" si="7"/>
        <v>538.5</v>
      </c>
      <c r="AE54" s="59">
        <f t="shared" si="7"/>
        <v>0</v>
      </c>
      <c r="AF54" s="59">
        <f t="shared" si="7"/>
        <v>0</v>
      </c>
      <c r="AG54" s="60">
        <f t="shared" si="7"/>
        <v>538.1</v>
      </c>
      <c r="AH54" s="47">
        <f t="shared" si="2"/>
        <v>538.5</v>
      </c>
      <c r="AI54" s="48">
        <f t="shared" si="3"/>
        <v>0</v>
      </c>
      <c r="AK54" s="74"/>
    </row>
    <row r="55" spans="1:41" x14ac:dyDescent="0.25">
      <c r="A55" s="44" t="s">
        <v>71</v>
      </c>
      <c r="B55" s="45">
        <v>144.30000000000001</v>
      </c>
      <c r="C55" s="45">
        <v>144.30000000000001</v>
      </c>
      <c r="D55" s="45">
        <v>91.2</v>
      </c>
      <c r="E55" s="45">
        <v>0</v>
      </c>
      <c r="F55" s="45">
        <v>141</v>
      </c>
      <c r="G55" s="45">
        <v>143.69999999999999</v>
      </c>
      <c r="H55" s="45">
        <v>143.69999999999999</v>
      </c>
      <c r="I55" s="45">
        <v>143.69999999999999</v>
      </c>
      <c r="J55" s="45">
        <v>143.69999999999999</v>
      </c>
      <c r="K55" s="45">
        <v>143.69999999999999</v>
      </c>
      <c r="L55" s="45">
        <v>143.69999999999999</v>
      </c>
      <c r="M55" s="45">
        <v>144.69999999999999</v>
      </c>
      <c r="N55" s="45">
        <v>130</v>
      </c>
      <c r="O55" s="45">
        <v>142.9</v>
      </c>
      <c r="P55" s="45">
        <v>142.9</v>
      </c>
      <c r="Q55" s="45">
        <v>142.9</v>
      </c>
      <c r="R55" s="45">
        <v>144.19999999999999</v>
      </c>
      <c r="S55" s="45">
        <v>144.19999999999999</v>
      </c>
      <c r="T55" s="45">
        <v>95.5</v>
      </c>
      <c r="U55" s="45">
        <v>95.5</v>
      </c>
      <c r="V55" s="45">
        <v>112</v>
      </c>
      <c r="W55" s="45">
        <v>112</v>
      </c>
      <c r="X55" s="45">
        <v>112</v>
      </c>
      <c r="Y55" s="45">
        <v>121</v>
      </c>
      <c r="Z55" s="45">
        <v>121</v>
      </c>
      <c r="AA55" s="45">
        <v>121</v>
      </c>
      <c r="AB55" s="45">
        <v>142.69999999999999</v>
      </c>
      <c r="AC55" s="45">
        <v>142.69999999999999</v>
      </c>
      <c r="AD55" s="45">
        <v>142.69999999999999</v>
      </c>
      <c r="AE55" s="45"/>
      <c r="AF55" s="45"/>
      <c r="AG55" s="51">
        <v>144</v>
      </c>
      <c r="AH55" s="47">
        <f t="shared" si="2"/>
        <v>144.69999999999999</v>
      </c>
      <c r="AI55" s="48">
        <f t="shared" si="3"/>
        <v>0</v>
      </c>
      <c r="AK55" s="74"/>
    </row>
    <row r="56" spans="1:41" x14ac:dyDescent="0.25">
      <c r="A56" s="53" t="s">
        <v>72</v>
      </c>
      <c r="B56" s="45">
        <v>70.2</v>
      </c>
      <c r="C56" s="45">
        <v>70.2</v>
      </c>
      <c r="D56" s="45">
        <v>52.1</v>
      </c>
      <c r="E56" s="64">
        <v>0</v>
      </c>
      <c r="F56" s="64">
        <v>55</v>
      </c>
      <c r="G56" s="64">
        <v>60</v>
      </c>
      <c r="H56" s="64">
        <v>70</v>
      </c>
      <c r="I56" s="64">
        <v>68</v>
      </c>
      <c r="J56" s="64">
        <v>69.5</v>
      </c>
      <c r="K56" s="64">
        <v>69.5</v>
      </c>
      <c r="L56" s="64">
        <v>69.5</v>
      </c>
      <c r="M56" s="64">
        <v>55.4</v>
      </c>
      <c r="N56" s="64">
        <v>60</v>
      </c>
      <c r="O56" s="64">
        <v>70.400000000000006</v>
      </c>
      <c r="P56" s="64">
        <v>70.400000000000006</v>
      </c>
      <c r="Q56" s="64">
        <v>70.400000000000006</v>
      </c>
      <c r="R56" s="64">
        <v>70.7</v>
      </c>
      <c r="S56" s="64">
        <v>70.7</v>
      </c>
      <c r="T56" s="64">
        <v>70.7</v>
      </c>
      <c r="U56" s="64">
        <v>70.7</v>
      </c>
      <c r="V56" s="45">
        <v>50.1</v>
      </c>
      <c r="W56" s="45">
        <v>50.1</v>
      </c>
      <c r="X56" s="45">
        <v>68.400000000000006</v>
      </c>
      <c r="Y56" s="45">
        <v>69.5</v>
      </c>
      <c r="Z56" s="45">
        <v>69.5</v>
      </c>
      <c r="AA56" s="45">
        <v>69.5</v>
      </c>
      <c r="AB56" s="45">
        <v>71.3</v>
      </c>
      <c r="AC56" s="45">
        <v>71.3</v>
      </c>
      <c r="AD56" s="45">
        <v>71.3</v>
      </c>
      <c r="AE56" s="45"/>
      <c r="AF56" s="45"/>
      <c r="AG56" s="54">
        <v>70</v>
      </c>
      <c r="AH56" s="47">
        <f t="shared" si="2"/>
        <v>71.3</v>
      </c>
      <c r="AI56" s="48">
        <f t="shared" si="3"/>
        <v>0</v>
      </c>
      <c r="AK56" s="74"/>
    </row>
    <row r="57" spans="1:41" x14ac:dyDescent="0.25">
      <c r="A57" s="53" t="s">
        <v>73</v>
      </c>
      <c r="B57" s="45">
        <v>60.6</v>
      </c>
      <c r="C57" s="45">
        <v>56</v>
      </c>
      <c r="D57" s="45">
        <v>53</v>
      </c>
      <c r="E57" s="64">
        <v>0</v>
      </c>
      <c r="F57" s="64">
        <v>62.8</v>
      </c>
      <c r="G57" s="64">
        <v>65</v>
      </c>
      <c r="H57" s="64">
        <v>67.5</v>
      </c>
      <c r="I57" s="64">
        <v>68</v>
      </c>
      <c r="J57" s="64">
        <v>68.599999999999994</v>
      </c>
      <c r="K57" s="64">
        <v>68.599999999999994</v>
      </c>
      <c r="L57" s="64">
        <v>68.599999999999994</v>
      </c>
      <c r="M57" s="64">
        <v>69</v>
      </c>
      <c r="N57" s="64">
        <v>61.3</v>
      </c>
      <c r="O57" s="64">
        <v>68.400000000000006</v>
      </c>
      <c r="P57" s="64">
        <v>68.400000000000006</v>
      </c>
      <c r="Q57" s="64">
        <v>68.400000000000006</v>
      </c>
      <c r="R57" s="64">
        <v>67.8</v>
      </c>
      <c r="S57" s="64">
        <v>67.8</v>
      </c>
      <c r="T57" s="64">
        <v>67.099999999999994</v>
      </c>
      <c r="U57" s="64">
        <v>61.6</v>
      </c>
      <c r="V57" s="45">
        <v>60.6</v>
      </c>
      <c r="W57" s="45">
        <v>60.6</v>
      </c>
      <c r="X57" s="45">
        <v>68.400000000000006</v>
      </c>
      <c r="Y57" s="45">
        <v>68.599999999999994</v>
      </c>
      <c r="Z57" s="45">
        <v>68.599999999999994</v>
      </c>
      <c r="AA57" s="45">
        <v>68.599999999999994</v>
      </c>
      <c r="AB57" s="45">
        <v>68.7</v>
      </c>
      <c r="AC57" s="45">
        <v>68.7</v>
      </c>
      <c r="AD57" s="45">
        <v>68.7</v>
      </c>
      <c r="AE57" s="45"/>
      <c r="AF57" s="45"/>
      <c r="AG57" s="54">
        <v>69</v>
      </c>
      <c r="AH57" s="47">
        <f t="shared" si="2"/>
        <v>69</v>
      </c>
      <c r="AI57" s="48">
        <f t="shared" si="3"/>
        <v>0</v>
      </c>
      <c r="AK57" s="74"/>
    </row>
    <row r="58" spans="1:41" x14ac:dyDescent="0.25">
      <c r="A58" s="53" t="s">
        <v>74</v>
      </c>
      <c r="B58" s="45">
        <v>60.4</v>
      </c>
      <c r="C58" s="45">
        <v>50.6</v>
      </c>
      <c r="D58" s="45">
        <v>40</v>
      </c>
      <c r="E58" s="56">
        <v>0</v>
      </c>
      <c r="F58" s="56">
        <v>51</v>
      </c>
      <c r="G58" s="56">
        <v>55</v>
      </c>
      <c r="H58" s="56">
        <v>60.4</v>
      </c>
      <c r="I58" s="56">
        <v>60.4</v>
      </c>
      <c r="J58" s="56">
        <v>60.4</v>
      </c>
      <c r="K58" s="56">
        <v>60.4</v>
      </c>
      <c r="L58" s="56">
        <v>60.4</v>
      </c>
      <c r="M58" s="56">
        <v>50.9</v>
      </c>
      <c r="N58" s="56">
        <v>51.4</v>
      </c>
      <c r="O58" s="56">
        <v>60.4</v>
      </c>
      <c r="P58" s="56">
        <v>60.4</v>
      </c>
      <c r="Q58" s="56">
        <v>60.4</v>
      </c>
      <c r="R58" s="64">
        <v>60</v>
      </c>
      <c r="S58" s="64">
        <v>60</v>
      </c>
      <c r="T58" s="64">
        <v>50.6</v>
      </c>
      <c r="U58" s="64">
        <v>50.6</v>
      </c>
      <c r="V58" s="64">
        <v>50.6</v>
      </c>
      <c r="W58" s="64">
        <v>50.6</v>
      </c>
      <c r="X58" s="45">
        <v>51.4</v>
      </c>
      <c r="Y58" s="45">
        <v>61.2</v>
      </c>
      <c r="Z58" s="45">
        <v>61.2</v>
      </c>
      <c r="AA58" s="45">
        <v>61.2</v>
      </c>
      <c r="AB58" s="45">
        <v>61.2</v>
      </c>
      <c r="AC58" s="45">
        <v>61.2</v>
      </c>
      <c r="AD58" s="45">
        <v>61.2</v>
      </c>
      <c r="AE58" s="45"/>
      <c r="AF58" s="45"/>
      <c r="AG58" s="54">
        <v>60</v>
      </c>
      <c r="AH58" s="47">
        <f t="shared" si="2"/>
        <v>61.2</v>
      </c>
      <c r="AI58" s="48">
        <f t="shared" si="3"/>
        <v>0</v>
      </c>
      <c r="AK58" s="74"/>
    </row>
    <row r="59" spans="1:41" x14ac:dyDescent="0.25">
      <c r="A59" s="53" t="s">
        <v>75</v>
      </c>
      <c r="B59" s="45">
        <v>28</v>
      </c>
      <c r="C59" s="45">
        <v>15</v>
      </c>
      <c r="D59" s="45">
        <v>30</v>
      </c>
      <c r="E59" s="56">
        <v>30</v>
      </c>
      <c r="F59" s="56">
        <v>30</v>
      </c>
      <c r="G59" s="56">
        <v>30</v>
      </c>
      <c r="H59" s="56">
        <v>30</v>
      </c>
      <c r="I59" s="56">
        <v>30</v>
      </c>
      <c r="J59" s="56">
        <v>30</v>
      </c>
      <c r="K59" s="56">
        <v>30</v>
      </c>
      <c r="L59" s="56">
        <v>30</v>
      </c>
      <c r="M59" s="56">
        <v>30</v>
      </c>
      <c r="N59" s="56">
        <v>15</v>
      </c>
      <c r="O59" s="56">
        <v>15</v>
      </c>
      <c r="P59" s="56">
        <v>15</v>
      </c>
      <c r="Q59" s="56">
        <v>15</v>
      </c>
      <c r="R59" s="64">
        <v>30</v>
      </c>
      <c r="S59" s="64">
        <v>30</v>
      </c>
      <c r="T59" s="64">
        <v>30</v>
      </c>
      <c r="U59" s="64">
        <v>30</v>
      </c>
      <c r="V59" s="64">
        <v>30</v>
      </c>
      <c r="W59" s="64">
        <v>30</v>
      </c>
      <c r="X59" s="64">
        <v>30</v>
      </c>
      <c r="Y59" s="64">
        <v>30</v>
      </c>
      <c r="Z59" s="64">
        <v>30</v>
      </c>
      <c r="AA59" s="64">
        <v>30</v>
      </c>
      <c r="AB59" s="64">
        <v>30</v>
      </c>
      <c r="AC59" s="64">
        <v>30</v>
      </c>
      <c r="AD59" s="64">
        <v>30</v>
      </c>
      <c r="AE59" s="45"/>
      <c r="AF59" s="45"/>
      <c r="AG59" s="54">
        <v>30</v>
      </c>
      <c r="AH59" s="47">
        <f t="shared" si="2"/>
        <v>30</v>
      </c>
      <c r="AI59" s="48">
        <f t="shared" si="3"/>
        <v>15</v>
      </c>
      <c r="AK59" s="74"/>
    </row>
    <row r="60" spans="1:41" x14ac:dyDescent="0.25">
      <c r="A60" s="53" t="s">
        <v>76</v>
      </c>
      <c r="B60" s="45">
        <v>0</v>
      </c>
      <c r="C60" s="45">
        <v>0</v>
      </c>
      <c r="D60" s="45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7.6</v>
      </c>
      <c r="N60" s="64">
        <v>13.2</v>
      </c>
      <c r="O60" s="64">
        <v>13.2</v>
      </c>
      <c r="P60" s="64">
        <v>14</v>
      </c>
      <c r="Q60" s="64">
        <v>17.3</v>
      </c>
      <c r="R60" s="64">
        <v>11.4</v>
      </c>
      <c r="S60" s="64">
        <v>11.4</v>
      </c>
      <c r="T60" s="64">
        <v>11.4</v>
      </c>
      <c r="U60" s="64">
        <v>11.4</v>
      </c>
      <c r="V60" s="64">
        <v>11.4</v>
      </c>
      <c r="W60" s="64">
        <v>11.4</v>
      </c>
      <c r="X60" s="64">
        <v>11.4</v>
      </c>
      <c r="Y60" s="64">
        <v>11.4</v>
      </c>
      <c r="Z60" s="64">
        <v>11.4</v>
      </c>
      <c r="AA60" s="64">
        <v>11.4</v>
      </c>
      <c r="AB60" s="64">
        <v>11.4</v>
      </c>
      <c r="AC60" s="64">
        <v>11.4</v>
      </c>
      <c r="AD60" s="64">
        <v>11.4</v>
      </c>
      <c r="AE60" s="45"/>
      <c r="AF60" s="45"/>
      <c r="AG60" s="54">
        <v>25</v>
      </c>
      <c r="AH60" s="47">
        <f t="shared" si="2"/>
        <v>17.3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18</v>
      </c>
      <c r="C61" s="64">
        <v>18</v>
      </c>
      <c r="D61" s="64">
        <v>18</v>
      </c>
      <c r="E61" s="64">
        <v>0</v>
      </c>
      <c r="F61" s="64">
        <v>18</v>
      </c>
      <c r="G61" s="64">
        <v>18</v>
      </c>
      <c r="H61" s="64">
        <v>18</v>
      </c>
      <c r="I61" s="64">
        <v>18</v>
      </c>
      <c r="J61" s="64">
        <v>18</v>
      </c>
      <c r="K61" s="64">
        <v>18</v>
      </c>
      <c r="L61" s="64">
        <v>18</v>
      </c>
      <c r="M61" s="64">
        <v>18</v>
      </c>
      <c r="N61" s="64">
        <v>18</v>
      </c>
      <c r="O61" s="64">
        <v>18</v>
      </c>
      <c r="P61" s="64">
        <v>18</v>
      </c>
      <c r="Q61" s="64">
        <v>18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/>
      <c r="AF61" s="64"/>
      <c r="AG61" s="54">
        <v>24</v>
      </c>
      <c r="AH61" s="47">
        <f t="shared" si="2"/>
        <v>18</v>
      </c>
      <c r="AI61" s="48">
        <f t="shared" si="3"/>
        <v>0</v>
      </c>
      <c r="AK61" s="74"/>
    </row>
    <row r="62" spans="1:41" x14ac:dyDescent="0.25">
      <c r="A62" s="53" t="s">
        <v>78</v>
      </c>
      <c r="B62" s="64">
        <v>2.2000000000000002</v>
      </c>
      <c r="C62" s="64">
        <v>2.2000000000000002</v>
      </c>
      <c r="D62" s="64">
        <v>2.2000000000000002</v>
      </c>
      <c r="E62" s="64">
        <v>2.2000000000000002</v>
      </c>
      <c r="F62" s="64">
        <v>2.2000000000000002</v>
      </c>
      <c r="G62" s="64">
        <v>2.2000000000000002</v>
      </c>
      <c r="H62" s="64">
        <v>2.2000000000000002</v>
      </c>
      <c r="I62" s="64">
        <v>2.2000000000000002</v>
      </c>
      <c r="J62" s="64">
        <v>2.2000000000000002</v>
      </c>
      <c r="K62" s="64">
        <v>2.2000000000000002</v>
      </c>
      <c r="L62" s="64">
        <v>2.2000000000000002</v>
      </c>
      <c r="M62" s="64">
        <v>2.2000000000000002</v>
      </c>
      <c r="N62" s="64">
        <v>2.2000000000000002</v>
      </c>
      <c r="O62" s="64">
        <v>2.2000000000000002</v>
      </c>
      <c r="P62" s="64">
        <v>2.2000000000000002</v>
      </c>
      <c r="Q62" s="64">
        <v>2.2000000000000002</v>
      </c>
      <c r="R62" s="64">
        <v>2.2000000000000002</v>
      </c>
      <c r="S62" s="64">
        <v>2.2000000000000002</v>
      </c>
      <c r="T62" s="64">
        <v>2.2000000000000002</v>
      </c>
      <c r="U62" s="64">
        <v>2.2000000000000002</v>
      </c>
      <c r="V62" s="64">
        <v>2.2000000000000002</v>
      </c>
      <c r="W62" s="64">
        <v>2.2000000000000002</v>
      </c>
      <c r="X62" s="64">
        <v>2.2000000000000002</v>
      </c>
      <c r="Y62" s="64">
        <v>2.2000000000000002</v>
      </c>
      <c r="Z62" s="64">
        <v>2.2000000000000002</v>
      </c>
      <c r="AA62" s="64">
        <v>2.2000000000000002</v>
      </c>
      <c r="AB62" s="64">
        <v>2.2000000000000002</v>
      </c>
      <c r="AC62" s="64">
        <v>2.2000000000000002</v>
      </c>
      <c r="AD62" s="64">
        <v>2.2000000000000002</v>
      </c>
      <c r="AE62" s="64"/>
      <c r="AF62" s="64"/>
      <c r="AG62" s="54">
        <v>15</v>
      </c>
      <c r="AH62" s="47">
        <f t="shared" si="2"/>
        <v>2.2000000000000002</v>
      </c>
      <c r="AI62" s="48">
        <f t="shared" si="3"/>
        <v>2.2000000000000002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13.7</v>
      </c>
      <c r="C63" s="64">
        <v>13.7</v>
      </c>
      <c r="D63" s="64">
        <v>13.7</v>
      </c>
      <c r="E63" s="64">
        <v>0</v>
      </c>
      <c r="F63" s="64">
        <v>13.7</v>
      </c>
      <c r="G63" s="64">
        <v>13.7</v>
      </c>
      <c r="H63" s="64">
        <v>13.7</v>
      </c>
      <c r="I63" s="64">
        <v>13.7</v>
      </c>
      <c r="J63" s="64">
        <v>13.7</v>
      </c>
      <c r="K63" s="64">
        <v>13.7</v>
      </c>
      <c r="L63" s="64">
        <v>13.7</v>
      </c>
      <c r="M63" s="64">
        <v>12.5</v>
      </c>
      <c r="N63" s="64">
        <v>12.5</v>
      </c>
      <c r="O63" s="64">
        <v>12.5</v>
      </c>
      <c r="P63" s="64">
        <v>12.5</v>
      </c>
      <c r="Q63" s="64">
        <v>12.5</v>
      </c>
      <c r="R63" s="64">
        <v>12.5</v>
      </c>
      <c r="S63" s="64">
        <v>12.5</v>
      </c>
      <c r="T63" s="64">
        <v>12.5</v>
      </c>
      <c r="U63" s="64">
        <v>12.5</v>
      </c>
      <c r="V63" s="64">
        <v>12.5</v>
      </c>
      <c r="W63" s="64">
        <v>12.5</v>
      </c>
      <c r="X63" s="64">
        <v>12.5</v>
      </c>
      <c r="Y63" s="64">
        <v>12.5</v>
      </c>
      <c r="Z63" s="64">
        <v>12.5</v>
      </c>
      <c r="AA63" s="64">
        <v>12.5</v>
      </c>
      <c r="AB63" s="64">
        <v>12.5</v>
      </c>
      <c r="AC63" s="64">
        <v>12.5</v>
      </c>
      <c r="AD63" s="64">
        <v>12.5</v>
      </c>
      <c r="AE63" s="64"/>
      <c r="AF63" s="64"/>
      <c r="AG63" s="54">
        <v>14.1</v>
      </c>
      <c r="AH63" s="47">
        <f t="shared" si="2"/>
        <v>13.7</v>
      </c>
      <c r="AI63" s="48">
        <f t="shared" si="3"/>
        <v>0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7.3</v>
      </c>
      <c r="C64" s="64">
        <v>7.3</v>
      </c>
      <c r="D64" s="64">
        <v>7.3</v>
      </c>
      <c r="E64" s="64">
        <v>0</v>
      </c>
      <c r="F64" s="64">
        <v>7.3</v>
      </c>
      <c r="G64" s="64">
        <v>7.3</v>
      </c>
      <c r="H64" s="64">
        <v>7.3</v>
      </c>
      <c r="I64" s="64">
        <v>7.3</v>
      </c>
      <c r="J64" s="64">
        <v>7.3</v>
      </c>
      <c r="K64" s="64">
        <v>7.3</v>
      </c>
      <c r="L64" s="64">
        <v>7.3</v>
      </c>
      <c r="M64" s="64">
        <v>14.3</v>
      </c>
      <c r="N64" s="64">
        <v>14.3</v>
      </c>
      <c r="O64" s="64">
        <v>14.3</v>
      </c>
      <c r="P64" s="64">
        <v>14.3</v>
      </c>
      <c r="Q64" s="64">
        <v>14.3</v>
      </c>
      <c r="R64" s="64">
        <v>14.3</v>
      </c>
      <c r="S64" s="64">
        <v>14.3</v>
      </c>
      <c r="T64" s="64">
        <v>14.3</v>
      </c>
      <c r="U64" s="64">
        <v>14.3</v>
      </c>
      <c r="V64" s="64">
        <v>14.3</v>
      </c>
      <c r="W64" s="64">
        <v>14.3</v>
      </c>
      <c r="X64" s="64">
        <v>14.3</v>
      </c>
      <c r="Y64" s="64">
        <v>14.3</v>
      </c>
      <c r="Z64" s="64">
        <v>14.3</v>
      </c>
      <c r="AA64" s="64">
        <v>14.3</v>
      </c>
      <c r="AB64" s="64">
        <v>14.3</v>
      </c>
      <c r="AC64" s="64">
        <v>14.3</v>
      </c>
      <c r="AD64" s="64">
        <v>14.3</v>
      </c>
      <c r="AE64" s="64"/>
      <c r="AF64" s="64"/>
      <c r="AG64" s="54">
        <v>14</v>
      </c>
      <c r="AH64" s="47">
        <f t="shared" si="2"/>
        <v>14.3</v>
      </c>
      <c r="AI64" s="48">
        <f t="shared" si="3"/>
        <v>0</v>
      </c>
      <c r="AK64" s="74"/>
    </row>
    <row r="65" spans="1:40" x14ac:dyDescent="0.25">
      <c r="A65" s="53" t="s">
        <v>81</v>
      </c>
      <c r="B65" s="64">
        <v>7.5</v>
      </c>
      <c r="C65" s="64">
        <v>7.5</v>
      </c>
      <c r="D65" s="64">
        <v>7.5</v>
      </c>
      <c r="E65" s="64">
        <v>0</v>
      </c>
      <c r="F65" s="64">
        <v>7.5</v>
      </c>
      <c r="G65" s="64">
        <v>7.5</v>
      </c>
      <c r="H65" s="64">
        <v>7.5</v>
      </c>
      <c r="I65" s="64">
        <v>7.5</v>
      </c>
      <c r="J65" s="64">
        <v>7.5</v>
      </c>
      <c r="K65" s="64">
        <v>7.5</v>
      </c>
      <c r="L65" s="64">
        <v>7.5</v>
      </c>
      <c r="M65" s="64">
        <v>9</v>
      </c>
      <c r="N65" s="64">
        <v>9</v>
      </c>
      <c r="O65" s="64">
        <v>9</v>
      </c>
      <c r="P65" s="64">
        <v>9</v>
      </c>
      <c r="Q65" s="64">
        <v>9</v>
      </c>
      <c r="R65" s="64">
        <v>9</v>
      </c>
      <c r="S65" s="64">
        <v>9</v>
      </c>
      <c r="T65" s="64">
        <v>9</v>
      </c>
      <c r="U65" s="64">
        <v>9</v>
      </c>
      <c r="V65" s="64">
        <v>9</v>
      </c>
      <c r="W65" s="64">
        <v>9</v>
      </c>
      <c r="X65" s="64">
        <v>9</v>
      </c>
      <c r="Y65" s="64">
        <v>9</v>
      </c>
      <c r="Z65" s="64">
        <v>9</v>
      </c>
      <c r="AA65" s="64">
        <v>9</v>
      </c>
      <c r="AB65" s="64">
        <v>9</v>
      </c>
      <c r="AC65" s="64">
        <v>9</v>
      </c>
      <c r="AD65" s="64">
        <v>9</v>
      </c>
      <c r="AE65" s="64"/>
      <c r="AF65" s="64"/>
      <c r="AG65" s="54">
        <v>10.050000000000001</v>
      </c>
      <c r="AH65" s="47">
        <f t="shared" si="2"/>
        <v>9</v>
      </c>
      <c r="AI65" s="48">
        <f t="shared" si="3"/>
        <v>0</v>
      </c>
      <c r="AK65" s="74"/>
    </row>
    <row r="66" spans="1:40" x14ac:dyDescent="0.25">
      <c r="A66" s="53" t="s">
        <v>82</v>
      </c>
      <c r="B66" s="64">
        <v>2.2000000000000002</v>
      </c>
      <c r="C66" s="64">
        <v>2.2000000000000002</v>
      </c>
      <c r="D66" s="64">
        <v>2.2000000000000002</v>
      </c>
      <c r="E66" s="64">
        <v>2.2000000000000002</v>
      </c>
      <c r="F66" s="64">
        <v>2.2000000000000002</v>
      </c>
      <c r="G66" s="64">
        <v>2.2000000000000002</v>
      </c>
      <c r="H66" s="64">
        <v>2.2000000000000002</v>
      </c>
      <c r="I66" s="64">
        <v>2.2000000000000002</v>
      </c>
      <c r="J66" s="64">
        <v>2.2000000000000002</v>
      </c>
      <c r="K66" s="64">
        <v>2.2000000000000002</v>
      </c>
      <c r="L66" s="64">
        <v>2.2000000000000002</v>
      </c>
      <c r="M66" s="64">
        <v>3</v>
      </c>
      <c r="N66" s="64">
        <v>3</v>
      </c>
      <c r="O66" s="64">
        <v>3</v>
      </c>
      <c r="P66" s="64">
        <v>3</v>
      </c>
      <c r="Q66" s="64">
        <v>3</v>
      </c>
      <c r="R66" s="64">
        <v>3</v>
      </c>
      <c r="S66" s="64">
        <v>3</v>
      </c>
      <c r="T66" s="64">
        <v>3</v>
      </c>
      <c r="U66" s="64">
        <v>3</v>
      </c>
      <c r="V66" s="64">
        <v>3</v>
      </c>
      <c r="W66" s="64">
        <v>3</v>
      </c>
      <c r="X66" s="64">
        <v>3</v>
      </c>
      <c r="Y66" s="64">
        <v>3</v>
      </c>
      <c r="Z66" s="64">
        <v>3</v>
      </c>
      <c r="AA66" s="64">
        <v>3</v>
      </c>
      <c r="AB66" s="64">
        <v>3</v>
      </c>
      <c r="AC66" s="64">
        <v>3</v>
      </c>
      <c r="AD66" s="64">
        <v>3</v>
      </c>
      <c r="AE66" s="64"/>
      <c r="AF66" s="64"/>
      <c r="AG66" s="54">
        <v>6.2</v>
      </c>
      <c r="AH66" s="47">
        <f t="shared" si="2"/>
        <v>3</v>
      </c>
      <c r="AI66" s="48">
        <f t="shared" si="3"/>
        <v>2.2000000000000002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AG68" si="9">SUM(B55:B67)</f>
        <v>417.94</v>
      </c>
      <c r="C68" s="59">
        <f t="shared" si="9"/>
        <v>390.54</v>
      </c>
      <c r="D68" s="59">
        <f t="shared" si="9"/>
        <v>320.74</v>
      </c>
      <c r="E68" s="59">
        <f t="shared" si="9"/>
        <v>37.940000000000005</v>
      </c>
      <c r="F68" s="59">
        <f t="shared" si="9"/>
        <v>394.24</v>
      </c>
      <c r="G68" s="59">
        <f t="shared" si="9"/>
        <v>408.14</v>
      </c>
      <c r="H68" s="59">
        <f t="shared" si="9"/>
        <v>426.03999999999996</v>
      </c>
      <c r="I68" s="59">
        <f t="shared" si="9"/>
        <v>424.53999999999996</v>
      </c>
      <c r="J68" s="59">
        <f t="shared" si="9"/>
        <v>426.63999999999993</v>
      </c>
      <c r="K68" s="59">
        <f t="shared" si="9"/>
        <v>426.63999999999993</v>
      </c>
      <c r="L68" s="59">
        <f t="shared" si="9"/>
        <v>426.63999999999993</v>
      </c>
      <c r="M68" s="59">
        <f t="shared" si="9"/>
        <v>420.14000000000004</v>
      </c>
      <c r="N68" s="59">
        <f t="shared" si="9"/>
        <v>393.44</v>
      </c>
      <c r="O68" s="59">
        <f t="shared" si="9"/>
        <v>432.84000000000003</v>
      </c>
      <c r="P68" s="59">
        <f t="shared" si="9"/>
        <v>433.64000000000004</v>
      </c>
      <c r="Q68" s="59">
        <f t="shared" si="9"/>
        <v>436.94000000000005</v>
      </c>
      <c r="R68" s="59">
        <f t="shared" si="9"/>
        <v>443.64</v>
      </c>
      <c r="S68" s="59">
        <f t="shared" si="9"/>
        <v>443.64</v>
      </c>
      <c r="T68" s="59">
        <f t="shared" si="9"/>
        <v>384.84</v>
      </c>
      <c r="U68" s="59">
        <f t="shared" si="9"/>
        <v>379.34</v>
      </c>
      <c r="V68" s="59">
        <f t="shared" si="9"/>
        <v>374.24</v>
      </c>
      <c r="W68" s="59">
        <f t="shared" si="9"/>
        <v>374.24</v>
      </c>
      <c r="X68" s="59">
        <f t="shared" si="9"/>
        <v>401.14</v>
      </c>
      <c r="Y68" s="59">
        <f t="shared" si="9"/>
        <v>421.24</v>
      </c>
      <c r="Z68" s="59">
        <f t="shared" si="9"/>
        <v>421.24</v>
      </c>
      <c r="AA68" s="59">
        <f t="shared" si="9"/>
        <v>421.24</v>
      </c>
      <c r="AB68" s="59">
        <f t="shared" si="9"/>
        <v>444.84</v>
      </c>
      <c r="AC68" s="59">
        <f t="shared" si="9"/>
        <v>444.84</v>
      </c>
      <c r="AD68" s="59">
        <f t="shared" si="9"/>
        <v>444.84</v>
      </c>
      <c r="AE68" s="59">
        <f t="shared" si="9"/>
        <v>3.54</v>
      </c>
      <c r="AF68" s="59">
        <f t="shared" si="9"/>
        <v>3.54</v>
      </c>
      <c r="AG68" s="60">
        <f t="shared" si="9"/>
        <v>489.91</v>
      </c>
      <c r="AH68" s="47">
        <f t="shared" si="2"/>
        <v>444.84</v>
      </c>
      <c r="AI68" s="48">
        <f t="shared" si="3"/>
        <v>3.54</v>
      </c>
      <c r="AK68" s="74"/>
    </row>
    <row r="69" spans="1:40" x14ac:dyDescent="0.25">
      <c r="A69" s="44" t="s">
        <v>85</v>
      </c>
      <c r="B69" s="45">
        <v>13.6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14</v>
      </c>
      <c r="L69" s="45">
        <v>14</v>
      </c>
      <c r="M69" s="45">
        <v>0</v>
      </c>
      <c r="N69" s="45">
        <v>0</v>
      </c>
      <c r="O69" s="45">
        <v>0</v>
      </c>
      <c r="P69" s="45">
        <v>0</v>
      </c>
      <c r="Q69" s="45">
        <v>25.3</v>
      </c>
      <c r="R69" s="45">
        <v>14.2</v>
      </c>
      <c r="S69" s="45">
        <v>14.2</v>
      </c>
      <c r="T69" s="45">
        <v>40.799999999999997</v>
      </c>
      <c r="U69" s="45">
        <v>14.4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56.5</v>
      </c>
      <c r="AC69" s="45">
        <v>56.5</v>
      </c>
      <c r="AD69" s="45">
        <v>45</v>
      </c>
      <c r="AE69" s="45"/>
      <c r="AF69" s="45"/>
      <c r="AG69" s="51">
        <v>60</v>
      </c>
      <c r="AH69" s="47">
        <f t="shared" si="2"/>
        <v>56.5</v>
      </c>
      <c r="AI69" s="48">
        <f t="shared" si="3"/>
        <v>0</v>
      </c>
      <c r="AK69" s="74"/>
    </row>
    <row r="70" spans="1:40" x14ac:dyDescent="0.25">
      <c r="A70" s="53" t="s">
        <v>86</v>
      </c>
      <c r="B70" s="45">
        <v>5.9</v>
      </c>
      <c r="C70" s="45">
        <v>5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7</v>
      </c>
      <c r="L70" s="64">
        <v>7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14.8</v>
      </c>
      <c r="S70" s="64">
        <v>5.8</v>
      </c>
      <c r="T70" s="64">
        <v>15.7</v>
      </c>
      <c r="U70" s="64">
        <v>5.5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26.8</v>
      </c>
      <c r="AC70" s="64">
        <v>26.8</v>
      </c>
      <c r="AD70" s="64">
        <v>20</v>
      </c>
      <c r="AE70" s="64"/>
      <c r="AF70" s="64"/>
      <c r="AG70" s="54">
        <v>32</v>
      </c>
      <c r="AH70" s="47">
        <f t="shared" si="2"/>
        <v>26.8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>
        <v>2.1</v>
      </c>
      <c r="C71" s="45">
        <v>1.8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3.7</v>
      </c>
      <c r="L71" s="66">
        <v>3.7</v>
      </c>
      <c r="M71" s="66">
        <v>0</v>
      </c>
      <c r="N71" s="66">
        <v>0</v>
      </c>
      <c r="O71" s="66">
        <v>0</v>
      </c>
      <c r="P71" s="66">
        <v>0</v>
      </c>
      <c r="Q71" s="66">
        <v>5.0999999999999996</v>
      </c>
      <c r="R71" s="66">
        <v>5.4</v>
      </c>
      <c r="S71" s="66">
        <v>5.4</v>
      </c>
      <c r="T71" s="66">
        <v>5.7</v>
      </c>
      <c r="U71" s="66">
        <v>2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9.8000000000000007</v>
      </c>
      <c r="AC71" s="66">
        <v>9.8000000000000007</v>
      </c>
      <c r="AD71" s="66">
        <v>7.3</v>
      </c>
      <c r="AE71" s="66"/>
      <c r="AF71" s="66"/>
      <c r="AG71" s="67">
        <v>14</v>
      </c>
      <c r="AH71" s="47">
        <f t="shared" si="2"/>
        <v>9.8000000000000007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>B69+B70+B71</f>
        <v>21.6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24.7</v>
      </c>
      <c r="M72" s="59">
        <f t="shared" ref="M72:AF72" si="10">M69+M70+M71</f>
        <v>0</v>
      </c>
      <c r="N72" s="59">
        <f t="shared" si="10"/>
        <v>0</v>
      </c>
      <c r="O72" s="59">
        <f t="shared" si="10"/>
        <v>0</v>
      </c>
      <c r="P72" s="59">
        <f t="shared" si="10"/>
        <v>0</v>
      </c>
      <c r="Q72" s="59">
        <f t="shared" si="10"/>
        <v>30.4</v>
      </c>
      <c r="R72" s="59">
        <f t="shared" si="10"/>
        <v>34.4</v>
      </c>
      <c r="S72" s="59">
        <f t="shared" si="10"/>
        <v>25.4</v>
      </c>
      <c r="T72" s="59">
        <f t="shared" si="10"/>
        <v>62.2</v>
      </c>
      <c r="U72" s="59">
        <f t="shared" si="10"/>
        <v>21.9</v>
      </c>
      <c r="V72" s="59">
        <f t="shared" si="10"/>
        <v>0</v>
      </c>
      <c r="W72" s="59">
        <f t="shared" si="10"/>
        <v>0</v>
      </c>
      <c r="X72" s="59">
        <f t="shared" si="10"/>
        <v>0</v>
      </c>
      <c r="Y72" s="59">
        <f t="shared" si="10"/>
        <v>0</v>
      </c>
      <c r="Z72" s="59">
        <f t="shared" si="10"/>
        <v>0</v>
      </c>
      <c r="AA72" s="59">
        <f t="shared" si="10"/>
        <v>0</v>
      </c>
      <c r="AB72" s="59">
        <f t="shared" si="10"/>
        <v>93.1</v>
      </c>
      <c r="AC72" s="59">
        <f t="shared" si="10"/>
        <v>93.1</v>
      </c>
      <c r="AD72" s="59">
        <f t="shared" si="10"/>
        <v>72.3</v>
      </c>
      <c r="AE72" s="59">
        <f t="shared" si="10"/>
        <v>0</v>
      </c>
      <c r="AF72" s="59">
        <f t="shared" si="10"/>
        <v>0</v>
      </c>
      <c r="AG72" s="60">
        <f>SUM(AG69:AG71)</f>
        <v>106</v>
      </c>
      <c r="AH72" s="47">
        <f t="shared" si="2"/>
        <v>93.1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38.1</v>
      </c>
      <c r="C73" s="45">
        <v>78</v>
      </c>
      <c r="D73" s="45">
        <v>52.8</v>
      </c>
      <c r="E73" s="45">
        <v>47</v>
      </c>
      <c r="F73" s="45">
        <v>45</v>
      </c>
      <c r="G73" s="45">
        <v>45</v>
      </c>
      <c r="H73" s="45">
        <v>62</v>
      </c>
      <c r="I73" s="45">
        <v>54.7</v>
      </c>
      <c r="J73" s="45">
        <v>53</v>
      </c>
      <c r="K73" s="45">
        <v>57</v>
      </c>
      <c r="L73" s="45">
        <v>56.1</v>
      </c>
      <c r="M73" s="45">
        <v>48.7</v>
      </c>
      <c r="N73" s="45">
        <v>20.8</v>
      </c>
      <c r="O73" s="45">
        <v>32.6</v>
      </c>
      <c r="P73" s="45">
        <v>60.9</v>
      </c>
      <c r="Q73" s="45">
        <v>67.400000000000006</v>
      </c>
      <c r="R73" s="45">
        <v>66.2</v>
      </c>
      <c r="S73" s="45">
        <v>58.3</v>
      </c>
      <c r="T73" s="45">
        <v>68.099999999999994</v>
      </c>
      <c r="U73" s="45">
        <v>68.099999999999994</v>
      </c>
      <c r="V73" s="45">
        <v>65.099999999999994</v>
      </c>
      <c r="W73" s="45">
        <v>65.099999999999994</v>
      </c>
      <c r="X73" s="45">
        <v>65.099999999999994</v>
      </c>
      <c r="Y73" s="45">
        <v>55.7</v>
      </c>
      <c r="Z73" s="45">
        <v>62.1</v>
      </c>
      <c r="AA73" s="45">
        <v>62.1</v>
      </c>
      <c r="AB73" s="45">
        <v>56.8</v>
      </c>
      <c r="AC73" s="45">
        <v>56.8</v>
      </c>
      <c r="AD73" s="45">
        <v>62.2</v>
      </c>
      <c r="AE73" s="45"/>
      <c r="AF73" s="45"/>
      <c r="AG73" s="51"/>
      <c r="AH73" s="47">
        <f t="shared" si="2"/>
        <v>78</v>
      </c>
      <c r="AI73" s="48">
        <f t="shared" si="3"/>
        <v>20.8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/>
      <c r="AF74" s="64"/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-284.2</v>
      </c>
      <c r="C75" s="64">
        <v>-291</v>
      </c>
      <c r="D75" s="64">
        <v>-351.7</v>
      </c>
      <c r="E75" s="64">
        <v>-380</v>
      </c>
      <c r="F75" s="64">
        <v>-351</v>
      </c>
      <c r="G75" s="64">
        <v>-355</v>
      </c>
      <c r="H75" s="64">
        <v>-372.6</v>
      </c>
      <c r="I75" s="64">
        <v>-373</v>
      </c>
      <c r="J75" s="64">
        <v>-359</v>
      </c>
      <c r="K75" s="64">
        <v>-329</v>
      </c>
      <c r="L75" s="64">
        <v>-340</v>
      </c>
      <c r="M75" s="64">
        <v>-280</v>
      </c>
      <c r="N75" s="64">
        <v>-216.3</v>
      </c>
      <c r="O75" s="64">
        <v>-174.9</v>
      </c>
      <c r="P75" s="64">
        <v>-216.8</v>
      </c>
      <c r="Q75" s="64">
        <v>-211.9</v>
      </c>
      <c r="R75" s="64">
        <v>-168</v>
      </c>
      <c r="S75" s="64">
        <v>-195</v>
      </c>
      <c r="T75" s="64">
        <v>-214.8</v>
      </c>
      <c r="U75" s="64">
        <v>-180</v>
      </c>
      <c r="V75" s="64">
        <v>-250</v>
      </c>
      <c r="W75" s="64">
        <v>-210</v>
      </c>
      <c r="X75" s="64">
        <v>-250</v>
      </c>
      <c r="Y75" s="64">
        <v>-237</v>
      </c>
      <c r="Z75" s="64">
        <v>-237</v>
      </c>
      <c r="AA75" s="64">
        <v>-237</v>
      </c>
      <c r="AB75" s="64">
        <v>-235</v>
      </c>
      <c r="AC75" s="64">
        <v>-235</v>
      </c>
      <c r="AD75" s="64">
        <v>-292</v>
      </c>
      <c r="AE75" s="64"/>
      <c r="AF75" s="64"/>
      <c r="AG75" s="75"/>
      <c r="AH75" s="47">
        <f t="shared" si="2"/>
        <v>-168</v>
      </c>
      <c r="AI75" s="48">
        <f t="shared" si="3"/>
        <v>-380</v>
      </c>
      <c r="AK75" s="74"/>
    </row>
    <row r="76" spans="1:40" x14ac:dyDescent="0.25">
      <c r="A76" s="53" t="s">
        <v>92</v>
      </c>
      <c r="B76" s="64">
        <v>55</v>
      </c>
      <c r="C76" s="64">
        <v>35.5</v>
      </c>
      <c r="D76" s="64">
        <v>23.8</v>
      </c>
      <c r="E76" s="76">
        <v>24</v>
      </c>
      <c r="F76" s="76">
        <v>14.6</v>
      </c>
      <c r="G76" s="76">
        <v>14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/>
      <c r="AF76" s="76"/>
      <c r="AG76" s="75"/>
      <c r="AH76" s="47">
        <f t="shared" si="2"/>
        <v>55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64">
        <v>0</v>
      </c>
      <c r="E77" s="64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30.2</v>
      </c>
      <c r="Q77" s="45">
        <v>36.6</v>
      </c>
      <c r="R77" s="45">
        <v>36.9</v>
      </c>
      <c r="S77" s="45">
        <v>36.9</v>
      </c>
      <c r="T77" s="45">
        <v>41.8</v>
      </c>
      <c r="U77" s="45">
        <v>41.8</v>
      </c>
      <c r="V77" s="45">
        <v>10</v>
      </c>
      <c r="W77" s="45">
        <v>10</v>
      </c>
      <c r="X77" s="45">
        <v>10</v>
      </c>
      <c r="Y77" s="45">
        <v>10</v>
      </c>
      <c r="Z77" s="45">
        <v>10</v>
      </c>
      <c r="AA77" s="45">
        <v>10</v>
      </c>
      <c r="AB77" s="45">
        <v>25.7</v>
      </c>
      <c r="AC77" s="45">
        <v>25.7</v>
      </c>
      <c r="AD77" s="45">
        <v>27.4</v>
      </c>
      <c r="AE77" s="45"/>
      <c r="AF77" s="45"/>
      <c r="AG77" s="75"/>
      <c r="AH77" s="47">
        <f t="shared" ref="AH77:AH120" si="11">MAX(B77:AF77)</f>
        <v>41.8</v>
      </c>
      <c r="AI77" s="48">
        <f t="shared" ref="AI77:AI120" si="12">MIN(B77:AF77)</f>
        <v>0</v>
      </c>
      <c r="AK77" s="74"/>
    </row>
    <row r="78" spans="1:40" x14ac:dyDescent="0.25">
      <c r="A78" s="53" t="s">
        <v>94</v>
      </c>
      <c r="B78" s="45">
        <v>5</v>
      </c>
      <c r="C78" s="77">
        <v>5</v>
      </c>
      <c r="D78" s="64">
        <v>5</v>
      </c>
      <c r="E78" s="64">
        <v>5</v>
      </c>
      <c r="F78" s="77">
        <v>5</v>
      </c>
      <c r="G78" s="77">
        <v>5</v>
      </c>
      <c r="H78" s="77">
        <v>5</v>
      </c>
      <c r="I78" s="77">
        <v>5</v>
      </c>
      <c r="J78" s="77">
        <v>5</v>
      </c>
      <c r="K78" s="77">
        <v>5</v>
      </c>
      <c r="L78" s="77">
        <v>5</v>
      </c>
      <c r="M78" s="77">
        <v>5</v>
      </c>
      <c r="N78" s="77">
        <v>5</v>
      </c>
      <c r="O78" s="77">
        <v>5</v>
      </c>
      <c r="P78" s="77">
        <v>5</v>
      </c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5</v>
      </c>
      <c r="AA78" s="77">
        <v>5</v>
      </c>
      <c r="AB78" s="77">
        <v>5</v>
      </c>
      <c r="AC78" s="77">
        <v>5</v>
      </c>
      <c r="AD78" s="77">
        <v>5</v>
      </c>
      <c r="AE78" s="77"/>
      <c r="AF78" s="77"/>
      <c r="AG78" s="75"/>
      <c r="AH78" s="47">
        <f t="shared" si="11"/>
        <v>5</v>
      </c>
      <c r="AI78" s="48">
        <f t="shared" si="12"/>
        <v>5</v>
      </c>
      <c r="AK78" s="74"/>
    </row>
    <row r="79" spans="1:40" ht="15.75" thickBot="1" x14ac:dyDescent="0.3">
      <c r="A79" s="53" t="s">
        <v>95</v>
      </c>
      <c r="B79" s="45">
        <v>0</v>
      </c>
      <c r="C79" s="77">
        <v>0</v>
      </c>
      <c r="D79" s="64">
        <v>0</v>
      </c>
      <c r="E79" s="64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/>
      <c r="AF79" s="77"/>
      <c r="AG79" s="75"/>
      <c r="AH79" s="47">
        <f t="shared" si="11"/>
        <v>0</v>
      </c>
      <c r="AI79" s="48">
        <f t="shared" si="12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>
        <v>0</v>
      </c>
      <c r="C80" s="77">
        <v>0</v>
      </c>
      <c r="D80" s="64">
        <v>0</v>
      </c>
      <c r="E80" s="64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/>
      <c r="AF80" s="77"/>
      <c r="AG80" s="75"/>
      <c r="AH80" s="47">
        <f t="shared" si="11"/>
        <v>0</v>
      </c>
      <c r="AI80" s="48">
        <f t="shared" si="12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>
        <v>0</v>
      </c>
      <c r="C81" s="77">
        <v>0</v>
      </c>
      <c r="D81" s="64">
        <v>0</v>
      </c>
      <c r="E81" s="64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/>
      <c r="AF81" s="77"/>
      <c r="AG81" s="75"/>
      <c r="AH81" s="47">
        <f t="shared" si="11"/>
        <v>0</v>
      </c>
      <c r="AI81" s="48">
        <f t="shared" si="12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>
        <v>0</v>
      </c>
      <c r="C82" s="77">
        <v>0</v>
      </c>
      <c r="D82" s="64">
        <v>0</v>
      </c>
      <c r="E82" s="64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/>
      <c r="AF82" s="77"/>
      <c r="AG82" s="85"/>
      <c r="AH82" s="47">
        <f t="shared" si="11"/>
        <v>0</v>
      </c>
      <c r="AI82" s="48">
        <f t="shared" si="12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>
        <v>0</v>
      </c>
      <c r="C83" s="77">
        <v>0</v>
      </c>
      <c r="D83" s="64">
        <v>0</v>
      </c>
      <c r="E83" s="64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/>
      <c r="AF83" s="77"/>
      <c r="AG83" s="85"/>
      <c r="AH83" s="47">
        <f t="shared" si="11"/>
        <v>0</v>
      </c>
      <c r="AI83" s="48">
        <f t="shared" si="12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3">SUMIF(B73:B83,"&gt;0")</f>
        <v>98.1</v>
      </c>
      <c r="C84" s="59">
        <f t="shared" si="13"/>
        <v>118.5</v>
      </c>
      <c r="D84" s="59">
        <f t="shared" si="13"/>
        <v>81.599999999999994</v>
      </c>
      <c r="E84" s="59">
        <f t="shared" si="13"/>
        <v>76</v>
      </c>
      <c r="F84" s="59">
        <f t="shared" si="13"/>
        <v>64.599999999999994</v>
      </c>
      <c r="G84" s="59">
        <f t="shared" si="13"/>
        <v>64</v>
      </c>
      <c r="H84" s="59">
        <f t="shared" si="13"/>
        <v>67</v>
      </c>
      <c r="I84" s="59">
        <f t="shared" si="13"/>
        <v>59.7</v>
      </c>
      <c r="J84" s="59">
        <f t="shared" si="13"/>
        <v>58</v>
      </c>
      <c r="K84" s="59">
        <f t="shared" si="13"/>
        <v>62</v>
      </c>
      <c r="L84" s="59">
        <f t="shared" si="13"/>
        <v>61.1</v>
      </c>
      <c r="M84" s="59">
        <f t="shared" si="13"/>
        <v>53.7</v>
      </c>
      <c r="N84" s="59">
        <f t="shared" si="13"/>
        <v>25.8</v>
      </c>
      <c r="O84" s="59">
        <f t="shared" si="13"/>
        <v>37.6</v>
      </c>
      <c r="P84" s="59">
        <f t="shared" si="13"/>
        <v>96.1</v>
      </c>
      <c r="Q84" s="59">
        <f t="shared" si="13"/>
        <v>109</v>
      </c>
      <c r="R84" s="59">
        <f t="shared" si="13"/>
        <v>108.1</v>
      </c>
      <c r="S84" s="59">
        <f t="shared" si="13"/>
        <v>100.19999999999999</v>
      </c>
      <c r="T84" s="59">
        <f t="shared" si="13"/>
        <v>114.89999999999999</v>
      </c>
      <c r="U84" s="59">
        <f t="shared" si="13"/>
        <v>114.89999999999999</v>
      </c>
      <c r="V84" s="59">
        <f t="shared" si="13"/>
        <v>80.099999999999994</v>
      </c>
      <c r="W84" s="59">
        <f t="shared" si="13"/>
        <v>80.099999999999994</v>
      </c>
      <c r="X84" s="59">
        <f t="shared" si="13"/>
        <v>80.099999999999994</v>
      </c>
      <c r="Y84" s="59">
        <f t="shared" si="13"/>
        <v>70.7</v>
      </c>
      <c r="Z84" s="59">
        <f t="shared" si="13"/>
        <v>77.099999999999994</v>
      </c>
      <c r="AA84" s="59">
        <f t="shared" si="13"/>
        <v>77.099999999999994</v>
      </c>
      <c r="AB84" s="59">
        <f t="shared" si="13"/>
        <v>87.5</v>
      </c>
      <c r="AC84" s="59">
        <f t="shared" si="13"/>
        <v>87.5</v>
      </c>
      <c r="AD84" s="59">
        <f t="shared" si="13"/>
        <v>94.6</v>
      </c>
      <c r="AE84" s="59">
        <f t="shared" si="13"/>
        <v>0</v>
      </c>
      <c r="AF84" s="59">
        <f t="shared" si="13"/>
        <v>0</v>
      </c>
      <c r="AG84" s="88">
        <f>SUM(AG73:AG83)</f>
        <v>0</v>
      </c>
      <c r="AH84" s="47">
        <f t="shared" si="11"/>
        <v>118.5</v>
      </c>
      <c r="AI84" s="48">
        <f t="shared" si="12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1"/>
        <v>0</v>
      </c>
      <c r="AI85" s="48">
        <f t="shared" si="12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1"/>
        <v>0</v>
      </c>
      <c r="AI86" s="48">
        <f t="shared" si="12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1"/>
        <v>0</v>
      </c>
      <c r="AI87" s="48">
        <f t="shared" si="12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11"/>
        <v>0</v>
      </c>
      <c r="AI88" s="48">
        <f t="shared" si="12"/>
        <v>0</v>
      </c>
    </row>
    <row r="89" spans="1:40" ht="15.75" thickBot="1" x14ac:dyDescent="0.3">
      <c r="A89" s="73" t="s">
        <v>108</v>
      </c>
      <c r="B89" s="95">
        <f t="shared" ref="B89:AG89" si="14">B50+B54+B72+B68+B84+B88</f>
        <v>1934.44</v>
      </c>
      <c r="C89" s="95">
        <f t="shared" si="14"/>
        <v>1893.8400000000001</v>
      </c>
      <c r="D89" s="95">
        <f t="shared" si="14"/>
        <v>1787.04</v>
      </c>
      <c r="E89" s="95">
        <f t="shared" si="14"/>
        <v>793.44</v>
      </c>
      <c r="F89" s="95">
        <f t="shared" si="14"/>
        <v>1811.0400000000002</v>
      </c>
      <c r="G89" s="95">
        <f t="shared" si="14"/>
        <v>1839.3400000000001</v>
      </c>
      <c r="H89" s="95">
        <f t="shared" si="14"/>
        <v>1856.24</v>
      </c>
      <c r="I89" s="95">
        <f t="shared" si="14"/>
        <v>1883.64</v>
      </c>
      <c r="J89" s="95">
        <f t="shared" si="14"/>
        <v>1884.04</v>
      </c>
      <c r="K89" s="95">
        <f t="shared" si="14"/>
        <v>1953.54</v>
      </c>
      <c r="L89" s="95">
        <f t="shared" si="14"/>
        <v>1977.34</v>
      </c>
      <c r="M89" s="95">
        <f t="shared" si="14"/>
        <v>1929.54</v>
      </c>
      <c r="N89" s="95">
        <f t="shared" si="14"/>
        <v>1854.54</v>
      </c>
      <c r="O89" s="95">
        <f t="shared" si="14"/>
        <v>1905.7399999999998</v>
      </c>
      <c r="P89" s="95">
        <f t="shared" si="14"/>
        <v>1965.04</v>
      </c>
      <c r="Q89" s="95">
        <f t="shared" si="14"/>
        <v>2011.64</v>
      </c>
      <c r="R89" s="95">
        <f t="shared" si="14"/>
        <v>2047.7399999999998</v>
      </c>
      <c r="S89" s="95">
        <f t="shared" si="14"/>
        <v>2030.84</v>
      </c>
      <c r="T89" s="95">
        <f t="shared" si="14"/>
        <v>2023.54</v>
      </c>
      <c r="U89" s="95">
        <f t="shared" si="14"/>
        <v>1992.74</v>
      </c>
      <c r="V89" s="95">
        <f t="shared" si="14"/>
        <v>1914.9399999999998</v>
      </c>
      <c r="W89" s="95">
        <f t="shared" si="14"/>
        <v>1914.9399999999998</v>
      </c>
      <c r="X89" s="95">
        <f t="shared" si="14"/>
        <v>1957.8399999999997</v>
      </c>
      <c r="Y89" s="95">
        <f t="shared" si="14"/>
        <v>1968.54</v>
      </c>
      <c r="Z89" s="95">
        <f t="shared" si="14"/>
        <v>1974.9399999999998</v>
      </c>
      <c r="AA89" s="95">
        <f t="shared" si="14"/>
        <v>1974.9399999999998</v>
      </c>
      <c r="AB89" s="95">
        <f t="shared" si="14"/>
        <v>2102.04</v>
      </c>
      <c r="AC89" s="95">
        <f t="shared" si="14"/>
        <v>2102.04</v>
      </c>
      <c r="AD89" s="95">
        <f t="shared" si="14"/>
        <v>2088.3399999999997</v>
      </c>
      <c r="AE89" s="95">
        <f t="shared" si="14"/>
        <v>3.54</v>
      </c>
      <c r="AF89" s="95">
        <f t="shared" si="14"/>
        <v>3.54</v>
      </c>
      <c r="AG89" s="60">
        <f t="shared" si="14"/>
        <v>2111.5500000000002</v>
      </c>
      <c r="AH89" s="47">
        <f t="shared" si="11"/>
        <v>2102.04</v>
      </c>
      <c r="AI89" s="48">
        <f t="shared" si="12"/>
        <v>3.54</v>
      </c>
    </row>
    <row r="90" spans="1:40" ht="15.75" thickBot="1" x14ac:dyDescent="0.3">
      <c r="A90" s="96" t="s">
        <v>109</v>
      </c>
      <c r="B90" s="97">
        <v>50</v>
      </c>
      <c r="C90" s="97">
        <v>50</v>
      </c>
      <c r="D90" s="97">
        <v>100</v>
      </c>
      <c r="E90" s="97">
        <v>50</v>
      </c>
      <c r="F90" s="97">
        <v>50</v>
      </c>
      <c r="G90" s="97">
        <v>50</v>
      </c>
      <c r="H90" s="97">
        <v>50</v>
      </c>
      <c r="I90" s="97">
        <v>50</v>
      </c>
      <c r="J90" s="97">
        <v>50</v>
      </c>
      <c r="K90" s="97">
        <v>50</v>
      </c>
      <c r="L90" s="97">
        <v>50</v>
      </c>
      <c r="M90" s="97">
        <v>50</v>
      </c>
      <c r="N90" s="97">
        <v>50</v>
      </c>
      <c r="O90" s="97">
        <v>50</v>
      </c>
      <c r="P90" s="97">
        <v>50</v>
      </c>
      <c r="Q90" s="97">
        <v>50</v>
      </c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11"/>
        <v>100</v>
      </c>
      <c r="AI90" s="48">
        <f t="shared" si="12"/>
        <v>50</v>
      </c>
    </row>
    <row r="91" spans="1:40" ht="15.75" thickBot="1" x14ac:dyDescent="0.3">
      <c r="A91" s="73" t="s">
        <v>110</v>
      </c>
      <c r="B91" s="95">
        <f t="shared" ref="B91:AF91" si="15">B89+B90</f>
        <v>1984.44</v>
      </c>
      <c r="C91" s="95">
        <f t="shared" si="15"/>
        <v>1943.8400000000001</v>
      </c>
      <c r="D91" s="95">
        <f t="shared" si="15"/>
        <v>1887.04</v>
      </c>
      <c r="E91" s="95">
        <f t="shared" si="15"/>
        <v>843.44</v>
      </c>
      <c r="F91" s="95">
        <f t="shared" si="15"/>
        <v>1861.0400000000002</v>
      </c>
      <c r="G91" s="95">
        <f t="shared" si="15"/>
        <v>1889.3400000000001</v>
      </c>
      <c r="H91" s="95">
        <f t="shared" si="15"/>
        <v>1906.24</v>
      </c>
      <c r="I91" s="95">
        <f t="shared" si="15"/>
        <v>1933.64</v>
      </c>
      <c r="J91" s="95">
        <f t="shared" si="15"/>
        <v>1934.04</v>
      </c>
      <c r="K91" s="95">
        <f t="shared" si="15"/>
        <v>2003.54</v>
      </c>
      <c r="L91" s="95">
        <f t="shared" si="15"/>
        <v>2027.34</v>
      </c>
      <c r="M91" s="95">
        <f t="shared" si="15"/>
        <v>1979.54</v>
      </c>
      <c r="N91" s="95">
        <f t="shared" si="15"/>
        <v>1904.54</v>
      </c>
      <c r="O91" s="95">
        <f t="shared" si="15"/>
        <v>1955.7399999999998</v>
      </c>
      <c r="P91" s="95">
        <f t="shared" si="15"/>
        <v>2015.04</v>
      </c>
      <c r="Q91" s="95">
        <f t="shared" si="15"/>
        <v>2061.6400000000003</v>
      </c>
      <c r="R91" s="95">
        <f t="shared" si="15"/>
        <v>2047.7399999999998</v>
      </c>
      <c r="S91" s="95">
        <f t="shared" si="15"/>
        <v>2030.84</v>
      </c>
      <c r="T91" s="95">
        <f t="shared" si="15"/>
        <v>2023.54</v>
      </c>
      <c r="U91" s="95">
        <f t="shared" si="15"/>
        <v>1992.74</v>
      </c>
      <c r="V91" s="95">
        <f t="shared" si="15"/>
        <v>1914.9399999999998</v>
      </c>
      <c r="W91" s="95">
        <f t="shared" si="15"/>
        <v>1914.9399999999998</v>
      </c>
      <c r="X91" s="95">
        <f t="shared" si="15"/>
        <v>1957.8399999999997</v>
      </c>
      <c r="Y91" s="95">
        <f t="shared" si="15"/>
        <v>1968.54</v>
      </c>
      <c r="Z91" s="95">
        <f t="shared" si="15"/>
        <v>1974.9399999999998</v>
      </c>
      <c r="AA91" s="95">
        <f t="shared" si="15"/>
        <v>1974.9399999999998</v>
      </c>
      <c r="AB91" s="95">
        <f t="shared" si="15"/>
        <v>2102.04</v>
      </c>
      <c r="AC91" s="95">
        <f t="shared" si="15"/>
        <v>2102.04</v>
      </c>
      <c r="AD91" s="95">
        <f t="shared" si="15"/>
        <v>2088.3399999999997</v>
      </c>
      <c r="AE91" s="95">
        <f t="shared" si="15"/>
        <v>3.54</v>
      </c>
      <c r="AF91" s="95">
        <f t="shared" si="15"/>
        <v>3.54</v>
      </c>
      <c r="AG91" s="88">
        <f>AG88+AG84+AG72+AG68+AG50+AG90</f>
        <v>1573.45</v>
      </c>
      <c r="AH91" s="47">
        <f t="shared" si="11"/>
        <v>2102.04</v>
      </c>
      <c r="AI91" s="48">
        <f t="shared" si="12"/>
        <v>3.54</v>
      </c>
    </row>
    <row r="92" spans="1:40" ht="15.75" thickBot="1" x14ac:dyDescent="0.3">
      <c r="A92" s="73" t="s">
        <v>111</v>
      </c>
      <c r="B92" s="95">
        <f t="shared" ref="B92:AF92" si="16">B91-B99</f>
        <v>1984.44</v>
      </c>
      <c r="C92" s="95">
        <f t="shared" si="16"/>
        <v>1943.8400000000001</v>
      </c>
      <c r="D92" s="95">
        <f t="shared" si="16"/>
        <v>1887.04</v>
      </c>
      <c r="E92" s="95">
        <f t="shared" si="16"/>
        <v>843.44</v>
      </c>
      <c r="F92" s="95">
        <f t="shared" si="16"/>
        <v>1861.0400000000002</v>
      </c>
      <c r="G92" s="95">
        <f t="shared" si="16"/>
        <v>1889.3400000000001</v>
      </c>
      <c r="H92" s="95">
        <f t="shared" si="16"/>
        <v>1906.24</v>
      </c>
      <c r="I92" s="95">
        <f t="shared" si="16"/>
        <v>1933.64</v>
      </c>
      <c r="J92" s="95">
        <f t="shared" si="16"/>
        <v>1934.04</v>
      </c>
      <c r="K92" s="95">
        <f t="shared" si="16"/>
        <v>2003.54</v>
      </c>
      <c r="L92" s="95">
        <f t="shared" si="16"/>
        <v>2027.34</v>
      </c>
      <c r="M92" s="95">
        <f t="shared" si="16"/>
        <v>1979.54</v>
      </c>
      <c r="N92" s="95">
        <f t="shared" si="16"/>
        <v>1904.54</v>
      </c>
      <c r="O92" s="95">
        <f t="shared" si="16"/>
        <v>1955.7399999999998</v>
      </c>
      <c r="P92" s="95">
        <f t="shared" si="16"/>
        <v>2015.04</v>
      </c>
      <c r="Q92" s="95">
        <f t="shared" si="16"/>
        <v>2061.6400000000003</v>
      </c>
      <c r="R92" s="95">
        <f t="shared" si="16"/>
        <v>2047.7399999999998</v>
      </c>
      <c r="S92" s="95">
        <f t="shared" si="16"/>
        <v>2030.84</v>
      </c>
      <c r="T92" s="95">
        <f t="shared" si="16"/>
        <v>2023.54</v>
      </c>
      <c r="U92" s="95">
        <f t="shared" si="16"/>
        <v>1992.74</v>
      </c>
      <c r="V92" s="95">
        <f t="shared" si="16"/>
        <v>1914.9399999999998</v>
      </c>
      <c r="W92" s="95">
        <f t="shared" si="16"/>
        <v>1914.9399999999998</v>
      </c>
      <c r="X92" s="95">
        <f t="shared" si="16"/>
        <v>1957.8399999999997</v>
      </c>
      <c r="Y92" s="95">
        <f t="shared" si="16"/>
        <v>1968.54</v>
      </c>
      <c r="Z92" s="95">
        <f t="shared" si="16"/>
        <v>1974.9399999999998</v>
      </c>
      <c r="AA92" s="95">
        <f t="shared" si="16"/>
        <v>1974.9399999999998</v>
      </c>
      <c r="AB92" s="95">
        <f t="shared" si="16"/>
        <v>2102.04</v>
      </c>
      <c r="AC92" s="95">
        <f t="shared" si="16"/>
        <v>2102.04</v>
      </c>
      <c r="AD92" s="95">
        <f t="shared" si="16"/>
        <v>2088.3399999999997</v>
      </c>
      <c r="AE92" s="95">
        <f t="shared" si="16"/>
        <v>3.54</v>
      </c>
      <c r="AF92" s="95">
        <f t="shared" si="16"/>
        <v>3.54</v>
      </c>
      <c r="AG92" s="88"/>
      <c r="AH92" s="47">
        <f t="shared" si="11"/>
        <v>2102.04</v>
      </c>
      <c r="AI92" s="48">
        <f t="shared" si="12"/>
        <v>3.54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1"/>
        <v>0</v>
      </c>
      <c r="AI93" s="48">
        <f t="shared" si="12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1"/>
        <v>0</v>
      </c>
      <c r="AI94" s="48">
        <f t="shared" si="12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1"/>
        <v>0</v>
      </c>
      <c r="AI95" s="48">
        <f t="shared" si="12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1"/>
        <v>0</v>
      </c>
      <c r="AI96" s="48">
        <f t="shared" si="12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1"/>
        <v>0</v>
      </c>
      <c r="AI97" s="48">
        <f t="shared" si="12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1"/>
        <v>0</v>
      </c>
      <c r="AI98" s="48">
        <f t="shared" si="12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11"/>
        <v>0</v>
      </c>
      <c r="AI99" s="48">
        <f t="shared" si="12"/>
        <v>0</v>
      </c>
      <c r="AK99" s="74"/>
    </row>
    <row r="100" spans="1:37" ht="15.75" thickBot="1" x14ac:dyDescent="0.3">
      <c r="A100" s="73" t="s">
        <v>116</v>
      </c>
      <c r="B100" s="59">
        <f t="shared" ref="B100:AF100" si="17">B84-B99</f>
        <v>98.1</v>
      </c>
      <c r="C100" s="59">
        <f t="shared" si="17"/>
        <v>118.5</v>
      </c>
      <c r="D100" s="59">
        <f t="shared" si="17"/>
        <v>81.599999999999994</v>
      </c>
      <c r="E100" s="59">
        <f t="shared" si="17"/>
        <v>76</v>
      </c>
      <c r="F100" s="59">
        <f t="shared" si="17"/>
        <v>64.599999999999994</v>
      </c>
      <c r="G100" s="59">
        <f t="shared" si="17"/>
        <v>64</v>
      </c>
      <c r="H100" s="59">
        <f t="shared" si="17"/>
        <v>67</v>
      </c>
      <c r="I100" s="59">
        <f t="shared" si="17"/>
        <v>59.7</v>
      </c>
      <c r="J100" s="59">
        <f t="shared" si="17"/>
        <v>58</v>
      </c>
      <c r="K100" s="59">
        <f t="shared" si="17"/>
        <v>62</v>
      </c>
      <c r="L100" s="59">
        <f t="shared" si="17"/>
        <v>61.1</v>
      </c>
      <c r="M100" s="59">
        <f t="shared" si="17"/>
        <v>53.7</v>
      </c>
      <c r="N100" s="59">
        <f t="shared" si="17"/>
        <v>25.8</v>
      </c>
      <c r="O100" s="59">
        <f t="shared" si="17"/>
        <v>37.6</v>
      </c>
      <c r="P100" s="59">
        <f t="shared" si="17"/>
        <v>96.1</v>
      </c>
      <c r="Q100" s="59">
        <f t="shared" si="17"/>
        <v>109</v>
      </c>
      <c r="R100" s="59">
        <f t="shared" si="17"/>
        <v>108.1</v>
      </c>
      <c r="S100" s="59">
        <f t="shared" si="17"/>
        <v>100.19999999999999</v>
      </c>
      <c r="T100" s="59">
        <f t="shared" si="17"/>
        <v>114.89999999999999</v>
      </c>
      <c r="U100" s="59">
        <f t="shared" si="17"/>
        <v>114.89999999999999</v>
      </c>
      <c r="V100" s="59">
        <f t="shared" si="17"/>
        <v>80.099999999999994</v>
      </c>
      <c r="W100" s="59">
        <f t="shared" si="17"/>
        <v>80.099999999999994</v>
      </c>
      <c r="X100" s="59">
        <f t="shared" si="17"/>
        <v>80.099999999999994</v>
      </c>
      <c r="Y100" s="59">
        <f t="shared" si="17"/>
        <v>70.7</v>
      </c>
      <c r="Z100" s="59">
        <f t="shared" si="17"/>
        <v>77.099999999999994</v>
      </c>
      <c r="AA100" s="59">
        <f t="shared" si="17"/>
        <v>77.099999999999994</v>
      </c>
      <c r="AB100" s="59">
        <f t="shared" si="17"/>
        <v>87.5</v>
      </c>
      <c r="AC100" s="59">
        <f t="shared" si="17"/>
        <v>87.5</v>
      </c>
      <c r="AD100" s="59">
        <f t="shared" si="17"/>
        <v>94.6</v>
      </c>
      <c r="AE100" s="59">
        <f t="shared" si="17"/>
        <v>0</v>
      </c>
      <c r="AF100" s="59">
        <f t="shared" si="17"/>
        <v>0</v>
      </c>
      <c r="AG100" s="88"/>
      <c r="AH100" s="47">
        <f t="shared" si="11"/>
        <v>118.5</v>
      </c>
      <c r="AI100" s="48">
        <f t="shared" si="12"/>
        <v>0</v>
      </c>
    </row>
    <row r="101" spans="1:37" x14ac:dyDescent="0.25">
      <c r="A101" s="100" t="s">
        <v>117</v>
      </c>
      <c r="B101" s="101">
        <v>50.051000000000002</v>
      </c>
      <c r="C101" s="101">
        <v>50.029000000000003</v>
      </c>
      <c r="D101" s="101">
        <v>49.991</v>
      </c>
      <c r="E101" s="101"/>
      <c r="F101" s="101">
        <v>50.027000000000001</v>
      </c>
      <c r="G101" s="101">
        <v>50</v>
      </c>
      <c r="H101" s="101">
        <v>50.054000000000002</v>
      </c>
      <c r="I101" s="101">
        <v>50.08</v>
      </c>
      <c r="J101" s="101">
        <v>50</v>
      </c>
      <c r="K101" s="101">
        <v>50</v>
      </c>
      <c r="L101" s="101">
        <v>50.042999999999999</v>
      </c>
      <c r="M101" s="101">
        <v>50.07</v>
      </c>
      <c r="N101" s="101">
        <v>50.082999999999998</v>
      </c>
      <c r="O101" s="101">
        <v>50.146999999999998</v>
      </c>
      <c r="P101" s="101">
        <v>49.929000000000002</v>
      </c>
      <c r="Q101" s="101">
        <v>50.002000000000002</v>
      </c>
      <c r="R101" s="101">
        <v>50.042000000000002</v>
      </c>
      <c r="S101" s="101">
        <v>49.7</v>
      </c>
      <c r="T101" s="101">
        <v>50.05</v>
      </c>
      <c r="U101" s="101">
        <v>49.97</v>
      </c>
      <c r="V101" s="101">
        <v>50.05</v>
      </c>
      <c r="W101" s="101">
        <v>50.09</v>
      </c>
      <c r="X101" s="101">
        <v>50.1</v>
      </c>
      <c r="Y101" s="101">
        <v>49.97</v>
      </c>
      <c r="Z101" s="101">
        <v>50.07</v>
      </c>
      <c r="AA101" s="101">
        <v>50.07</v>
      </c>
      <c r="AB101" s="101">
        <v>49.996000000000002</v>
      </c>
      <c r="AC101" s="101">
        <v>49.996000000000002</v>
      </c>
      <c r="AD101" s="101">
        <v>50.006999999999998</v>
      </c>
      <c r="AE101" s="101"/>
      <c r="AF101" s="101"/>
      <c r="AG101" s="102"/>
      <c r="AH101" s="47">
        <f t="shared" si="11"/>
        <v>50.146999999999998</v>
      </c>
      <c r="AI101" s="48">
        <f t="shared" si="12"/>
        <v>49.7</v>
      </c>
    </row>
    <row r="102" spans="1:37" x14ac:dyDescent="0.25">
      <c r="A102" s="103" t="s">
        <v>118</v>
      </c>
      <c r="B102" s="64">
        <v>123.1</v>
      </c>
      <c r="C102" s="64">
        <v>123.9</v>
      </c>
      <c r="D102" s="64">
        <v>124.1</v>
      </c>
      <c r="E102" s="64"/>
      <c r="F102" s="64">
        <v>122</v>
      </c>
      <c r="G102" s="64">
        <v>122</v>
      </c>
      <c r="H102" s="64">
        <v>122.8</v>
      </c>
      <c r="I102" s="64">
        <v>122.8</v>
      </c>
      <c r="J102" s="64">
        <v>124</v>
      </c>
      <c r="K102" s="64">
        <v>122.6</v>
      </c>
      <c r="L102" s="64">
        <v>123.6</v>
      </c>
      <c r="M102" s="64">
        <v>120.6</v>
      </c>
      <c r="N102" s="64">
        <v>121.3</v>
      </c>
      <c r="O102" s="64">
        <v>120.5</v>
      </c>
      <c r="P102" s="64">
        <v>121.5</v>
      </c>
      <c r="Q102" s="64">
        <v>122.5</v>
      </c>
      <c r="R102" s="64">
        <v>121.5</v>
      </c>
      <c r="S102" s="64">
        <v>120.6</v>
      </c>
      <c r="T102" s="64">
        <v>122.3</v>
      </c>
      <c r="U102" s="64">
        <v>118.2</v>
      </c>
      <c r="V102" s="64">
        <v>122</v>
      </c>
      <c r="W102" s="64">
        <v>123</v>
      </c>
      <c r="X102" s="64">
        <v>124.7</v>
      </c>
      <c r="Y102" s="64">
        <v>123.1</v>
      </c>
      <c r="Z102" s="64">
        <v>123</v>
      </c>
      <c r="AA102" s="64">
        <v>123</v>
      </c>
      <c r="AB102" s="64">
        <v>126.1</v>
      </c>
      <c r="AC102" s="64">
        <v>126.1</v>
      </c>
      <c r="AD102" s="64">
        <v>126.5</v>
      </c>
      <c r="AE102" s="64"/>
      <c r="AF102" s="64"/>
      <c r="AG102" s="104"/>
      <c r="AH102" s="47">
        <f t="shared" si="11"/>
        <v>126.5</v>
      </c>
      <c r="AI102" s="48">
        <f t="shared" si="12"/>
        <v>118.2</v>
      </c>
    </row>
    <row r="103" spans="1:37" x14ac:dyDescent="0.25">
      <c r="A103" s="103" t="s">
        <v>119</v>
      </c>
      <c r="B103" s="64">
        <v>128.19999999999999</v>
      </c>
      <c r="C103" s="64">
        <v>128.80000000000001</v>
      </c>
      <c r="D103" s="64">
        <v>129.30000000000001</v>
      </c>
      <c r="E103" s="64"/>
      <c r="F103" s="64">
        <v>127</v>
      </c>
      <c r="G103" s="64">
        <v>127</v>
      </c>
      <c r="H103" s="64">
        <v>127</v>
      </c>
      <c r="I103" s="64">
        <v>126.8</v>
      </c>
      <c r="J103" s="64">
        <v>128</v>
      </c>
      <c r="K103" s="64">
        <v>126</v>
      </c>
      <c r="L103" s="64">
        <v>126.6</v>
      </c>
      <c r="M103" s="64">
        <v>124.5</v>
      </c>
      <c r="N103" s="64">
        <v>125.5</v>
      </c>
      <c r="O103" s="64">
        <v>124.1</v>
      </c>
      <c r="P103" s="64">
        <v>124.8</v>
      </c>
      <c r="Q103" s="64">
        <v>125.7</v>
      </c>
      <c r="R103" s="64">
        <v>125</v>
      </c>
      <c r="S103" s="64">
        <v>124.1</v>
      </c>
      <c r="T103" s="64">
        <v>125.4</v>
      </c>
      <c r="U103" s="64">
        <v>123</v>
      </c>
      <c r="V103" s="64">
        <v>126</v>
      </c>
      <c r="W103" s="64">
        <v>126.4</v>
      </c>
      <c r="X103" s="64">
        <v>127.7</v>
      </c>
      <c r="Y103" s="64">
        <v>126.5</v>
      </c>
      <c r="Z103" s="64">
        <v>126.5</v>
      </c>
      <c r="AA103" s="64">
        <v>126.5</v>
      </c>
      <c r="AB103" s="64">
        <v>129.5</v>
      </c>
      <c r="AC103" s="64">
        <v>129.5</v>
      </c>
      <c r="AD103" s="64">
        <v>129.6</v>
      </c>
      <c r="AE103" s="64"/>
      <c r="AF103" s="64"/>
      <c r="AG103" s="104"/>
      <c r="AH103" s="47">
        <f t="shared" si="11"/>
        <v>129.6</v>
      </c>
      <c r="AI103" s="48">
        <f t="shared" si="12"/>
        <v>123</v>
      </c>
    </row>
    <row r="104" spans="1:37" x14ac:dyDescent="0.25">
      <c r="A104" s="103" t="s">
        <v>120</v>
      </c>
      <c r="B104" s="64">
        <v>126.6</v>
      </c>
      <c r="C104" s="64">
        <v>127.1</v>
      </c>
      <c r="D104" s="64">
        <v>129.5</v>
      </c>
      <c r="E104" s="64"/>
      <c r="F104" s="64">
        <v>127</v>
      </c>
      <c r="G104" s="64">
        <v>127</v>
      </c>
      <c r="H104" s="64">
        <v>127</v>
      </c>
      <c r="I104" s="64">
        <v>125</v>
      </c>
      <c r="J104" s="64">
        <v>126</v>
      </c>
      <c r="K104" s="64">
        <v>128</v>
      </c>
      <c r="L104" s="64">
        <v>129.69999999999999</v>
      </c>
      <c r="M104" s="64">
        <v>127.9</v>
      </c>
      <c r="N104" s="64">
        <v>127</v>
      </c>
      <c r="O104" s="64">
        <v>121.8</v>
      </c>
      <c r="P104" s="64">
        <v>122.7</v>
      </c>
      <c r="Q104" s="64">
        <v>128.4</v>
      </c>
      <c r="R104" s="64">
        <v>128.80000000000001</v>
      </c>
      <c r="S104" s="64">
        <v>125.8</v>
      </c>
      <c r="T104" s="64">
        <v>125.5</v>
      </c>
      <c r="U104" s="64">
        <v>126</v>
      </c>
      <c r="V104" s="64">
        <v>126</v>
      </c>
      <c r="W104" s="64">
        <v>126.5</v>
      </c>
      <c r="X104" s="64">
        <v>13.2</v>
      </c>
      <c r="Y104" s="64">
        <v>126.6</v>
      </c>
      <c r="Z104" s="64">
        <v>126</v>
      </c>
      <c r="AA104" s="64">
        <v>126</v>
      </c>
      <c r="AB104" s="64">
        <v>128</v>
      </c>
      <c r="AC104" s="64">
        <v>128</v>
      </c>
      <c r="AD104" s="64">
        <v>130.1</v>
      </c>
      <c r="AE104" s="64"/>
      <c r="AF104" s="64"/>
      <c r="AG104" s="104"/>
      <c r="AH104" s="47">
        <f t="shared" si="11"/>
        <v>130.1</v>
      </c>
      <c r="AI104" s="48">
        <f t="shared" si="12"/>
        <v>13.2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1"/>
        <v>0</v>
      </c>
      <c r="AI105" s="48">
        <f t="shared" si="12"/>
        <v>0</v>
      </c>
    </row>
    <row r="106" spans="1:37" x14ac:dyDescent="0.25">
      <c r="A106" s="105" t="s">
        <v>122</v>
      </c>
      <c r="B106" s="106">
        <v>132.9</v>
      </c>
      <c r="C106" s="106">
        <v>132.1</v>
      </c>
      <c r="D106" s="106">
        <v>133.69999999999999</v>
      </c>
      <c r="E106" s="106"/>
      <c r="F106" s="106">
        <v>130</v>
      </c>
      <c r="G106" s="106">
        <v>130</v>
      </c>
      <c r="H106" s="106">
        <v>130</v>
      </c>
      <c r="I106" s="106">
        <v>132</v>
      </c>
      <c r="J106" s="106">
        <v>131.4</v>
      </c>
      <c r="K106" s="106">
        <v>132.5</v>
      </c>
      <c r="L106" s="106">
        <v>133.1</v>
      </c>
      <c r="M106" s="106">
        <v>132.6</v>
      </c>
      <c r="N106" s="106">
        <v>131.9</v>
      </c>
      <c r="O106" s="106">
        <v>128.6</v>
      </c>
      <c r="P106" s="106">
        <v>129.19999999999999</v>
      </c>
      <c r="Q106" s="106">
        <v>131.9</v>
      </c>
      <c r="R106" s="106">
        <v>132.5</v>
      </c>
      <c r="S106" s="106">
        <v>127.6</v>
      </c>
      <c r="T106" s="106">
        <v>133.6</v>
      </c>
      <c r="U106" s="106">
        <v>125</v>
      </c>
      <c r="V106" s="106">
        <v>134</v>
      </c>
      <c r="W106" s="106">
        <v>132</v>
      </c>
      <c r="X106" s="106">
        <v>132.69999999999999</v>
      </c>
      <c r="Y106" s="106">
        <v>136</v>
      </c>
      <c r="Z106" s="106">
        <v>134</v>
      </c>
      <c r="AA106" s="106">
        <v>134</v>
      </c>
      <c r="AB106" s="106">
        <v>134.30000000000001</v>
      </c>
      <c r="AC106" s="106">
        <v>134.30000000000001</v>
      </c>
      <c r="AD106" s="106">
        <v>132.1</v>
      </c>
      <c r="AE106" s="106"/>
      <c r="AF106" s="106"/>
      <c r="AG106" s="107"/>
      <c r="AH106" s="47">
        <f t="shared" si="11"/>
        <v>136</v>
      </c>
      <c r="AI106" s="48">
        <f t="shared" si="12"/>
        <v>125</v>
      </c>
    </row>
    <row r="107" spans="1:37" x14ac:dyDescent="0.25">
      <c r="A107" s="103" t="s">
        <v>123</v>
      </c>
      <c r="B107" s="64">
        <v>124.9</v>
      </c>
      <c r="C107" s="64">
        <v>125.7</v>
      </c>
      <c r="D107" s="64">
        <v>122.7</v>
      </c>
      <c r="E107" s="64"/>
      <c r="F107" s="64">
        <v>121</v>
      </c>
      <c r="G107" s="64">
        <v>121</v>
      </c>
      <c r="H107" s="64">
        <v>121</v>
      </c>
      <c r="I107" s="64">
        <v>133</v>
      </c>
      <c r="J107" s="64">
        <v>129</v>
      </c>
      <c r="K107" s="64">
        <v>133</v>
      </c>
      <c r="L107" s="64">
        <v>129</v>
      </c>
      <c r="M107" s="64">
        <v>125.2</v>
      </c>
      <c r="N107" s="64">
        <v>124.5</v>
      </c>
      <c r="O107" s="64">
        <v>126.6</v>
      </c>
      <c r="P107" s="64">
        <v>129.80000000000001</v>
      </c>
      <c r="Q107" s="64">
        <v>131.69999999999999</v>
      </c>
      <c r="R107" s="64">
        <v>130.4</v>
      </c>
      <c r="S107" s="64">
        <v>132.6</v>
      </c>
      <c r="T107" s="64">
        <v>130</v>
      </c>
      <c r="U107" s="64">
        <v>131</v>
      </c>
      <c r="V107" s="64">
        <v>126.2</v>
      </c>
      <c r="W107" s="64">
        <v>126</v>
      </c>
      <c r="X107" s="64">
        <v>125.8</v>
      </c>
      <c r="Y107" s="64">
        <v>127.2</v>
      </c>
      <c r="Z107" s="64">
        <v>126.7</v>
      </c>
      <c r="AA107" s="64">
        <v>126.7</v>
      </c>
      <c r="AB107" s="64">
        <v>130.9</v>
      </c>
      <c r="AC107" s="64">
        <v>130.9</v>
      </c>
      <c r="AD107" s="64">
        <v>128.5</v>
      </c>
      <c r="AE107" s="64"/>
      <c r="AF107" s="64"/>
      <c r="AG107" s="104"/>
      <c r="AH107" s="47">
        <f t="shared" si="11"/>
        <v>133</v>
      </c>
      <c r="AI107" s="48">
        <f t="shared" si="12"/>
        <v>121</v>
      </c>
    </row>
    <row r="108" spans="1:37" ht="15.75" thickBot="1" x14ac:dyDescent="0.3">
      <c r="A108" s="103" t="s">
        <v>124</v>
      </c>
      <c r="B108" s="92">
        <v>64.3</v>
      </c>
      <c r="C108" s="92">
        <v>64.599999999999994</v>
      </c>
      <c r="D108" s="92">
        <v>64.5</v>
      </c>
      <c r="E108" s="92"/>
      <c r="F108" s="92">
        <v>64</v>
      </c>
      <c r="G108" s="92">
        <v>64</v>
      </c>
      <c r="H108" s="92">
        <v>64</v>
      </c>
      <c r="I108" s="92">
        <v>63.7</v>
      </c>
      <c r="J108" s="92">
        <v>64</v>
      </c>
      <c r="K108" s="92">
        <v>63.7</v>
      </c>
      <c r="L108" s="92">
        <v>63.3</v>
      </c>
      <c r="M108" s="92">
        <v>62.1</v>
      </c>
      <c r="N108" s="92">
        <v>62.9</v>
      </c>
      <c r="O108" s="92">
        <v>124.4</v>
      </c>
      <c r="P108" s="92">
        <v>61.9</v>
      </c>
      <c r="Q108" s="92">
        <v>62.3</v>
      </c>
      <c r="R108" s="92">
        <v>62.1</v>
      </c>
      <c r="S108" s="92">
        <v>62</v>
      </c>
      <c r="T108" s="92">
        <v>62.2</v>
      </c>
      <c r="U108" s="92">
        <v>61.1</v>
      </c>
      <c r="V108" s="92">
        <v>63</v>
      </c>
      <c r="W108" s="92">
        <v>63</v>
      </c>
      <c r="X108" s="92">
        <v>64.099999999999994</v>
      </c>
      <c r="Y108" s="92">
        <v>63.5</v>
      </c>
      <c r="Z108" s="92">
        <v>63.1</v>
      </c>
      <c r="AA108" s="92">
        <v>63.1</v>
      </c>
      <c r="AB108" s="92">
        <v>64.7</v>
      </c>
      <c r="AC108" s="92">
        <v>64.7</v>
      </c>
      <c r="AD108" s="92">
        <v>64.8</v>
      </c>
      <c r="AE108" s="92"/>
      <c r="AF108" s="92"/>
      <c r="AG108" s="108"/>
      <c r="AH108" s="47">
        <f t="shared" si="11"/>
        <v>124.4</v>
      </c>
      <c r="AI108" s="48">
        <f t="shared" si="12"/>
        <v>61.1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1"/>
        <v>0</v>
      </c>
      <c r="AI109" s="48">
        <f t="shared" si="12"/>
        <v>0</v>
      </c>
    </row>
    <row r="110" spans="1:37" ht="15.75" thickBot="1" x14ac:dyDescent="0.3">
      <c r="A110" s="110" t="s">
        <v>126</v>
      </c>
      <c r="B110" s="111">
        <f t="shared" ref="B110:O110" si="18">SUM(B20,B26,B29:B30,B58,B60:B61,B63,B65,B111:B115,B138,B144,B150,B159,B161,B173,B180,B183:B184,B191,B193,B195,B199:B201,B203:B205,B210,B216:B217,B219:B221,B229,B234)</f>
        <v>96.700000000000017</v>
      </c>
      <c r="C110" s="111">
        <f t="shared" si="18"/>
        <v>87.84</v>
      </c>
      <c r="D110" s="111">
        <f t="shared" si="18"/>
        <v>78.34</v>
      </c>
      <c r="E110" s="111">
        <f t="shared" si="18"/>
        <v>0.94</v>
      </c>
      <c r="F110" s="111">
        <f t="shared" si="18"/>
        <v>43.539999999999978</v>
      </c>
      <c r="G110" s="111">
        <f t="shared" si="18"/>
        <v>66.839999999999989</v>
      </c>
      <c r="H110" s="111">
        <f t="shared" si="18"/>
        <v>105.03999999999999</v>
      </c>
      <c r="I110" s="111">
        <f t="shared" si="18"/>
        <v>144.74</v>
      </c>
      <c r="J110" s="111">
        <f t="shared" si="18"/>
        <v>160.74</v>
      </c>
      <c r="K110" s="111">
        <f t="shared" si="18"/>
        <v>201.33999999999997</v>
      </c>
      <c r="L110" s="111">
        <f t="shared" si="18"/>
        <v>201.33999999999997</v>
      </c>
      <c r="M110" s="111">
        <f t="shared" si="18"/>
        <v>256.04000000000002</v>
      </c>
      <c r="N110" s="111">
        <f t="shared" si="18"/>
        <v>211.34000000000003</v>
      </c>
      <c r="O110" s="111">
        <f t="shared" si="18"/>
        <v>226.94</v>
      </c>
      <c r="P110" s="111">
        <v>42</v>
      </c>
      <c r="Q110" s="111">
        <f t="shared" ref="Q110:AF110" si="19">SUM(Q20,Q26,Q29:Q30,Q58,Q60:Q61,Q63,Q65,Q111:Q115,Q138,Q144,Q150,Q159,Q161,Q173,Q180,Q183:Q184,Q191,Q193,Q195,Q199:Q201,Q203:Q205,Q210,Q216:Q217,Q219:Q221,Q229,Q234)</f>
        <v>204.39999999999998</v>
      </c>
      <c r="R110" s="111">
        <f t="shared" si="19"/>
        <v>223.8</v>
      </c>
      <c r="S110" s="111">
        <f t="shared" si="19"/>
        <v>250.8</v>
      </c>
      <c r="T110" s="111">
        <f t="shared" si="19"/>
        <v>265.7</v>
      </c>
      <c r="U110" s="111">
        <f t="shared" si="19"/>
        <v>236</v>
      </c>
      <c r="V110" s="111">
        <f t="shared" si="19"/>
        <v>223.39999999999998</v>
      </c>
      <c r="W110" s="111">
        <f t="shared" si="19"/>
        <v>238.2</v>
      </c>
      <c r="X110" s="111">
        <f t="shared" si="19"/>
        <v>220.10000000000002</v>
      </c>
      <c r="Y110" s="111">
        <f t="shared" si="19"/>
        <v>245.7</v>
      </c>
      <c r="Z110" s="111">
        <f t="shared" si="19"/>
        <v>273.40000000000003</v>
      </c>
      <c r="AA110" s="111">
        <f t="shared" si="19"/>
        <v>273.40000000000003</v>
      </c>
      <c r="AB110" s="111">
        <f t="shared" si="19"/>
        <v>272.7</v>
      </c>
      <c r="AC110" s="111">
        <f t="shared" si="19"/>
        <v>272.7</v>
      </c>
      <c r="AD110" s="111">
        <f t="shared" si="19"/>
        <v>229.7</v>
      </c>
      <c r="AE110" s="111">
        <f t="shared" si="19"/>
        <v>0</v>
      </c>
      <c r="AF110" s="111">
        <f t="shared" si="19"/>
        <v>0</v>
      </c>
      <c r="AG110" s="112"/>
      <c r="AH110" s="47">
        <f t="shared" si="11"/>
        <v>273.40000000000003</v>
      </c>
      <c r="AI110" s="48">
        <f t="shared" si="12"/>
        <v>0</v>
      </c>
    </row>
    <row r="111" spans="1:37" x14ac:dyDescent="0.25">
      <c r="A111" s="100" t="s">
        <v>127</v>
      </c>
      <c r="B111" s="113">
        <v>27.5</v>
      </c>
      <c r="C111" s="113">
        <v>32.200000000000003</v>
      </c>
      <c r="D111" s="113">
        <v>38.299999999999997</v>
      </c>
      <c r="E111" s="113"/>
      <c r="F111" s="113">
        <v>25</v>
      </c>
      <c r="G111" s="113">
        <v>30</v>
      </c>
      <c r="H111" s="113">
        <v>34</v>
      </c>
      <c r="I111" s="113">
        <v>41.4</v>
      </c>
      <c r="J111" s="113">
        <v>40</v>
      </c>
      <c r="K111" s="113">
        <v>39.6</v>
      </c>
      <c r="L111" s="113">
        <v>39.6</v>
      </c>
      <c r="M111" s="113">
        <v>29.8</v>
      </c>
      <c r="N111" s="113">
        <v>23.7</v>
      </c>
      <c r="O111" s="113">
        <v>21.2</v>
      </c>
      <c r="P111" s="113">
        <v>25</v>
      </c>
      <c r="Q111" s="113">
        <v>21.4</v>
      </c>
      <c r="R111" s="113">
        <v>24.4</v>
      </c>
      <c r="S111" s="113">
        <v>32.299999999999997</v>
      </c>
      <c r="T111" s="113">
        <v>47.7</v>
      </c>
      <c r="U111" s="113">
        <v>42.1</v>
      </c>
      <c r="V111" s="113">
        <v>53</v>
      </c>
      <c r="W111" s="113">
        <v>38.700000000000003</v>
      </c>
      <c r="X111" s="113">
        <v>47.7</v>
      </c>
      <c r="Y111" s="113">
        <v>53.2</v>
      </c>
      <c r="Z111" s="113">
        <v>56.8</v>
      </c>
      <c r="AA111" s="113">
        <v>56.8</v>
      </c>
      <c r="AB111" s="113">
        <v>44.2</v>
      </c>
      <c r="AC111" s="113">
        <v>44.2</v>
      </c>
      <c r="AD111" s="113">
        <v>45.2</v>
      </c>
      <c r="AE111" s="113"/>
      <c r="AF111" s="113"/>
      <c r="AG111" s="114">
        <v>75</v>
      </c>
      <c r="AH111" s="47">
        <f t="shared" si="11"/>
        <v>56.8</v>
      </c>
      <c r="AI111" s="48">
        <f t="shared" si="12"/>
        <v>21.2</v>
      </c>
    </row>
    <row r="112" spans="1:37" x14ac:dyDescent="0.25">
      <c r="A112" s="103" t="s">
        <v>128</v>
      </c>
      <c r="B112" s="115">
        <v>49.7</v>
      </c>
      <c r="C112" s="115">
        <v>55</v>
      </c>
      <c r="D112" s="115">
        <v>55.5</v>
      </c>
      <c r="E112" s="115"/>
      <c r="F112" s="115">
        <v>40.700000000000003</v>
      </c>
      <c r="G112" s="115">
        <v>45</v>
      </c>
      <c r="H112" s="115">
        <v>58</v>
      </c>
      <c r="I112" s="115">
        <v>66.400000000000006</v>
      </c>
      <c r="J112" s="115">
        <v>62.9</v>
      </c>
      <c r="K112" s="115">
        <v>66.3</v>
      </c>
      <c r="L112" s="115">
        <v>66.3</v>
      </c>
      <c r="M112" s="115">
        <v>49.9</v>
      </c>
      <c r="N112" s="115">
        <v>40.299999999999997</v>
      </c>
      <c r="O112" s="115">
        <v>38.6</v>
      </c>
      <c r="P112" s="115">
        <v>42</v>
      </c>
      <c r="Q112" s="115">
        <v>37.799999999999997</v>
      </c>
      <c r="R112" s="115">
        <v>43.6</v>
      </c>
      <c r="S112" s="115">
        <v>54.2</v>
      </c>
      <c r="T112" s="115">
        <v>67.7</v>
      </c>
      <c r="U112" s="115">
        <v>68.5</v>
      </c>
      <c r="V112" s="115">
        <v>77.599999999999994</v>
      </c>
      <c r="W112" s="115">
        <v>57.4</v>
      </c>
      <c r="X112" s="115">
        <v>71.8</v>
      </c>
      <c r="Y112" s="115">
        <v>75.599999999999994</v>
      </c>
      <c r="Z112" s="115">
        <v>83.5</v>
      </c>
      <c r="AA112" s="115">
        <v>83.5</v>
      </c>
      <c r="AB112" s="115">
        <v>66.8</v>
      </c>
      <c r="AC112" s="115">
        <v>66.8</v>
      </c>
      <c r="AD112" s="115">
        <v>68.8</v>
      </c>
      <c r="AE112" s="115"/>
      <c r="AF112" s="115"/>
      <c r="AG112" s="114">
        <v>240</v>
      </c>
      <c r="AH112" s="47">
        <f t="shared" si="11"/>
        <v>83.5</v>
      </c>
      <c r="AI112" s="48">
        <f t="shared" si="12"/>
        <v>37.799999999999997</v>
      </c>
    </row>
    <row r="113" spans="1:37" x14ac:dyDescent="0.25">
      <c r="A113" s="103" t="s">
        <v>129</v>
      </c>
      <c r="B113" s="115">
        <v>-137</v>
      </c>
      <c r="C113" s="115">
        <v>-131.19999999999999</v>
      </c>
      <c r="D113" s="115">
        <v>-135</v>
      </c>
      <c r="E113" s="115"/>
      <c r="F113" s="115">
        <v>-138</v>
      </c>
      <c r="G113" s="115">
        <v>-136</v>
      </c>
      <c r="H113" s="115">
        <v>-131</v>
      </c>
      <c r="I113" s="115">
        <v>-114</v>
      </c>
      <c r="J113" s="115">
        <v>-94</v>
      </c>
      <c r="K113" s="115">
        <v>-132</v>
      </c>
      <c r="L113" s="115">
        <v>-132</v>
      </c>
      <c r="M113" s="115">
        <v>-42.6</v>
      </c>
      <c r="N113" s="115">
        <v>-93</v>
      </c>
      <c r="O113" s="115">
        <v>-96</v>
      </c>
      <c r="P113" s="115">
        <v>-98</v>
      </c>
      <c r="Q113" s="115">
        <v>-105</v>
      </c>
      <c r="R113" s="115">
        <v>-98</v>
      </c>
      <c r="S113" s="115">
        <f>-45.8-41.6</f>
        <v>-87.4</v>
      </c>
      <c r="T113" s="115">
        <v>-102.1</v>
      </c>
      <c r="U113" s="115">
        <f>-62.1-59.9</f>
        <v>-122</v>
      </c>
      <c r="V113" s="115">
        <f>-68.7-66.6</f>
        <v>-135.30000000000001</v>
      </c>
      <c r="W113" s="115">
        <f>-50.9-53</f>
        <v>-103.9</v>
      </c>
      <c r="X113" s="115">
        <f>-63.5-68.1</f>
        <v>-131.6</v>
      </c>
      <c r="Y113" s="115">
        <f>-61.3-66</f>
        <v>-127.3</v>
      </c>
      <c r="Z113" s="115">
        <f>-59-63.2</f>
        <v>-122.2</v>
      </c>
      <c r="AA113" s="115">
        <f t="shared" ref="AA113" si="20">-59-63.2</f>
        <v>-122.2</v>
      </c>
      <c r="AB113" s="115">
        <v>-110</v>
      </c>
      <c r="AC113" s="115">
        <v>-110</v>
      </c>
      <c r="AD113" s="115">
        <v>-130</v>
      </c>
      <c r="AE113" s="115"/>
      <c r="AF113" s="115"/>
      <c r="AG113" s="114">
        <v>240</v>
      </c>
      <c r="AH113" s="47">
        <f t="shared" si="11"/>
        <v>-42.6</v>
      </c>
      <c r="AI113" s="48">
        <f t="shared" si="12"/>
        <v>-138</v>
      </c>
    </row>
    <row r="114" spans="1:37" x14ac:dyDescent="0.25">
      <c r="A114" s="103" t="s">
        <v>130</v>
      </c>
      <c r="B114" s="115">
        <v>-4.3</v>
      </c>
      <c r="C114" s="115">
        <v>-15.7</v>
      </c>
      <c r="D114" s="115">
        <v>-17.399999999999999</v>
      </c>
      <c r="E114" s="115"/>
      <c r="F114" s="115">
        <v>-22</v>
      </c>
      <c r="G114" s="115">
        <v>-19</v>
      </c>
      <c r="H114" s="115">
        <v>-17.7</v>
      </c>
      <c r="I114" s="115">
        <v>-10</v>
      </c>
      <c r="J114" s="115">
        <v>-9.5</v>
      </c>
      <c r="K114" s="115">
        <v>8.4</v>
      </c>
      <c r="L114" s="115">
        <v>8.4</v>
      </c>
      <c r="M114" s="115">
        <v>-12.9</v>
      </c>
      <c r="N114" s="115">
        <v>-0.2</v>
      </c>
      <c r="O114" s="115">
        <v>12.9</v>
      </c>
      <c r="P114" s="115">
        <v>13.8</v>
      </c>
      <c r="Q114" s="115">
        <v>10.5</v>
      </c>
      <c r="R114" s="115">
        <v>4.4000000000000004</v>
      </c>
      <c r="S114" s="115">
        <v>4.9000000000000004</v>
      </c>
      <c r="T114" s="115">
        <v>22.1</v>
      </c>
      <c r="U114" s="115">
        <v>3.9</v>
      </c>
      <c r="V114" s="115">
        <v>-4.5</v>
      </c>
      <c r="W114" s="115">
        <v>-1.6</v>
      </c>
      <c r="X114" s="115">
        <v>-3.9</v>
      </c>
      <c r="Y114" s="115">
        <v>-4.3</v>
      </c>
      <c r="Z114" s="115">
        <v>-1.6</v>
      </c>
      <c r="AA114" s="115">
        <v>-1.6</v>
      </c>
      <c r="AB114" s="115">
        <v>29.9</v>
      </c>
      <c r="AC114" s="115">
        <v>29.9</v>
      </c>
      <c r="AD114" s="115">
        <v>16.600000000000001</v>
      </c>
      <c r="AE114" s="115"/>
      <c r="AF114" s="115"/>
      <c r="AG114" s="114">
        <v>60</v>
      </c>
      <c r="AH114" s="47">
        <f t="shared" si="11"/>
        <v>29.9</v>
      </c>
      <c r="AI114" s="48">
        <f t="shared" si="12"/>
        <v>-22</v>
      </c>
    </row>
    <row r="115" spans="1:37" x14ac:dyDescent="0.25">
      <c r="A115" s="116" t="s">
        <v>131</v>
      </c>
      <c r="B115" s="117">
        <v>21.2</v>
      </c>
      <c r="C115" s="117">
        <v>21.8</v>
      </c>
      <c r="D115" s="117">
        <v>21.8</v>
      </c>
      <c r="E115" s="117"/>
      <c r="F115" s="117">
        <v>21.7</v>
      </c>
      <c r="G115" s="117">
        <v>21.7</v>
      </c>
      <c r="H115" s="117">
        <v>21.2</v>
      </c>
      <c r="I115" s="117">
        <v>20.399999999999999</v>
      </c>
      <c r="J115" s="117">
        <v>20.8</v>
      </c>
      <c r="K115" s="117">
        <v>64.2</v>
      </c>
      <c r="L115" s="117">
        <v>64.2</v>
      </c>
      <c r="M115" s="117">
        <v>93.7</v>
      </c>
      <c r="N115" s="117">
        <v>100.5</v>
      </c>
      <c r="O115" s="117">
        <v>101.2</v>
      </c>
      <c r="P115" s="117">
        <v>88.6</v>
      </c>
      <c r="Q115" s="117">
        <v>87.5</v>
      </c>
      <c r="R115" s="117">
        <v>91.9</v>
      </c>
      <c r="S115" s="117">
        <v>89.3</v>
      </c>
      <c r="T115" s="117">
        <v>82.2</v>
      </c>
      <c r="U115" s="117">
        <v>80.400000000000006</v>
      </c>
      <c r="V115" s="117">
        <v>69.5</v>
      </c>
      <c r="W115" s="117">
        <v>84.5</v>
      </c>
      <c r="X115" s="117">
        <v>72.2</v>
      </c>
      <c r="Y115" s="117">
        <v>74.8</v>
      </c>
      <c r="Z115" s="117">
        <v>83.2</v>
      </c>
      <c r="AA115" s="117">
        <v>83.2</v>
      </c>
      <c r="AB115" s="117">
        <v>68.099999999999994</v>
      </c>
      <c r="AC115" s="117">
        <v>68.099999999999994</v>
      </c>
      <c r="AD115" s="117">
        <v>55.4</v>
      </c>
      <c r="AE115" s="117"/>
      <c r="AF115" s="117"/>
      <c r="AG115" s="118">
        <v>120</v>
      </c>
      <c r="AH115" s="47">
        <f t="shared" si="11"/>
        <v>101.2</v>
      </c>
      <c r="AI115" s="48">
        <f t="shared" si="12"/>
        <v>20.399999999999999</v>
      </c>
    </row>
    <row r="116" spans="1:37" x14ac:dyDescent="0.25">
      <c r="A116" s="116" t="s">
        <v>132</v>
      </c>
      <c r="B116" s="117">
        <v>66.599999999999994</v>
      </c>
      <c r="C116" s="117">
        <v>56.7</v>
      </c>
      <c r="D116" s="117">
        <v>47.6</v>
      </c>
      <c r="E116" s="117"/>
      <c r="F116" s="117">
        <v>51.3</v>
      </c>
      <c r="G116" s="117">
        <v>51.3</v>
      </c>
      <c r="H116" s="117">
        <v>48.6</v>
      </c>
      <c r="I116" s="117">
        <v>44</v>
      </c>
      <c r="J116" s="117">
        <v>55.6</v>
      </c>
      <c r="K116" s="117">
        <v>47.2</v>
      </c>
      <c r="L116" s="117">
        <v>47.2</v>
      </c>
      <c r="M116" s="117">
        <v>85.5</v>
      </c>
      <c r="N116" s="117">
        <v>88.8</v>
      </c>
      <c r="O116" s="117">
        <v>89.5</v>
      </c>
      <c r="P116" s="117">
        <v>73.900000000000006</v>
      </c>
      <c r="Q116" s="117">
        <v>75.900000000000006</v>
      </c>
      <c r="R116" s="117">
        <v>83.5</v>
      </c>
      <c r="S116" s="117">
        <v>75.400000000000006</v>
      </c>
      <c r="T116" s="117">
        <v>64.099999999999994</v>
      </c>
      <c r="U116" s="117">
        <v>76.900000000000006</v>
      </c>
      <c r="V116" s="117">
        <v>73.2</v>
      </c>
      <c r="W116" s="117">
        <v>17.600000000000001</v>
      </c>
      <c r="X116" s="117">
        <v>51.5</v>
      </c>
      <c r="Y116" s="117">
        <v>52.8</v>
      </c>
      <c r="Z116" s="117">
        <v>61</v>
      </c>
      <c r="AA116" s="117">
        <v>61</v>
      </c>
      <c r="AB116" s="117">
        <v>37.299999999999997</v>
      </c>
      <c r="AC116" s="117">
        <v>37.299999999999997</v>
      </c>
      <c r="AD116" s="117">
        <v>36</v>
      </c>
      <c r="AE116" s="117"/>
      <c r="AF116" s="117"/>
      <c r="AG116" s="118"/>
      <c r="AH116" s="47">
        <f t="shared" si="11"/>
        <v>89.5</v>
      </c>
      <c r="AI116" s="48">
        <f t="shared" si="12"/>
        <v>17.600000000000001</v>
      </c>
    </row>
    <row r="117" spans="1:37" x14ac:dyDescent="0.25">
      <c r="A117" s="116" t="s">
        <v>133</v>
      </c>
      <c r="B117" s="117">
        <v>12.2</v>
      </c>
      <c r="C117" s="117">
        <v>2.1</v>
      </c>
      <c r="D117" s="117">
        <v>1.3</v>
      </c>
      <c r="E117" s="117"/>
      <c r="F117" s="117">
        <v>-9.6999999999999993</v>
      </c>
      <c r="G117" s="117">
        <v>-8.5</v>
      </c>
      <c r="H117" s="117">
        <v>0.3</v>
      </c>
      <c r="I117" s="117">
        <v>-20.9</v>
      </c>
      <c r="J117" s="117">
        <v>-15</v>
      </c>
      <c r="K117" s="117">
        <v>2.2999999999999998</v>
      </c>
      <c r="L117" s="117">
        <v>2.2999999999999998</v>
      </c>
      <c r="M117" s="117">
        <v>13</v>
      </c>
      <c r="N117" s="117">
        <v>26.3</v>
      </c>
      <c r="O117" s="117">
        <v>34.4</v>
      </c>
      <c r="P117" s="117">
        <v>14.3</v>
      </c>
      <c r="Q117" s="117">
        <v>24.7</v>
      </c>
      <c r="R117" s="117">
        <v>25.3</v>
      </c>
      <c r="S117" s="117">
        <v>3.7</v>
      </c>
      <c r="T117" s="117">
        <v>3.2</v>
      </c>
      <c r="U117" s="117">
        <v>21.4</v>
      </c>
      <c r="V117" s="117">
        <v>6.8</v>
      </c>
      <c r="W117" s="117">
        <v>17.600000000000001</v>
      </c>
      <c r="X117" s="117">
        <v>17.399999999999999</v>
      </c>
      <c r="Y117" s="117">
        <v>6.7</v>
      </c>
      <c r="Z117" s="117">
        <v>14.8</v>
      </c>
      <c r="AA117" s="117">
        <v>14.8</v>
      </c>
      <c r="AB117" s="117">
        <v>28.5</v>
      </c>
      <c r="AC117" s="117">
        <v>28.5</v>
      </c>
      <c r="AD117" s="117">
        <v>30</v>
      </c>
      <c r="AE117" s="117"/>
      <c r="AF117" s="117"/>
      <c r="AG117" s="119"/>
      <c r="AH117" s="47">
        <f t="shared" si="11"/>
        <v>34.4</v>
      </c>
      <c r="AI117" s="48">
        <f t="shared" si="12"/>
        <v>-20.9</v>
      </c>
    </row>
    <row r="118" spans="1:37" x14ac:dyDescent="0.25">
      <c r="A118" s="120" t="s">
        <v>134</v>
      </c>
      <c r="B118" s="106">
        <v>54.4</v>
      </c>
      <c r="C118" s="106">
        <v>56.4</v>
      </c>
      <c r="D118" s="106">
        <v>57.3</v>
      </c>
      <c r="E118" s="106"/>
      <c r="F118" s="106">
        <v>60.4</v>
      </c>
      <c r="G118" s="106">
        <v>52</v>
      </c>
      <c r="H118" s="106">
        <v>45</v>
      </c>
      <c r="I118" s="106">
        <v>44.4</v>
      </c>
      <c r="J118" s="106">
        <v>38.5</v>
      </c>
      <c r="K118" s="106">
        <v>28.7</v>
      </c>
      <c r="L118" s="106">
        <v>28.7</v>
      </c>
      <c r="M118" s="106">
        <v>66.900000000000006</v>
      </c>
      <c r="N118" s="106">
        <v>51</v>
      </c>
      <c r="O118" s="106">
        <v>26.5</v>
      </c>
      <c r="P118" s="106">
        <v>21.7</v>
      </c>
      <c r="Q118" s="106">
        <v>29.8</v>
      </c>
      <c r="R118" s="106">
        <v>25.7</v>
      </c>
      <c r="S118" s="106">
        <v>25.7</v>
      </c>
      <c r="T118" s="106">
        <v>19.3</v>
      </c>
      <c r="U118" s="106">
        <v>18.600000000000001</v>
      </c>
      <c r="V118" s="106">
        <v>16.399999999999999</v>
      </c>
      <c r="W118" s="106">
        <v>9.3000000000000007</v>
      </c>
      <c r="X118" s="106">
        <v>13.2</v>
      </c>
      <c r="Y118" s="106">
        <v>9.6999999999999993</v>
      </c>
      <c r="Z118" s="106">
        <v>7.4</v>
      </c>
      <c r="AA118" s="106">
        <v>7.4</v>
      </c>
      <c r="AB118" s="106">
        <v>11.6</v>
      </c>
      <c r="AC118" s="106">
        <v>11.6</v>
      </c>
      <c r="AD118" s="106">
        <v>26.1</v>
      </c>
      <c r="AE118" s="106"/>
      <c r="AF118" s="106"/>
      <c r="AG118" s="119"/>
      <c r="AH118" s="47">
        <f t="shared" si="11"/>
        <v>66.900000000000006</v>
      </c>
      <c r="AI118" s="48">
        <f t="shared" si="12"/>
        <v>7.4</v>
      </c>
    </row>
    <row r="119" spans="1:37" x14ac:dyDescent="0.25">
      <c r="A119" s="121" t="s">
        <v>135</v>
      </c>
      <c r="B119" s="106">
        <v>88.6</v>
      </c>
      <c r="C119" s="106">
        <v>86</v>
      </c>
      <c r="D119" s="106">
        <v>95.8</v>
      </c>
      <c r="E119" s="106"/>
      <c r="F119" s="106">
        <v>90</v>
      </c>
      <c r="G119" s="106">
        <v>88</v>
      </c>
      <c r="H119" s="106">
        <v>86.5</v>
      </c>
      <c r="I119" s="106">
        <v>76.2</v>
      </c>
      <c r="J119" s="106">
        <v>63.7</v>
      </c>
      <c r="K119" s="106">
        <v>88.7</v>
      </c>
      <c r="L119" s="106">
        <v>88.7</v>
      </c>
      <c r="M119" s="106">
        <v>91.2</v>
      </c>
      <c r="N119" s="106">
        <v>83.8</v>
      </c>
      <c r="O119" s="106">
        <v>81.3</v>
      </c>
      <c r="P119" s="106">
        <v>87.2</v>
      </c>
      <c r="Q119" s="106">
        <v>86.3</v>
      </c>
      <c r="R119" s="106">
        <v>90.3</v>
      </c>
      <c r="S119" s="106">
        <v>90.3</v>
      </c>
      <c r="T119" s="106">
        <v>0</v>
      </c>
      <c r="U119" s="106">
        <v>0</v>
      </c>
      <c r="V119" s="106">
        <v>0</v>
      </c>
      <c r="W119" s="106">
        <v>0</v>
      </c>
      <c r="X119" s="106">
        <v>58.4</v>
      </c>
      <c r="Y119" s="106">
        <v>58.3</v>
      </c>
      <c r="Z119" s="106">
        <v>52.5</v>
      </c>
      <c r="AA119" s="106">
        <v>52.5</v>
      </c>
      <c r="AB119" s="106">
        <v>70</v>
      </c>
      <c r="AC119" s="106">
        <v>70</v>
      </c>
      <c r="AD119" s="106">
        <v>78</v>
      </c>
      <c r="AE119" s="106"/>
      <c r="AF119" s="106"/>
      <c r="AG119" s="119"/>
      <c r="AH119" s="47">
        <f t="shared" si="11"/>
        <v>95.8</v>
      </c>
      <c r="AI119" s="48">
        <f t="shared" si="12"/>
        <v>0</v>
      </c>
    </row>
    <row r="120" spans="1:37" ht="15.75" thickBot="1" x14ac:dyDescent="0.3">
      <c r="A120" s="120" t="s">
        <v>136</v>
      </c>
      <c r="B120" s="106">
        <v>53.3</v>
      </c>
      <c r="C120" s="106">
        <v>54.4</v>
      </c>
      <c r="D120" s="106">
        <v>35.9</v>
      </c>
      <c r="E120" s="106"/>
      <c r="F120" s="106">
        <v>35</v>
      </c>
      <c r="G120" s="106">
        <v>32</v>
      </c>
      <c r="H120" s="106">
        <v>31</v>
      </c>
      <c r="I120" s="106">
        <v>35</v>
      </c>
      <c r="J120" s="106">
        <v>39.299999999999997</v>
      </c>
      <c r="K120" s="106">
        <v>53.7</v>
      </c>
      <c r="L120" s="106">
        <v>53.7</v>
      </c>
      <c r="M120" s="106">
        <v>29.1</v>
      </c>
      <c r="N120" s="106">
        <v>45.7</v>
      </c>
      <c r="O120" s="106">
        <v>56.1</v>
      </c>
      <c r="P120" s="106">
        <v>59</v>
      </c>
      <c r="Q120" s="106">
        <v>60.9</v>
      </c>
      <c r="R120" s="106">
        <v>58.4</v>
      </c>
      <c r="S120" s="106">
        <v>58.4</v>
      </c>
      <c r="T120" s="106">
        <v>76.099999999999994</v>
      </c>
      <c r="U120" s="106">
        <v>72</v>
      </c>
      <c r="V120" s="106">
        <v>58.3</v>
      </c>
      <c r="W120" s="106">
        <v>63.2</v>
      </c>
      <c r="X120" s="106">
        <v>60.9</v>
      </c>
      <c r="Y120" s="106">
        <v>63.4</v>
      </c>
      <c r="Z120" s="106">
        <v>62.2</v>
      </c>
      <c r="AA120" s="106">
        <v>62.2</v>
      </c>
      <c r="AB120" s="106">
        <v>81.400000000000006</v>
      </c>
      <c r="AC120" s="106">
        <v>81.400000000000006</v>
      </c>
      <c r="AD120" s="106">
        <v>60.8</v>
      </c>
      <c r="AE120" s="106"/>
      <c r="AF120" s="106"/>
      <c r="AG120" s="119"/>
      <c r="AH120" s="47">
        <f t="shared" si="11"/>
        <v>81.400000000000006</v>
      </c>
      <c r="AI120" s="48">
        <f t="shared" si="12"/>
        <v>29.1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21">SUM(B122:B226)</f>
        <v>0</v>
      </c>
      <c r="C227" s="137">
        <f t="shared" si="21"/>
        <v>0</v>
      </c>
      <c r="D227" s="137">
        <f t="shared" si="21"/>
        <v>0</v>
      </c>
      <c r="E227" s="137">
        <f t="shared" si="21"/>
        <v>0</v>
      </c>
      <c r="F227" s="137">
        <f t="shared" si="21"/>
        <v>0</v>
      </c>
      <c r="G227" s="137">
        <f t="shared" si="21"/>
        <v>0</v>
      </c>
      <c r="H227" s="137">
        <f t="shared" si="21"/>
        <v>0</v>
      </c>
      <c r="I227" s="137">
        <f t="shared" si="21"/>
        <v>0</v>
      </c>
      <c r="J227" s="137">
        <f t="shared" si="21"/>
        <v>0</v>
      </c>
      <c r="K227" s="137">
        <f t="shared" si="21"/>
        <v>0</v>
      </c>
      <c r="L227" s="137">
        <f t="shared" si="21"/>
        <v>0</v>
      </c>
      <c r="M227" s="137">
        <f t="shared" si="21"/>
        <v>0</v>
      </c>
      <c r="N227" s="137">
        <f t="shared" si="21"/>
        <v>0</v>
      </c>
      <c r="O227" s="137">
        <f t="shared" si="21"/>
        <v>0</v>
      </c>
      <c r="P227" s="137">
        <f t="shared" si="21"/>
        <v>0</v>
      </c>
      <c r="Q227" s="137">
        <f t="shared" si="21"/>
        <v>0</v>
      </c>
      <c r="R227" s="137">
        <f t="shared" si="21"/>
        <v>0</v>
      </c>
      <c r="S227" s="137">
        <f t="shared" si="21"/>
        <v>0</v>
      </c>
      <c r="T227" s="137">
        <f t="shared" si="21"/>
        <v>0</v>
      </c>
      <c r="U227" s="137">
        <f t="shared" si="21"/>
        <v>0</v>
      </c>
      <c r="V227" s="137">
        <f t="shared" si="21"/>
        <v>0</v>
      </c>
      <c r="W227" s="137">
        <f t="shared" si="21"/>
        <v>0</v>
      </c>
      <c r="X227" s="137">
        <f t="shared" si="21"/>
        <v>0</v>
      </c>
      <c r="Y227" s="137">
        <f t="shared" si="21"/>
        <v>0</v>
      </c>
      <c r="Z227" s="137">
        <f t="shared" si="21"/>
        <v>0</v>
      </c>
      <c r="AA227" s="137">
        <f t="shared" si="21"/>
        <v>0</v>
      </c>
      <c r="AB227" s="137">
        <f t="shared" si="21"/>
        <v>0</v>
      </c>
      <c r="AC227" s="137">
        <f t="shared" si="21"/>
        <v>0</v>
      </c>
      <c r="AD227" s="137">
        <f t="shared" si="21"/>
        <v>0</v>
      </c>
      <c r="AE227" s="137">
        <f t="shared" si="21"/>
        <v>0</v>
      </c>
      <c r="AF227" s="138">
        <f t="shared" si="21"/>
        <v>0</v>
      </c>
      <c r="AG227" s="139">
        <f t="shared" si="21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22">AF229</f>
        <v>0</v>
      </c>
      <c r="C229" s="141">
        <v>0.3</v>
      </c>
      <c r="D229" s="141">
        <f t="shared" ref="D229:P234" si="23">C229</f>
        <v>0.3</v>
      </c>
      <c r="E229" s="141">
        <f t="shared" si="23"/>
        <v>0.3</v>
      </c>
      <c r="F229" s="141">
        <f t="shared" si="23"/>
        <v>0.3</v>
      </c>
      <c r="G229" s="141">
        <f t="shared" si="23"/>
        <v>0.3</v>
      </c>
      <c r="H229" s="141">
        <f t="shared" si="23"/>
        <v>0.3</v>
      </c>
      <c r="I229" s="141">
        <f t="shared" si="23"/>
        <v>0.3</v>
      </c>
      <c r="J229" s="141">
        <f t="shared" si="23"/>
        <v>0.3</v>
      </c>
      <c r="K229" s="141">
        <f t="shared" si="23"/>
        <v>0.3</v>
      </c>
      <c r="L229" s="141">
        <f t="shared" si="23"/>
        <v>0.3</v>
      </c>
      <c r="M229" s="141">
        <f t="shared" si="23"/>
        <v>0.3</v>
      </c>
      <c r="N229" s="141">
        <f t="shared" si="23"/>
        <v>0.3</v>
      </c>
      <c r="O229" s="141">
        <f t="shared" si="23"/>
        <v>0.3</v>
      </c>
      <c r="P229" s="141">
        <f t="shared" si="23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22"/>
        <v>0</v>
      </c>
      <c r="C230" s="129">
        <v>0.4</v>
      </c>
      <c r="D230" s="129">
        <f t="shared" si="23"/>
        <v>0.4</v>
      </c>
      <c r="E230" s="129">
        <f t="shared" si="23"/>
        <v>0.4</v>
      </c>
      <c r="F230" s="129">
        <f t="shared" si="23"/>
        <v>0.4</v>
      </c>
      <c r="G230" s="129">
        <f t="shared" si="23"/>
        <v>0.4</v>
      </c>
      <c r="H230" s="129">
        <f t="shared" si="23"/>
        <v>0.4</v>
      </c>
      <c r="I230" s="129">
        <f t="shared" si="23"/>
        <v>0.4</v>
      </c>
      <c r="J230" s="129">
        <f t="shared" si="23"/>
        <v>0.4</v>
      </c>
      <c r="K230" s="129">
        <f t="shared" si="23"/>
        <v>0.4</v>
      </c>
      <c r="L230" s="129">
        <f t="shared" si="23"/>
        <v>0.4</v>
      </c>
      <c r="M230" s="129">
        <f t="shared" si="23"/>
        <v>0.4</v>
      </c>
      <c r="N230" s="129">
        <f t="shared" si="23"/>
        <v>0.4</v>
      </c>
      <c r="O230" s="129">
        <f t="shared" si="23"/>
        <v>0.4</v>
      </c>
      <c r="P230" s="129">
        <f t="shared" si="23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22"/>
        <v>0</v>
      </c>
      <c r="C231" s="129">
        <v>1.5</v>
      </c>
      <c r="D231" s="129">
        <f t="shared" si="23"/>
        <v>1.5</v>
      </c>
      <c r="E231" s="129">
        <f t="shared" si="23"/>
        <v>1.5</v>
      </c>
      <c r="F231" s="129">
        <f t="shared" si="23"/>
        <v>1.5</v>
      </c>
      <c r="G231" s="129">
        <f t="shared" si="23"/>
        <v>1.5</v>
      </c>
      <c r="H231" s="129">
        <f t="shared" si="23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23"/>
        <v>123.21900000000009</v>
      </c>
      <c r="K231" s="129">
        <f t="shared" ca="1" si="23"/>
        <v>123.21900000000009</v>
      </c>
      <c r="L231" s="129">
        <f t="shared" ca="1" si="23"/>
        <v>123.21900000000009</v>
      </c>
      <c r="M231" s="129">
        <f t="shared" ca="1" si="23"/>
        <v>119.19900000000008</v>
      </c>
      <c r="N231" s="129">
        <f t="shared" ca="1" si="23"/>
        <v>119.19900000000008</v>
      </c>
      <c r="O231" s="129">
        <f t="shared" ca="1" si="23"/>
        <v>119.19900000000008</v>
      </c>
      <c r="P231" s="129">
        <f t="shared" ca="1" si="23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22"/>
        <v>0</v>
      </c>
      <c r="C232" s="129">
        <v>0.3</v>
      </c>
      <c r="D232" s="129">
        <f t="shared" si="23"/>
        <v>0.3</v>
      </c>
      <c r="E232" s="129">
        <f t="shared" si="23"/>
        <v>0.3</v>
      </c>
      <c r="F232" s="129">
        <f t="shared" si="23"/>
        <v>0.3</v>
      </c>
      <c r="G232" s="129">
        <f t="shared" si="23"/>
        <v>0.3</v>
      </c>
      <c r="H232" s="129">
        <f t="shared" si="23"/>
        <v>0.3</v>
      </c>
      <c r="I232" s="129">
        <f t="shared" si="23"/>
        <v>0.3</v>
      </c>
      <c r="J232" s="129">
        <f t="shared" si="23"/>
        <v>0.3</v>
      </c>
      <c r="K232" s="129">
        <f t="shared" si="23"/>
        <v>0.3</v>
      </c>
      <c r="L232" s="129">
        <f t="shared" si="23"/>
        <v>0.3</v>
      </c>
      <c r="M232" s="129">
        <f t="shared" si="23"/>
        <v>0.3</v>
      </c>
      <c r="N232" s="129">
        <f t="shared" si="23"/>
        <v>0.3</v>
      </c>
      <c r="O232" s="129">
        <f t="shared" si="23"/>
        <v>0.3</v>
      </c>
      <c r="P232" s="129">
        <f t="shared" si="23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22"/>
        <v>0</v>
      </c>
      <c r="C233" s="129">
        <v>0.4</v>
      </c>
      <c r="D233" s="129">
        <f t="shared" si="23"/>
        <v>0.4</v>
      </c>
      <c r="E233" s="129">
        <f t="shared" si="23"/>
        <v>0.4</v>
      </c>
      <c r="F233" s="129">
        <f t="shared" si="23"/>
        <v>0.4</v>
      </c>
      <c r="G233" s="129">
        <f t="shared" si="23"/>
        <v>0.4</v>
      </c>
      <c r="H233" s="129">
        <f t="shared" si="23"/>
        <v>0.4</v>
      </c>
      <c r="I233" s="129">
        <f t="shared" si="23"/>
        <v>0.4</v>
      </c>
      <c r="J233" s="129">
        <f t="shared" si="23"/>
        <v>0.4</v>
      </c>
      <c r="K233" s="129">
        <f t="shared" si="23"/>
        <v>0.4</v>
      </c>
      <c r="L233" s="129">
        <f t="shared" si="23"/>
        <v>0.4</v>
      </c>
      <c r="M233" s="129">
        <f t="shared" si="23"/>
        <v>0.4</v>
      </c>
      <c r="N233" s="129">
        <f t="shared" si="23"/>
        <v>0.4</v>
      </c>
      <c r="O233" s="129">
        <f t="shared" si="23"/>
        <v>0.4</v>
      </c>
      <c r="P233" s="129">
        <f t="shared" si="23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22"/>
        <v>0</v>
      </c>
      <c r="C234" s="133">
        <v>0.64</v>
      </c>
      <c r="D234" s="133">
        <f t="shared" si="23"/>
        <v>0.64</v>
      </c>
      <c r="E234" s="133">
        <f t="shared" si="23"/>
        <v>0.64</v>
      </c>
      <c r="F234" s="133">
        <f t="shared" si="23"/>
        <v>0.64</v>
      </c>
      <c r="G234" s="133">
        <f t="shared" si="23"/>
        <v>0.64</v>
      </c>
      <c r="H234" s="133">
        <f t="shared" si="23"/>
        <v>0.64</v>
      </c>
      <c r="I234" s="133">
        <f t="shared" si="23"/>
        <v>0.64</v>
      </c>
      <c r="J234" s="133">
        <f t="shared" si="23"/>
        <v>0.64</v>
      </c>
      <c r="K234" s="133">
        <f t="shared" si="23"/>
        <v>0.64</v>
      </c>
      <c r="L234" s="133">
        <f t="shared" si="23"/>
        <v>0.64</v>
      </c>
      <c r="M234" s="133">
        <f t="shared" si="23"/>
        <v>0.64</v>
      </c>
      <c r="N234" s="133">
        <f t="shared" si="23"/>
        <v>0.64</v>
      </c>
      <c r="O234" s="133">
        <f t="shared" si="23"/>
        <v>0.64</v>
      </c>
      <c r="P234" s="133">
        <f t="shared" si="23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4">SUM(B229:B234)</f>
        <v>0</v>
      </c>
      <c r="C235" s="137">
        <f t="shared" si="24"/>
        <v>3.54</v>
      </c>
      <c r="D235" s="137">
        <f t="shared" si="24"/>
        <v>3.54</v>
      </c>
      <c r="E235" s="137">
        <f t="shared" si="24"/>
        <v>3.54</v>
      </c>
      <c r="F235" s="137">
        <f t="shared" si="24"/>
        <v>3.54</v>
      </c>
      <c r="G235" s="137">
        <f t="shared" si="24"/>
        <v>3.54</v>
      </c>
      <c r="H235" s="137">
        <f t="shared" si="24"/>
        <v>3.54</v>
      </c>
      <c r="I235" s="137">
        <f t="shared" ca="1" si="24"/>
        <v>121.23900000000009</v>
      </c>
      <c r="J235" s="137">
        <f t="shared" ca="1" si="24"/>
        <v>121.23900000000009</v>
      </c>
      <c r="K235" s="137">
        <f t="shared" ca="1" si="24"/>
        <v>121.23900000000009</v>
      </c>
      <c r="L235" s="137">
        <f t="shared" ca="1" si="24"/>
        <v>125.2590000000001</v>
      </c>
      <c r="M235" s="137">
        <f t="shared" ca="1" si="24"/>
        <v>121.23900000000009</v>
      </c>
      <c r="N235" s="137">
        <f t="shared" ca="1" si="24"/>
        <v>121.23900000000009</v>
      </c>
      <c r="O235" s="137">
        <f t="shared" ca="1" si="24"/>
        <v>121.23900000000009</v>
      </c>
      <c r="P235" s="137">
        <f t="shared" ca="1" si="24"/>
        <v>121.23900000000009</v>
      </c>
      <c r="Q235" s="137">
        <f t="shared" si="24"/>
        <v>0</v>
      </c>
      <c r="R235" s="137">
        <f t="shared" si="24"/>
        <v>0</v>
      </c>
      <c r="S235" s="137">
        <f t="shared" si="24"/>
        <v>0</v>
      </c>
      <c r="T235" s="137">
        <f t="shared" si="24"/>
        <v>0</v>
      </c>
      <c r="U235" s="137">
        <f t="shared" si="24"/>
        <v>0</v>
      </c>
      <c r="V235" s="137">
        <f t="shared" si="24"/>
        <v>0</v>
      </c>
      <c r="W235" s="137">
        <f t="shared" si="24"/>
        <v>0</v>
      </c>
      <c r="X235" s="137">
        <f t="shared" si="24"/>
        <v>0</v>
      </c>
      <c r="Y235" s="137">
        <f t="shared" si="24"/>
        <v>0</v>
      </c>
      <c r="Z235" s="137">
        <f t="shared" si="24"/>
        <v>0</v>
      </c>
      <c r="AA235" s="137">
        <f t="shared" si="24"/>
        <v>0</v>
      </c>
      <c r="AB235" s="137">
        <f t="shared" si="24"/>
        <v>0</v>
      </c>
      <c r="AC235" s="137">
        <f t="shared" si="24"/>
        <v>0</v>
      </c>
      <c r="AD235" s="137">
        <f t="shared" si="24"/>
        <v>0</v>
      </c>
      <c r="AE235" s="137">
        <f t="shared" si="24"/>
        <v>0</v>
      </c>
      <c r="AF235" s="137">
        <f t="shared" si="24"/>
        <v>0</v>
      </c>
      <c r="AG235" s="146">
        <f t="shared" si="24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2027.34</v>
      </c>
      <c r="C244" s="162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07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2080/03/7)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2080/03/7)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5">B91</f>
        <v>1984.44</v>
      </c>
      <c r="U249" s="171">
        <f t="shared" si="25"/>
        <v>1943.8400000000001</v>
      </c>
      <c r="V249" s="171">
        <f t="shared" si="25"/>
        <v>1887.04</v>
      </c>
      <c r="W249" s="171">
        <f t="shared" si="25"/>
        <v>843.44</v>
      </c>
      <c r="X249" s="171">
        <f t="shared" si="25"/>
        <v>1861.0400000000002</v>
      </c>
      <c r="Y249" s="171">
        <f t="shared" si="25"/>
        <v>1889.3400000000001</v>
      </c>
      <c r="Z249" s="171">
        <f t="shared" si="25"/>
        <v>1906.24</v>
      </c>
      <c r="AA249" s="171">
        <f t="shared" si="25"/>
        <v>1933.64</v>
      </c>
      <c r="AB249" s="171">
        <f t="shared" si="25"/>
        <v>1934.04</v>
      </c>
      <c r="AC249" s="171">
        <f t="shared" si="25"/>
        <v>2003.54</v>
      </c>
      <c r="AD249" s="171">
        <f t="shared" si="25"/>
        <v>2027.34</v>
      </c>
      <c r="AE249" s="171">
        <f t="shared" si="25"/>
        <v>1979.54</v>
      </c>
      <c r="AF249" s="171">
        <f t="shared" si="25"/>
        <v>1904.54</v>
      </c>
      <c r="AG249" s="171">
        <f t="shared" si="25"/>
        <v>1955.7399999999998</v>
      </c>
      <c r="AH249" s="171">
        <f t="shared" si="25"/>
        <v>2015.04</v>
      </c>
      <c r="AI249" s="171">
        <f t="shared" si="25"/>
        <v>2061.6400000000003</v>
      </c>
      <c r="AJ249" s="171">
        <f t="shared" si="25"/>
        <v>2047.7399999999998</v>
      </c>
      <c r="AK249" s="171">
        <f t="shared" si="25"/>
        <v>2030.84</v>
      </c>
      <c r="AL249" s="171">
        <f t="shared" si="25"/>
        <v>2023.54</v>
      </c>
      <c r="AM249" s="171">
        <f t="shared" si="25"/>
        <v>1992.74</v>
      </c>
      <c r="AN249" s="171">
        <f t="shared" si="25"/>
        <v>1914.9399999999998</v>
      </c>
      <c r="AO249" s="171">
        <f t="shared" si="25"/>
        <v>1914.9399999999998</v>
      </c>
      <c r="AP249" s="171">
        <f t="shared" si="25"/>
        <v>1957.8399999999997</v>
      </c>
      <c r="AQ249" s="171">
        <f t="shared" si="25"/>
        <v>1968.54</v>
      </c>
      <c r="AR249" s="171">
        <f t="shared" si="25"/>
        <v>1974.9399999999998</v>
      </c>
      <c r="AS249" s="171">
        <f t="shared" si="25"/>
        <v>1974.9399999999998</v>
      </c>
      <c r="AT249" s="171">
        <f t="shared" si="25"/>
        <v>2102.04</v>
      </c>
      <c r="AU249" s="171">
        <f t="shared" si="25"/>
        <v>2102.04</v>
      </c>
      <c r="AV249" s="171">
        <f t="shared" si="25"/>
        <v>2088.3399999999997</v>
      </c>
      <c r="AW249" s="171">
        <f t="shared" si="25"/>
        <v>3.54</v>
      </c>
      <c r="AX249" s="171">
        <f t="shared" si="25"/>
        <v>3.54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26">C234</f>
        <v>0.64</v>
      </c>
      <c r="C270" s="174">
        <f t="shared" si="26"/>
        <v>0.64</v>
      </c>
      <c r="D270" s="174">
        <f t="shared" si="26"/>
        <v>0.64</v>
      </c>
      <c r="E270" s="174">
        <f t="shared" si="26"/>
        <v>0.64</v>
      </c>
      <c r="F270" s="174">
        <f t="shared" si="26"/>
        <v>0.64</v>
      </c>
      <c r="G270" s="174">
        <f t="shared" si="26"/>
        <v>0.64</v>
      </c>
      <c r="H270" s="174">
        <f t="shared" si="26"/>
        <v>0.64</v>
      </c>
      <c r="I270" s="174">
        <f t="shared" si="26"/>
        <v>0.64</v>
      </c>
      <c r="J270" s="174">
        <f t="shared" si="26"/>
        <v>0.64</v>
      </c>
      <c r="K270" s="174">
        <f t="shared" si="26"/>
        <v>0.64</v>
      </c>
      <c r="L270" s="174">
        <f t="shared" si="26"/>
        <v>0.64</v>
      </c>
      <c r="M270" s="174">
        <f t="shared" si="26"/>
        <v>0.64</v>
      </c>
      <c r="N270" s="174">
        <f t="shared" si="26"/>
        <v>0.64</v>
      </c>
      <c r="O270" s="174">
        <f t="shared" si="26"/>
        <v>0.64</v>
      </c>
      <c r="P270" s="174">
        <f t="shared" si="26"/>
        <v>0</v>
      </c>
      <c r="Q270" s="174">
        <f t="shared" si="26"/>
        <v>0</v>
      </c>
      <c r="R270" s="174">
        <f t="shared" si="26"/>
        <v>0</v>
      </c>
      <c r="S270" s="174">
        <f t="shared" si="26"/>
        <v>0</v>
      </c>
      <c r="T270" s="174">
        <f t="shared" si="26"/>
        <v>0</v>
      </c>
      <c r="U270" s="174">
        <f t="shared" si="26"/>
        <v>0</v>
      </c>
      <c r="V270" s="174">
        <f t="shared" si="26"/>
        <v>0</v>
      </c>
      <c r="W270" s="174">
        <f t="shared" si="26"/>
        <v>0</v>
      </c>
      <c r="X270" s="174">
        <f t="shared" si="26"/>
        <v>0</v>
      </c>
      <c r="Y270" s="174">
        <f t="shared" si="26"/>
        <v>0</v>
      </c>
      <c r="Z270" s="174">
        <f t="shared" si="26"/>
        <v>0</v>
      </c>
      <c r="AA270" s="174">
        <f t="shared" si="26"/>
        <v>0</v>
      </c>
      <c r="AB270" s="174">
        <f t="shared" si="26"/>
        <v>0</v>
      </c>
      <c r="AC270" s="174">
        <f t="shared" si="26"/>
        <v>0</v>
      </c>
      <c r="AD270" s="174">
        <f t="shared" si="26"/>
        <v>0</v>
      </c>
      <c r="AE270" s="174">
        <f t="shared" si="26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27">IF(B238&lt;100,"",B238-520)</f>
        <v/>
      </c>
      <c r="C271" s="175" t="str">
        <f t="shared" si="27"/>
        <v/>
      </c>
      <c r="D271" s="175" t="str">
        <f t="shared" si="27"/>
        <v/>
      </c>
      <c r="E271" s="175" t="str">
        <f t="shared" si="27"/>
        <v/>
      </c>
      <c r="F271" s="175" t="str">
        <f t="shared" si="27"/>
        <v/>
      </c>
      <c r="G271" s="175" t="str">
        <f t="shared" si="27"/>
        <v/>
      </c>
      <c r="H271" s="175" t="str">
        <f t="shared" si="27"/>
        <v/>
      </c>
      <c r="I271" s="175" t="str">
        <f t="shared" si="27"/>
        <v/>
      </c>
      <c r="J271" s="175" t="str">
        <f t="shared" si="27"/>
        <v/>
      </c>
      <c r="K271" s="175" t="str">
        <f t="shared" si="27"/>
        <v/>
      </c>
      <c r="L271" s="175" t="str">
        <f t="shared" si="27"/>
        <v/>
      </c>
      <c r="M271" s="175" t="str">
        <f t="shared" si="27"/>
        <v/>
      </c>
      <c r="N271" s="175" t="str">
        <f t="shared" si="27"/>
        <v/>
      </c>
      <c r="O271" s="175" t="str">
        <f t="shared" si="27"/>
        <v/>
      </c>
      <c r="P271" s="175" t="str">
        <f t="shared" si="27"/>
        <v/>
      </c>
      <c r="Q271" s="175" t="str">
        <f t="shared" si="27"/>
        <v/>
      </c>
      <c r="R271" s="175" t="str">
        <f t="shared" si="27"/>
        <v/>
      </c>
      <c r="S271" s="175" t="str">
        <f t="shared" si="27"/>
        <v/>
      </c>
      <c r="T271" s="175" t="str">
        <f t="shared" si="27"/>
        <v/>
      </c>
      <c r="U271" s="175" t="str">
        <f t="shared" si="27"/>
        <v/>
      </c>
      <c r="V271" s="175" t="str">
        <f t="shared" si="27"/>
        <v/>
      </c>
      <c r="W271" s="175" t="str">
        <f t="shared" si="27"/>
        <v/>
      </c>
      <c r="X271" s="175" t="str">
        <f t="shared" si="27"/>
        <v/>
      </c>
      <c r="Y271" s="175" t="str">
        <f t="shared" si="27"/>
        <v/>
      </c>
      <c r="Z271" s="175" t="str">
        <f t="shared" si="27"/>
        <v/>
      </c>
      <c r="AA271" s="175" t="str">
        <f t="shared" si="27"/>
        <v/>
      </c>
      <c r="AB271" s="175" t="str">
        <f t="shared" si="27"/>
        <v/>
      </c>
      <c r="AC271" s="175" t="str">
        <f t="shared" si="27"/>
        <v/>
      </c>
      <c r="AD271" s="175" t="str">
        <f t="shared" si="27"/>
        <v/>
      </c>
      <c r="AE271" s="175" t="str">
        <f t="shared" si="27"/>
        <v/>
      </c>
      <c r="AF271" s="175" t="str">
        <f t="shared" si="27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28">IF(B239&lt;100,"",B239-620)</f>
        <v/>
      </c>
      <c r="C272" s="175" t="str">
        <f t="shared" si="28"/>
        <v/>
      </c>
      <c r="D272" s="175" t="str">
        <f t="shared" si="28"/>
        <v/>
      </c>
      <c r="E272" s="175" t="str">
        <f t="shared" si="28"/>
        <v/>
      </c>
      <c r="F272" s="175" t="str">
        <f t="shared" si="28"/>
        <v/>
      </c>
      <c r="G272" s="175" t="str">
        <f t="shared" si="28"/>
        <v/>
      </c>
      <c r="H272" s="175" t="str">
        <f t="shared" si="28"/>
        <v/>
      </c>
      <c r="I272" s="175" t="str">
        <f t="shared" si="28"/>
        <v/>
      </c>
      <c r="J272" s="175" t="str">
        <f t="shared" si="28"/>
        <v/>
      </c>
      <c r="K272" s="175" t="str">
        <f t="shared" si="28"/>
        <v/>
      </c>
      <c r="L272" s="175" t="str">
        <f t="shared" si="28"/>
        <v/>
      </c>
      <c r="M272" s="175" t="str">
        <f t="shared" si="28"/>
        <v/>
      </c>
      <c r="N272" s="175" t="str">
        <f t="shared" si="28"/>
        <v/>
      </c>
      <c r="O272" s="175" t="str">
        <f t="shared" si="28"/>
        <v/>
      </c>
      <c r="P272" s="175" t="str">
        <f t="shared" si="28"/>
        <v/>
      </c>
      <c r="Q272" s="175" t="str">
        <f t="shared" si="28"/>
        <v/>
      </c>
      <c r="R272" s="175" t="str">
        <f t="shared" si="28"/>
        <v/>
      </c>
      <c r="S272" s="175" t="str">
        <f t="shared" si="28"/>
        <v/>
      </c>
      <c r="T272" s="175" t="str">
        <f t="shared" si="28"/>
        <v/>
      </c>
      <c r="U272" s="175" t="str">
        <f t="shared" si="28"/>
        <v/>
      </c>
      <c r="V272" s="175" t="str">
        <f t="shared" si="28"/>
        <v/>
      </c>
      <c r="W272" s="175" t="str">
        <f t="shared" si="28"/>
        <v/>
      </c>
      <c r="X272" s="175" t="str">
        <f t="shared" si="28"/>
        <v/>
      </c>
      <c r="Y272" s="175" t="str">
        <f t="shared" si="28"/>
        <v/>
      </c>
      <c r="Z272" s="175" t="str">
        <f t="shared" si="28"/>
        <v/>
      </c>
      <c r="AA272" s="175" t="str">
        <f t="shared" si="28"/>
        <v/>
      </c>
      <c r="AB272" s="175" t="str">
        <f t="shared" si="28"/>
        <v/>
      </c>
      <c r="AC272" s="175" t="str">
        <f t="shared" si="28"/>
        <v/>
      </c>
      <c r="AD272" s="175" t="str">
        <f t="shared" si="28"/>
        <v/>
      </c>
      <c r="AE272" s="175" t="str">
        <f t="shared" si="28"/>
        <v/>
      </c>
      <c r="AF272" s="175" t="str">
        <f t="shared" si="28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29">IF(B240&lt;100,"",B240-330)</f>
        <v/>
      </c>
      <c r="C273" s="175" t="str">
        <f t="shared" si="29"/>
        <v/>
      </c>
      <c r="D273" s="175" t="str">
        <f t="shared" si="29"/>
        <v/>
      </c>
      <c r="E273" s="175" t="str">
        <f t="shared" si="29"/>
        <v/>
      </c>
      <c r="F273" s="175" t="str">
        <f t="shared" si="29"/>
        <v/>
      </c>
      <c r="G273" s="175" t="str">
        <f t="shared" si="29"/>
        <v/>
      </c>
      <c r="H273" s="175" t="str">
        <f t="shared" si="29"/>
        <v/>
      </c>
      <c r="I273" s="175" t="str">
        <f t="shared" si="29"/>
        <v/>
      </c>
      <c r="J273" s="175" t="str">
        <f t="shared" si="29"/>
        <v/>
      </c>
      <c r="K273" s="175" t="str">
        <f t="shared" si="29"/>
        <v/>
      </c>
      <c r="L273" s="175" t="str">
        <f t="shared" si="29"/>
        <v/>
      </c>
      <c r="M273" s="175" t="str">
        <f t="shared" si="29"/>
        <v/>
      </c>
      <c r="N273" s="175" t="str">
        <f t="shared" si="29"/>
        <v/>
      </c>
      <c r="O273" s="175" t="str">
        <f t="shared" si="29"/>
        <v/>
      </c>
      <c r="P273" s="175" t="str">
        <f t="shared" si="29"/>
        <v/>
      </c>
      <c r="Q273" s="175" t="str">
        <f t="shared" si="29"/>
        <v/>
      </c>
      <c r="R273" s="175" t="str">
        <f t="shared" si="29"/>
        <v/>
      </c>
      <c r="S273" s="175" t="str">
        <f t="shared" si="29"/>
        <v/>
      </c>
      <c r="T273" s="175" t="str">
        <f t="shared" si="29"/>
        <v/>
      </c>
      <c r="U273" s="175" t="str">
        <f t="shared" si="29"/>
        <v/>
      </c>
      <c r="V273" s="175" t="str">
        <f t="shared" si="29"/>
        <v/>
      </c>
      <c r="W273" s="175" t="str">
        <f t="shared" si="29"/>
        <v/>
      </c>
      <c r="X273" s="175" t="str">
        <f t="shared" si="29"/>
        <v/>
      </c>
      <c r="Y273" s="175" t="str">
        <f t="shared" si="29"/>
        <v/>
      </c>
      <c r="Z273" s="175" t="str">
        <f t="shared" si="29"/>
        <v/>
      </c>
      <c r="AA273" s="175" t="str">
        <f t="shared" si="29"/>
        <v/>
      </c>
      <c r="AB273" s="175" t="str">
        <f t="shared" si="29"/>
        <v/>
      </c>
      <c r="AC273" s="175" t="str">
        <f t="shared" si="29"/>
        <v/>
      </c>
      <c r="AD273" s="175" t="str">
        <f t="shared" si="29"/>
        <v/>
      </c>
      <c r="AE273" s="175" t="str">
        <f t="shared" si="29"/>
        <v/>
      </c>
      <c r="AF273" s="175" t="str">
        <f t="shared" si="29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30">IF(B241&lt;100,"",B241-1500)</f>
        <v/>
      </c>
      <c r="C274" s="175" t="str">
        <f t="shared" si="30"/>
        <v/>
      </c>
      <c r="D274" s="175" t="str">
        <f t="shared" si="30"/>
        <v/>
      </c>
      <c r="E274" s="175" t="str">
        <f t="shared" si="30"/>
        <v/>
      </c>
      <c r="F274" s="175" t="str">
        <f t="shared" si="30"/>
        <v/>
      </c>
      <c r="G274" s="175" t="str">
        <f t="shared" si="30"/>
        <v/>
      </c>
      <c r="H274" s="175" t="str">
        <f t="shared" si="30"/>
        <v/>
      </c>
      <c r="I274" s="175" t="str">
        <f t="shared" si="30"/>
        <v/>
      </c>
      <c r="J274" s="175" t="str">
        <f t="shared" si="30"/>
        <v/>
      </c>
      <c r="K274" s="175" t="str">
        <f t="shared" si="30"/>
        <v/>
      </c>
      <c r="L274" s="175" t="str">
        <f t="shared" si="30"/>
        <v/>
      </c>
      <c r="M274" s="175" t="str">
        <f t="shared" si="30"/>
        <v/>
      </c>
      <c r="N274" s="175" t="str">
        <f t="shared" si="30"/>
        <v/>
      </c>
      <c r="O274" s="175" t="str">
        <f t="shared" si="30"/>
        <v/>
      </c>
      <c r="P274" s="175" t="str">
        <f t="shared" si="30"/>
        <v/>
      </c>
      <c r="Q274" s="175" t="str">
        <f t="shared" si="30"/>
        <v/>
      </c>
      <c r="R274" s="175" t="str">
        <f t="shared" si="30"/>
        <v/>
      </c>
      <c r="S274" s="175" t="str">
        <f t="shared" si="30"/>
        <v/>
      </c>
      <c r="T274" s="175" t="str">
        <f t="shared" si="30"/>
        <v/>
      </c>
      <c r="U274" s="175" t="str">
        <f t="shared" si="30"/>
        <v/>
      </c>
      <c r="V274" s="175" t="str">
        <f t="shared" si="30"/>
        <v/>
      </c>
      <c r="W274" s="175" t="str">
        <f t="shared" si="30"/>
        <v/>
      </c>
      <c r="X274" s="175" t="str">
        <f t="shared" si="30"/>
        <v/>
      </c>
      <c r="Y274" s="175" t="str">
        <f t="shared" si="30"/>
        <v/>
      </c>
      <c r="Z274" s="175" t="str">
        <f t="shared" si="30"/>
        <v/>
      </c>
      <c r="AA274" s="175" t="str">
        <f t="shared" si="30"/>
        <v/>
      </c>
      <c r="AB274" s="175" t="str">
        <f t="shared" si="30"/>
        <v/>
      </c>
      <c r="AC274" s="175" t="str">
        <f t="shared" si="30"/>
        <v/>
      </c>
      <c r="AD274" s="175" t="str">
        <f t="shared" si="30"/>
        <v/>
      </c>
      <c r="AE274" s="175" t="str">
        <f t="shared" si="30"/>
        <v/>
      </c>
      <c r="AF274" s="175" t="str">
        <f t="shared" si="30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2182" priority="221">
      <formula>$AH11=0</formula>
    </cfRule>
  </conditionalFormatting>
  <conditionalFormatting sqref="B8 M8 S8 AB8">
    <cfRule type="expression" dxfId="2181" priority="473">
      <formula>AND(C$9&gt;=14/24,C$9&lt;20/24)</formula>
    </cfRule>
    <cfRule type="expression" dxfId="2180" priority="474">
      <formula>AND(C$9&gt;=8/24,C$9&lt;14/24)</formula>
    </cfRule>
    <cfRule type="expression" dxfId="2179" priority="475">
      <formula>C$9&lt;8/24</formula>
    </cfRule>
  </conditionalFormatting>
  <conditionalFormatting sqref="B30:D31">
    <cfRule type="expression" dxfId="2178" priority="17">
      <formula>B$9&gt;=20/24</formula>
    </cfRule>
    <cfRule type="expression" dxfId="2177" priority="16">
      <formula>B30&gt;$AG30</formula>
    </cfRule>
    <cfRule type="expression" dxfId="2176" priority="18">
      <formula>AND(B$9&gt;=14/24,B$9&lt;20/24)</formula>
    </cfRule>
    <cfRule type="expression" dxfId="2175" priority="19">
      <formula>AND(B$9&gt;=8/24,B$9&lt;14/24)</formula>
    </cfRule>
    <cfRule type="expression" dxfId="2174" priority="20">
      <formula>B$9&lt;8/24</formula>
    </cfRule>
  </conditionalFormatting>
  <conditionalFormatting sqref="B32:D45">
    <cfRule type="expression" dxfId="2173" priority="27">
      <formula>B$9&gt;=20/24</formula>
    </cfRule>
    <cfRule type="expression" dxfId="2172" priority="28">
      <formula>AND(B$9&gt;=14/24,B$9&lt;20/24)</formula>
    </cfRule>
    <cfRule type="expression" dxfId="2171" priority="29">
      <formula>AND(B$9&gt;=8/24,B$9&lt;14/24)</formula>
    </cfRule>
    <cfRule type="expression" dxfId="2170" priority="30">
      <formula>B$9&lt;8/24</formula>
    </cfRule>
  </conditionalFormatting>
  <conditionalFormatting sqref="B32:D46">
    <cfRule type="expression" dxfId="2169" priority="25">
      <formula>B32&gt;$AG32</formula>
    </cfRule>
  </conditionalFormatting>
  <conditionalFormatting sqref="B55:D66">
    <cfRule type="expression" dxfId="2168" priority="2">
      <formula>B$9&gt;=20/24</formula>
    </cfRule>
    <cfRule type="expression" dxfId="2167" priority="3">
      <formula>AND(B$9&gt;=14/24,B$9&lt;20/24)</formula>
    </cfRule>
    <cfRule type="expression" dxfId="2166" priority="4">
      <formula>AND(B$9&gt;=8/24,B$9&lt;14/24)</formula>
    </cfRule>
    <cfRule type="expression" dxfId="2165" priority="5">
      <formula>B$9&lt;8/24</formula>
    </cfRule>
  </conditionalFormatting>
  <conditionalFormatting sqref="B77:E83">
    <cfRule type="expression" dxfId="2164" priority="152">
      <formula>AND(B$9&gt;=14/24,B$9&lt;20/24)</formula>
    </cfRule>
    <cfRule type="expression" dxfId="2163" priority="151">
      <formula>B$9&gt;=20/24</formula>
    </cfRule>
    <cfRule type="expression" dxfId="2162" priority="153">
      <formula>AND(B$9&gt;=8/24,B$9&lt;14/24)</formula>
    </cfRule>
    <cfRule type="expression" dxfId="2161" priority="154">
      <formula>B$9&lt;8/24</formula>
    </cfRule>
  </conditionalFormatting>
  <conditionalFormatting sqref="B18:AD29">
    <cfRule type="expression" dxfId="2160" priority="33">
      <formula>AND(B$9&gt;=14/24,B$9&lt;20/24)</formula>
    </cfRule>
    <cfRule type="expression" dxfId="2159" priority="31">
      <formula>B18&gt;$AG18</formula>
    </cfRule>
    <cfRule type="expression" dxfId="2158" priority="32">
      <formula>B$9&gt;=20/24</formula>
    </cfRule>
    <cfRule type="expression" dxfId="2157" priority="34">
      <formula>AND(B$9&gt;=8/24,B$9&lt;14/24)</formula>
    </cfRule>
    <cfRule type="expression" dxfId="2156" priority="35">
      <formula>B$9&lt;8/24</formula>
    </cfRule>
  </conditionalFormatting>
  <conditionalFormatting sqref="B47:AD47">
    <cfRule type="expression" dxfId="2155" priority="131">
      <formula>B47&gt;$AG47</formula>
    </cfRule>
  </conditionalFormatting>
  <conditionalFormatting sqref="B9:AF17">
    <cfRule type="expression" dxfId="2154" priority="40">
      <formula>B$9&lt;8/24</formula>
    </cfRule>
    <cfRule type="expression" dxfId="2153" priority="37">
      <formula>B$9&gt;=20/24</formula>
    </cfRule>
    <cfRule type="expression" dxfId="2152" priority="38">
      <formula>AND(B$9&gt;=14/24,B$9&lt;20/24)</formula>
    </cfRule>
    <cfRule type="expression" dxfId="2151" priority="39">
      <formula>AND(B$9&gt;=8/24,B$9&lt;14/24)</formula>
    </cfRule>
  </conditionalFormatting>
  <conditionalFormatting sqref="B11:AF17">
    <cfRule type="expression" dxfId="2150" priority="36">
      <formula>B11&gt;$AG11</formula>
    </cfRule>
  </conditionalFormatting>
  <conditionalFormatting sqref="B46:AF46">
    <cfRule type="expression" dxfId="2149" priority="24">
      <formula>B$9&lt;8/24</formula>
    </cfRule>
    <cfRule type="expression" dxfId="2148" priority="23">
      <formula>AND(B$9&gt;=8/24,B$9&lt;14/24)</formula>
    </cfRule>
    <cfRule type="expression" dxfId="2147" priority="22">
      <formula>AND(B$9&gt;=14/24,B$9&lt;20/24)</formula>
    </cfRule>
    <cfRule type="expression" dxfId="2146" priority="21">
      <formula>B$9&gt;=20/24</formula>
    </cfRule>
  </conditionalFormatting>
  <conditionalFormatting sqref="B47:AF49">
    <cfRule type="expression" dxfId="2145" priority="44">
      <formula>AND(B$9&gt;=8/24,B$9&lt;14/24)</formula>
    </cfRule>
    <cfRule type="expression" dxfId="2144" priority="45">
      <formula>B$9&lt;8/24</formula>
    </cfRule>
    <cfRule type="expression" dxfId="2143" priority="42">
      <formula>B$9&gt;=20/24</formula>
    </cfRule>
    <cfRule type="expression" dxfId="2142" priority="43">
      <formula>AND(B$9&gt;=14/24,B$9&lt;20/24)</formula>
    </cfRule>
  </conditionalFormatting>
  <conditionalFormatting sqref="B48:AF53">
    <cfRule type="expression" dxfId="2141" priority="41">
      <formula>B48&gt;$AG48</formula>
    </cfRule>
  </conditionalFormatting>
  <conditionalFormatting sqref="B51:AF53">
    <cfRule type="expression" dxfId="2140" priority="171">
      <formula>AND(B$9&gt;=8/24,B$9&lt;14/24)</formula>
    </cfRule>
    <cfRule type="expression" dxfId="2139" priority="172">
      <formula>B$9&lt;8/24</formula>
    </cfRule>
    <cfRule type="expression" dxfId="2138" priority="169">
      <formula>B$9&gt;=20/24</formula>
    </cfRule>
    <cfRule type="expression" dxfId="2137" priority="170">
      <formula>AND(B$9&gt;=14/24,B$9&lt;20/24)</formula>
    </cfRule>
  </conditionalFormatting>
  <conditionalFormatting sqref="B55:AF66">
    <cfRule type="expression" dxfId="2136" priority="1">
      <formula>B55&gt;$AG55</formula>
    </cfRule>
  </conditionalFormatting>
  <conditionalFormatting sqref="B69:AF71 B73:D76">
    <cfRule type="expression" dxfId="2135" priority="190">
      <formula>B$9&lt;8/24</formula>
    </cfRule>
    <cfRule type="expression" dxfId="2134" priority="189">
      <formula>AND(B$9&gt;=8/24,B$9&lt;14/24)</formula>
    </cfRule>
    <cfRule type="expression" dxfId="2133" priority="187">
      <formula>B$9&gt;=20/24</formula>
    </cfRule>
    <cfRule type="expression" dxfId="2132" priority="188">
      <formula>AND(B$9&gt;=14/24,B$9&lt;20/24)</formula>
    </cfRule>
  </conditionalFormatting>
  <conditionalFormatting sqref="B69:AF71">
    <cfRule type="expression" dxfId="2131" priority="186">
      <formula>B69&gt;$AG69</formula>
    </cfRule>
  </conditionalFormatting>
  <conditionalFormatting sqref="B84:AF91">
    <cfRule type="expression" dxfId="2130" priority="145">
      <formula>B$9&lt;8/24</formula>
    </cfRule>
    <cfRule type="expression" dxfId="2129" priority="142">
      <formula>B$9&gt;=20/24</formula>
    </cfRule>
    <cfRule type="expression" dxfId="2128" priority="143">
      <formula>AND(B$9&gt;=14/24,B$9&lt;20/24)</formula>
    </cfRule>
    <cfRule type="expression" dxfId="2127" priority="144">
      <formula>AND(B$9&gt;=8/24,B$9&lt;14/24)</formula>
    </cfRule>
  </conditionalFormatting>
  <conditionalFormatting sqref="B111:AF120">
    <cfRule type="expression" dxfId="2126" priority="93">
      <formula>AND(B$9&gt;=14/24,B$9&lt;20/24)</formula>
    </cfRule>
    <cfRule type="expression" dxfId="2125" priority="92">
      <formula>B$9&gt;=20/24</formula>
    </cfRule>
    <cfRule type="expression" dxfId="2124" priority="95">
      <formula>B$9&lt;8/24</formula>
    </cfRule>
    <cfRule type="expression" dxfId="2123" priority="94">
      <formula>AND(B$9&gt;=8/24,B$9&lt;14/24)</formula>
    </cfRule>
  </conditionalFormatting>
  <conditionalFormatting sqref="B54:AG54">
    <cfRule type="expression" dxfId="2122" priority="138">
      <formula>B$9&gt;=20/24</formula>
    </cfRule>
    <cfRule type="expression" dxfId="2121" priority="139">
      <formula>AND(B$9&gt;=14/24,B$9&lt;20/24)</formula>
    </cfRule>
    <cfRule type="expression" dxfId="2120" priority="141">
      <formula>B$9&lt;8/24</formula>
    </cfRule>
    <cfRule type="expression" dxfId="2119" priority="140">
      <formula>AND(B$9&gt;=8/24,B$9&lt;14/24)</formula>
    </cfRule>
    <cfRule type="expression" dxfId="2118" priority="137">
      <formula>B54&gt;$AG54</formula>
    </cfRule>
  </conditionalFormatting>
  <conditionalFormatting sqref="B67:AG68 B72:AG72">
    <cfRule type="expression" dxfId="2117" priority="146">
      <formula>B67&gt;$AG67</formula>
    </cfRule>
  </conditionalFormatting>
  <conditionalFormatting sqref="B72:AG72 B93:AF109">
    <cfRule type="expression" dxfId="2116" priority="148">
      <formula>AND(B$9&gt;=14/24,B$9&lt;20/24)</formula>
    </cfRule>
    <cfRule type="expression" dxfId="2115" priority="150">
      <formula>B$9&lt;8/24</formula>
    </cfRule>
    <cfRule type="expression" dxfId="2114" priority="149">
      <formula>AND(B$9&gt;=8/24,B$9&lt;14/24)</formula>
    </cfRule>
    <cfRule type="expression" dxfId="2113" priority="147">
      <formula>B$9&gt;=20/24</formula>
    </cfRule>
  </conditionalFormatting>
  <conditionalFormatting sqref="E76:F76 F77:F78">
    <cfRule type="expression" dxfId="2112" priority="339">
      <formula>E$9&lt;8/24</formula>
    </cfRule>
    <cfRule type="expression" dxfId="2111" priority="338">
      <formula>AND(E$9&gt;=8/24,E$9&lt;14/24)</formula>
    </cfRule>
    <cfRule type="expression" dxfId="2110" priority="336">
      <formula>E$9&gt;=20/24</formula>
    </cfRule>
    <cfRule type="expression" dxfId="2109" priority="337">
      <formula>AND(E$9&gt;=14/24,E$9&lt;20/24)</formula>
    </cfRule>
  </conditionalFormatting>
  <conditionalFormatting sqref="E55:Q57">
    <cfRule type="expression" dxfId="2108" priority="406">
      <formula>AND(E$9&gt;=8/24,E$9&lt;14/24)</formula>
    </cfRule>
    <cfRule type="expression" dxfId="2107" priority="405">
      <formula>AND(E$9&gt;=14/24,E$9&lt;20/24)</formula>
    </cfRule>
    <cfRule type="expression" dxfId="2106" priority="404">
      <formula>E$9&gt;=20/24</formula>
    </cfRule>
    <cfRule type="expression" dxfId="2105" priority="407">
      <formula>E$9&lt;8/24</formula>
    </cfRule>
  </conditionalFormatting>
  <conditionalFormatting sqref="E30:AD45">
    <cfRule type="expression" dxfId="2104" priority="103">
      <formula>AND(E$9&gt;=14/24,E$9&lt;20/24)</formula>
    </cfRule>
    <cfRule type="expression" dxfId="2103" priority="104">
      <formula>AND(E$9&gt;=8/24,E$9&lt;14/24)</formula>
    </cfRule>
    <cfRule type="expression" dxfId="2102" priority="105">
      <formula>E$9&lt;8/24</formula>
    </cfRule>
    <cfRule type="expression" dxfId="2101" priority="102">
      <formula>E$9&gt;=20/24</formula>
    </cfRule>
  </conditionalFormatting>
  <conditionalFormatting sqref="E30:AD46">
    <cfRule type="expression" dxfId="2100" priority="100">
      <formula>E30&gt;$AG30</formula>
    </cfRule>
  </conditionalFormatting>
  <conditionalFormatting sqref="E60:AD66">
    <cfRule type="expression" dxfId="2099" priority="248">
      <formula>E$9&gt;=20/24</formula>
    </cfRule>
    <cfRule type="expression" dxfId="2098" priority="249">
      <formula>AND(E$9&gt;=14/24,E$9&lt;20/24)</formula>
    </cfRule>
    <cfRule type="expression" dxfId="2097" priority="250">
      <formula>AND(E$9&gt;=8/24,E$9&lt;14/24)</formula>
    </cfRule>
    <cfRule type="expression" dxfId="2096" priority="251">
      <formula>E$9&lt;8/24</formula>
    </cfRule>
  </conditionalFormatting>
  <conditionalFormatting sqref="E73:AF75">
    <cfRule type="expression" dxfId="2095" priority="74">
      <formula>E$9&gt;=20/24</formula>
    </cfRule>
    <cfRule type="expression" dxfId="2094" priority="75">
      <formula>AND(E$9&gt;=14/24,E$9&lt;20/24)</formula>
    </cfRule>
    <cfRule type="expression" dxfId="2093" priority="76">
      <formula>AND(E$9&gt;=8/24,E$9&lt;14/24)</formula>
    </cfRule>
    <cfRule type="expression" dxfId="2092" priority="77">
      <formula>E$9&lt;8/24</formula>
    </cfRule>
  </conditionalFormatting>
  <conditionalFormatting sqref="F79:AF83">
    <cfRule type="expression" dxfId="2091" priority="67">
      <formula>AND(F$9&gt;=14/24,F$9&lt;20/24)</formula>
    </cfRule>
    <cfRule type="expression" dxfId="2090" priority="68">
      <formula>AND(F$9&gt;=8/24,F$9&lt;14/24)</formula>
    </cfRule>
    <cfRule type="expression" dxfId="2089" priority="69">
      <formula>F$9&lt;8/24</formula>
    </cfRule>
    <cfRule type="expression" dxfId="2088" priority="66">
      <formula>F$9&gt;=20/24</formula>
    </cfRule>
  </conditionalFormatting>
  <conditionalFormatting sqref="G76:AF78">
    <cfRule type="expression" dxfId="2087" priority="70">
      <formula>G$9&gt;=20/24</formula>
    </cfRule>
    <cfRule type="expression" dxfId="2086" priority="71">
      <formula>AND(G$9&gt;=14/24,G$9&lt;20/24)</formula>
    </cfRule>
    <cfRule type="expression" dxfId="2085" priority="72">
      <formula>AND(G$9&gt;=8/24,G$9&lt;14/24)</formula>
    </cfRule>
    <cfRule type="expression" dxfId="2084" priority="73">
      <formula>G$9&lt;8/24</formula>
    </cfRule>
  </conditionalFormatting>
  <conditionalFormatting sqref="O3:P3">
    <cfRule type="iconSet" priority="470">
      <iconSet iconSet="3TrafficLights2" reverse="1">
        <cfvo type="percent" val="0"/>
        <cfvo type="num" val="1"/>
        <cfvo type="num" val="1"/>
      </iconSet>
    </cfRule>
  </conditionalFormatting>
  <conditionalFormatting sqref="R55:AD59">
    <cfRule type="expression" dxfId="2083" priority="422">
      <formula>R$9&gt;=20/24</formula>
    </cfRule>
    <cfRule type="expression" dxfId="2082" priority="423">
      <formula>AND(R$9&gt;=14/24,R$9&lt;20/24)</formula>
    </cfRule>
    <cfRule type="expression" dxfId="2081" priority="424">
      <formula>AND(R$9&gt;=8/24,R$9&lt;14/24)</formula>
    </cfRule>
    <cfRule type="expression" dxfId="2080" priority="425">
      <formula>R$9&lt;8/24</formula>
    </cfRule>
  </conditionalFormatting>
  <conditionalFormatting sqref="S8 AB8 B8 M8">
    <cfRule type="expression" dxfId="2079" priority="472">
      <formula>C$9&gt;=20/24</formula>
    </cfRule>
  </conditionalFormatting>
  <conditionalFormatting sqref="S8">
    <cfRule type="expression" dxfId="2078" priority="447">
      <formula>AND(U$9&gt;=8/24,U$9&lt;14/24)</formula>
    </cfRule>
    <cfRule type="expression" dxfId="2077" priority="446">
      <formula>AND(U$9&gt;=14/24,U$9&lt;20/24)</formula>
    </cfRule>
    <cfRule type="expression" dxfId="2076" priority="445">
      <formula>U$9&gt;=20/24</formula>
    </cfRule>
    <cfRule type="expression" dxfId="2075" priority="448">
      <formula>U$9&lt;8/24</formula>
    </cfRule>
  </conditionalFormatting>
  <conditionalFormatting sqref="T248">
    <cfRule type="expression" dxfId="2074" priority="488">
      <formula>AX$9&lt;8/24</formula>
    </cfRule>
    <cfRule type="expression" dxfId="2073" priority="487">
      <formula>AND(AX$9&gt;=8/24,AX$9&lt;14/24)</formula>
    </cfRule>
    <cfRule type="expression" dxfId="2072" priority="486">
      <formula>AND(AX$9&gt;=14/24,AX$9&lt;20/24)</formula>
    </cfRule>
    <cfRule type="expression" dxfId="2071" priority="485">
      <formula>AX$9&gt;=20/24</formula>
    </cfRule>
  </conditionalFormatting>
  <conditionalFormatting sqref="V3 AB3">
    <cfRule type="iconSet" priority="471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070" priority="442">
      <formula>AND(AD$9&gt;=14/24,AD$9&lt;20/24)</formula>
    </cfRule>
    <cfRule type="expression" dxfId="2069" priority="444">
      <formula>AD$9&lt;8/24</formula>
    </cfRule>
    <cfRule type="expression" dxfId="2068" priority="443">
      <formula>AND(AD$9&gt;=8/24,AD$9&lt;14/24)</formula>
    </cfRule>
    <cfRule type="expression" dxfId="2067" priority="441">
      <formula>AD$9&gt;=20/24</formula>
    </cfRule>
  </conditionalFormatting>
  <conditionalFormatting sqref="AE27 AE28:AF30 B227:AF227 D229:AF230 B229:B235 D231:H231 J231:AF231 D232:AF235 U248:AF248">
    <cfRule type="expression" dxfId="2066" priority="469">
      <formula>B$9&lt;8/24</formula>
    </cfRule>
    <cfRule type="expression" dxfId="2065" priority="468">
      <formula>AND(B$9&gt;=8/24,B$9&lt;14/24)</formula>
    </cfRule>
    <cfRule type="expression" dxfId="2064" priority="467">
      <formula>AND(B$9&gt;=14/24,B$9&lt;20/24)</formula>
    </cfRule>
    <cfRule type="expression" dxfId="2063" priority="466">
      <formula>B$9&gt;=20/24</formula>
    </cfRule>
  </conditionalFormatting>
  <conditionalFormatting sqref="AE27:AE28">
    <cfRule type="expression" dxfId="2062" priority="464">
      <formula>AE27&gt;$AG27</formula>
    </cfRule>
  </conditionalFormatting>
  <conditionalFormatting sqref="AE18:AF26">
    <cfRule type="expression" dxfId="2061" priority="234">
      <formula>AE$9&lt;8/24</formula>
    </cfRule>
    <cfRule type="expression" dxfId="2060" priority="233">
      <formula>AND(AE$9&gt;=8/24,AE$9&lt;14/24)</formula>
    </cfRule>
    <cfRule type="expression" dxfId="2059" priority="230">
      <formula>AE18&gt;$AG18</formula>
    </cfRule>
    <cfRule type="expression" dxfId="2058" priority="231">
      <formula>AE$9&gt;=20/24</formula>
    </cfRule>
    <cfRule type="expression" dxfId="2057" priority="232">
      <formula>AND(AE$9&gt;=14/24,AE$9&lt;20/24)</formula>
    </cfRule>
  </conditionalFormatting>
  <conditionalFormatting sqref="AE29:AF47">
    <cfRule type="expression" dxfId="2056" priority="155">
      <formula>AE29&gt;$AG29</formula>
    </cfRule>
  </conditionalFormatting>
  <conditionalFormatting sqref="AE31:AF45">
    <cfRule type="expression" dxfId="2055" priority="157">
      <formula>AND(AE$9&gt;=14/24,AE$9&lt;20/24)</formula>
    </cfRule>
    <cfRule type="expression" dxfId="2054" priority="159">
      <formula>AE$9&lt;8/24</formula>
    </cfRule>
    <cfRule type="expression" dxfId="2053" priority="156">
      <formula>AE$9&gt;=20/24</formula>
    </cfRule>
    <cfRule type="expression" dxfId="2052" priority="158">
      <formula>AND(AE$9&gt;=8/24,AE$9&lt;14/24)</formula>
    </cfRule>
  </conditionalFormatting>
  <conditionalFormatting sqref="AE55:AF66">
    <cfRule type="expression" dxfId="2051" priority="84">
      <formula>AND(AE$9&gt;=14/24,AE$9&lt;20/24)</formula>
    </cfRule>
    <cfRule type="expression" dxfId="2050" priority="86">
      <formula>AE$9&lt;8/24</formula>
    </cfRule>
    <cfRule type="expression" dxfId="2049" priority="85">
      <formula>AND(AE$9&gt;=8/24,AE$9&lt;14/24)</formula>
    </cfRule>
    <cfRule type="expression" dxfId="2048" priority="83">
      <formula>AE$9&gt;=20/24</formula>
    </cfRule>
  </conditionalFormatting>
  <conditionalFormatting sqref="AF28">
    <cfRule type="expression" dxfId="2047" priority="573">
      <formula>AF28&gt;$AG27</formula>
    </cfRule>
  </conditionalFormatting>
  <conditionalFormatting sqref="AG50">
    <cfRule type="expression" dxfId="2046" priority="398">
      <formula>AG50&gt;$AG50</formula>
    </cfRule>
  </conditionalFormatting>
  <conditionalFormatting sqref="AG89">
    <cfRule type="expression" dxfId="2045" priority="399">
      <formula>AG$9&gt;=20/24</formula>
    </cfRule>
    <cfRule type="expression" dxfId="2044" priority="402">
      <formula>AG$9&lt;8/24</formula>
    </cfRule>
    <cfRule type="expression" dxfId="2043" priority="401">
      <formula>AND(AG$9&gt;=8/24,AG$9&lt;14/24)</formula>
    </cfRule>
    <cfRule type="expression" dxfId="2042" priority="400">
      <formula>AND(AG$9&gt;=14/24,AG$9&lt;20/24)</formula>
    </cfRule>
  </conditionalFormatting>
  <conditionalFormatting sqref="AG248">
    <cfRule type="expression" dxfId="2041" priority="478">
      <formula>AND(B$9&gt;=14/24,B$9&lt;20/24)</formula>
    </cfRule>
    <cfRule type="expression" dxfId="2040" priority="479">
      <formula>AND(B$9&gt;=8/24,B$9&lt;14/24)</formula>
    </cfRule>
    <cfRule type="expression" dxfId="2039" priority="480">
      <formula>B$9&lt;8/24</formula>
    </cfRule>
    <cfRule type="expression" dxfId="2038" priority="477">
      <formula>B$9&gt;=20/24</formula>
    </cfRule>
  </conditionalFormatting>
  <conditionalFormatting sqref="AH248:AX248">
    <cfRule type="expression" dxfId="2037" priority="481">
      <formula>AG$9&gt;=20/24</formula>
    </cfRule>
    <cfRule type="expression" dxfId="2036" priority="482">
      <formula>AND(AG$9&gt;=14/24,AG$9&lt;20/24)</formula>
    </cfRule>
    <cfRule type="expression" dxfId="2035" priority="483">
      <formula>AND(AG$9&gt;=8/24,AG$9&lt;14/24)</formula>
    </cfRule>
    <cfRule type="expression" dxfId="2034" priority="484">
      <formula>AG$9&lt;8/24</formula>
    </cfRule>
  </conditionalFormatting>
  <conditionalFormatting sqref="AL4:AL6">
    <cfRule type="iconSet" priority="465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364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362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461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449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89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033" priority="490">
      <formula>AJ$9&gt;=20/24</formula>
    </cfRule>
    <cfRule type="expression" dxfId="2032" priority="491">
      <formula>AND(AJ$9&gt;=14/24,AJ$9&lt;20/24)</formula>
    </cfRule>
    <cfRule type="expression" dxfId="2031" priority="492">
      <formula>AND(AJ$9&gt;=8/24,AJ$9&lt;14/24)</formula>
    </cfRule>
    <cfRule type="expression" dxfId="2030" priority="493">
      <formula>AJ$9&lt;8/24</formula>
    </cfRule>
  </conditionalFormatting>
  <conditionalFormatting sqref="AL80:AN80 AL86:AN86">
    <cfRule type="expression" dxfId="2029" priority="290">
      <formula>AL$9&gt;=20/24</formula>
    </cfRule>
    <cfRule type="expression" dxfId="2028" priority="291">
      <formula>AND(AL$9&gt;=14/24,AL$9&lt;20/24)</formula>
    </cfRule>
    <cfRule type="expression" dxfId="2027" priority="292">
      <formula>AND(AL$9&gt;=8/24,AL$9&lt;14/24)</formula>
    </cfRule>
    <cfRule type="expression" dxfId="2026" priority="293">
      <formula>AL$9&lt;8/24</formula>
    </cfRule>
  </conditionalFormatting>
  <conditionalFormatting sqref="AN81:AN84">
    <cfRule type="expression" dxfId="2025" priority="289">
      <formula>AN$9&lt;8/24</formula>
    </cfRule>
    <cfRule type="expression" dxfId="2024" priority="288">
      <formula>AND(AN$9&gt;=8/24,AN$9&lt;14/24)</formula>
    </cfRule>
    <cfRule type="expression" dxfId="2023" priority="287">
      <formula>AND(AN$9&gt;=14/24,AN$9&lt;20/24)</formula>
    </cfRule>
    <cfRule type="expression" dxfId="2022" priority="286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F87E-5472-421A-BE94-FF2BDDF08D18}">
  <dimension ref="A1:CJ281"/>
  <sheetViews>
    <sheetView zoomScale="96" zoomScaleNormal="96" workbookViewId="0">
      <pane xSplit="1" ySplit="10" topLeftCell="B50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K78" sqref="K7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2080/03/8</v>
      </c>
      <c r="C4" s="187"/>
      <c r="D4" s="187"/>
      <c r="E4" s="188" t="str">
        <f ca="1">"2079/"&amp;"12/"&amp;INT(MID(CELL("filename",G6),FIND("]",CELL("filename",G6))+1,200))</f>
        <v>2079/12/8</v>
      </c>
      <c r="F4" s="188"/>
      <c r="G4" s="188"/>
      <c r="H4" s="188" t="str">
        <f ca="1">TEXT(E4,"dddd")</f>
        <v>Friday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86.3</v>
      </c>
      <c r="C5" s="30">
        <f t="shared" si="0"/>
        <v>36</v>
      </c>
      <c r="D5" s="30">
        <f t="shared" si="0"/>
        <v>34.5</v>
      </c>
      <c r="E5" s="30">
        <f t="shared" si="0"/>
        <v>7.7</v>
      </c>
      <c r="F5" s="30">
        <f t="shared" si="0"/>
        <v>42.7</v>
      </c>
      <c r="G5" s="30">
        <f t="shared" si="0"/>
        <v>1</v>
      </c>
      <c r="H5" s="30">
        <f t="shared" si="0"/>
        <v>5.5</v>
      </c>
      <c r="I5" s="30">
        <f t="shared" si="0"/>
        <v>53</v>
      </c>
      <c r="J5" s="30">
        <f t="shared" si="0"/>
        <v>0</v>
      </c>
      <c r="K5" s="30">
        <f t="shared" si="0"/>
        <v>0</v>
      </c>
      <c r="L5" s="30">
        <f t="shared" si="0"/>
        <v>11.4</v>
      </c>
      <c r="M5" s="30">
        <f t="shared" si="0"/>
        <v>42.5</v>
      </c>
      <c r="N5" s="30">
        <f t="shared" si="0"/>
        <v>46.5</v>
      </c>
      <c r="O5" s="30">
        <f t="shared" si="0"/>
        <v>65.3</v>
      </c>
      <c r="P5" s="30">
        <f t="shared" si="0"/>
        <v>72</v>
      </c>
      <c r="Q5" s="30">
        <f t="shared" si="0"/>
        <v>59.1</v>
      </c>
      <c r="R5" s="30">
        <f t="shared" si="0"/>
        <v>70.5</v>
      </c>
      <c r="S5" s="30">
        <f t="shared" si="0"/>
        <v>104.6</v>
      </c>
      <c r="T5" s="30">
        <f t="shared" si="0"/>
        <v>74</v>
      </c>
      <c r="U5" s="30">
        <f t="shared" si="0"/>
        <v>88</v>
      </c>
      <c r="V5" s="30">
        <f t="shared" si="0"/>
        <v>63.8</v>
      </c>
      <c r="W5" s="30">
        <f t="shared" si="0"/>
        <v>59.5</v>
      </c>
      <c r="X5" s="30">
        <f t="shared" si="0"/>
        <v>56</v>
      </c>
      <c r="Y5" s="30">
        <f t="shared" si="0"/>
        <v>56.6</v>
      </c>
      <c r="Z5" s="30">
        <f t="shared" si="0"/>
        <v>70.400000000000006</v>
      </c>
      <c r="AA5" s="30">
        <f t="shared" si="0"/>
        <v>76.5</v>
      </c>
      <c r="AB5" s="30">
        <f t="shared" si="0"/>
        <v>89</v>
      </c>
      <c r="AC5" s="30">
        <f t="shared" si="0"/>
        <v>80</v>
      </c>
      <c r="AD5" s="30">
        <f t="shared" si="0"/>
        <v>104.5</v>
      </c>
      <c r="AE5" s="30">
        <f t="shared" si="0"/>
        <v>99</v>
      </c>
      <c r="AF5" s="30">
        <f>B84</f>
        <v>92.2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1890MW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Load=1619</v>
      </c>
      <c r="B7" s="35">
        <f t="shared" ref="B7:AF7" si="1">B91</f>
        <v>1887.04</v>
      </c>
      <c r="C7" s="35">
        <f t="shared" si="1"/>
        <v>1799.34</v>
      </c>
      <c r="D7" s="35">
        <f t="shared" si="1"/>
        <v>1712.64</v>
      </c>
      <c r="E7" s="35">
        <f t="shared" si="1"/>
        <v>1704.64</v>
      </c>
      <c r="F7" s="35">
        <f t="shared" si="1"/>
        <v>1676.94</v>
      </c>
      <c r="G7" s="35">
        <f t="shared" si="1"/>
        <v>1619.24</v>
      </c>
      <c r="H7" s="35">
        <f t="shared" si="1"/>
        <v>1680.24</v>
      </c>
      <c r="I7" s="35">
        <f t="shared" si="1"/>
        <v>1675.5400000000002</v>
      </c>
      <c r="J7" s="35">
        <f t="shared" si="1"/>
        <v>1679.3400000000001</v>
      </c>
      <c r="K7" s="35">
        <f t="shared" si="1"/>
        <v>1764.14</v>
      </c>
      <c r="L7" s="35">
        <f t="shared" si="1"/>
        <v>1779.7400000000002</v>
      </c>
      <c r="M7" s="35">
        <f t="shared" si="1"/>
        <v>1889.94</v>
      </c>
      <c r="N7" s="35">
        <f>N91</f>
        <v>1804.6399999999999</v>
      </c>
      <c r="O7" s="35">
        <f t="shared" si="1"/>
        <v>1820.74</v>
      </c>
      <c r="P7" s="35">
        <f t="shared" si="1"/>
        <v>1896.54</v>
      </c>
      <c r="Q7" s="35">
        <f t="shared" si="1"/>
        <v>1901.2399999999998</v>
      </c>
      <c r="R7" s="35">
        <f t="shared" si="1"/>
        <v>1845.0399999999997</v>
      </c>
      <c r="S7" s="35">
        <f t="shared" si="1"/>
        <v>1861.9399999999998</v>
      </c>
      <c r="T7" s="35">
        <f t="shared" si="1"/>
        <v>1906.74</v>
      </c>
      <c r="U7" s="35">
        <f t="shared" si="1"/>
        <v>1948.3399999999997</v>
      </c>
      <c r="V7" s="35">
        <f t="shared" si="1"/>
        <v>1826.54</v>
      </c>
      <c r="W7" s="35">
        <f t="shared" si="1"/>
        <v>1833.74</v>
      </c>
      <c r="X7" s="35">
        <f t="shared" si="1"/>
        <v>1805.7399999999998</v>
      </c>
      <c r="Y7" s="35">
        <f t="shared" si="1"/>
        <v>1859.64</v>
      </c>
      <c r="Z7" s="35">
        <f t="shared" si="1"/>
        <v>1867.94</v>
      </c>
      <c r="AA7" s="35">
        <f t="shared" si="1"/>
        <v>1979.8400000000001</v>
      </c>
      <c r="AB7" s="35">
        <f t="shared" si="1"/>
        <v>2061.04</v>
      </c>
      <c r="AC7" s="35">
        <f t="shared" si="1"/>
        <v>2020.54</v>
      </c>
      <c r="AD7" s="35">
        <f t="shared" si="1"/>
        <v>2007.54</v>
      </c>
      <c r="AE7" s="35">
        <f t="shared" si="1"/>
        <v>2007.34</v>
      </c>
      <c r="AF7" s="35">
        <f t="shared" si="1"/>
        <v>1968.34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60.5</v>
      </c>
      <c r="C11" s="45">
        <v>60.5</v>
      </c>
      <c r="D11" s="45">
        <v>60.5</v>
      </c>
      <c r="E11" s="45">
        <v>60.5</v>
      </c>
      <c r="F11" s="45">
        <v>60</v>
      </c>
      <c r="G11" s="45">
        <v>60</v>
      </c>
      <c r="H11" s="45">
        <v>60</v>
      </c>
      <c r="I11" s="45">
        <v>60</v>
      </c>
      <c r="J11" s="45">
        <v>60</v>
      </c>
      <c r="K11" s="45">
        <v>60</v>
      </c>
      <c r="L11" s="45">
        <v>60</v>
      </c>
      <c r="M11" s="45">
        <v>60</v>
      </c>
      <c r="N11" s="45">
        <v>60</v>
      </c>
      <c r="O11" s="45">
        <v>60</v>
      </c>
      <c r="P11" s="45">
        <v>60.3</v>
      </c>
      <c r="Q11" s="45">
        <v>45.6</v>
      </c>
      <c r="R11" s="45">
        <v>45.6</v>
      </c>
      <c r="S11" s="45">
        <v>45.6</v>
      </c>
      <c r="T11" s="45">
        <v>45.6</v>
      </c>
      <c r="U11" s="45">
        <v>60.3</v>
      </c>
      <c r="V11" s="45">
        <v>60.3</v>
      </c>
      <c r="W11" s="45">
        <v>60.3</v>
      </c>
      <c r="X11" s="45">
        <v>60.3</v>
      </c>
      <c r="Y11" s="45">
        <v>60.3</v>
      </c>
      <c r="Z11" s="45">
        <v>60.3</v>
      </c>
      <c r="AA11" s="45">
        <v>60.3</v>
      </c>
      <c r="AB11" s="45">
        <v>60.3</v>
      </c>
      <c r="AC11" s="45">
        <v>60.3</v>
      </c>
      <c r="AD11" s="45">
        <v>60.3</v>
      </c>
      <c r="AE11" s="45">
        <v>60.3</v>
      </c>
      <c r="AF11" s="45">
        <v>60.3</v>
      </c>
      <c r="AG11" s="46">
        <v>86</v>
      </c>
      <c r="AH11" s="47">
        <f t="shared" ref="AH11:AH76" si="2">MAX(B11:AF11)</f>
        <v>60.5</v>
      </c>
      <c r="AI11" s="48">
        <f t="shared" ref="AI11:AI76" si="3">MIN(B11:AF11)</f>
        <v>45.6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9">
        <v>54</v>
      </c>
      <c r="AH12" s="47">
        <f t="shared" si="2"/>
        <v>0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54.3</v>
      </c>
      <c r="C13" s="45">
        <v>54.3</v>
      </c>
      <c r="D13" s="45">
        <v>54.3</v>
      </c>
      <c r="E13" s="45">
        <v>54.3</v>
      </c>
      <c r="F13" s="45">
        <v>54</v>
      </c>
      <c r="G13" s="45">
        <v>28</v>
      </c>
      <c r="H13" s="45">
        <v>45</v>
      </c>
      <c r="I13" s="45">
        <v>28.8</v>
      </c>
      <c r="J13" s="45">
        <v>28.8</v>
      </c>
      <c r="K13" s="45">
        <v>29</v>
      </c>
      <c r="L13" s="45">
        <v>29</v>
      </c>
      <c r="M13" s="45">
        <v>54</v>
      </c>
      <c r="N13" s="45">
        <v>54</v>
      </c>
      <c r="O13" s="45">
        <v>52</v>
      </c>
      <c r="P13" s="45">
        <v>54.4</v>
      </c>
      <c r="Q13" s="45">
        <v>54.5</v>
      </c>
      <c r="R13" s="45">
        <v>54.5</v>
      </c>
      <c r="S13" s="45">
        <v>54.5</v>
      </c>
      <c r="T13" s="45">
        <v>54.5</v>
      </c>
      <c r="U13" s="45">
        <v>54.5</v>
      </c>
      <c r="V13" s="45">
        <v>54.5</v>
      </c>
      <c r="W13" s="45">
        <v>54.5</v>
      </c>
      <c r="X13" s="45">
        <v>54.5</v>
      </c>
      <c r="Y13" s="45">
        <v>54.5</v>
      </c>
      <c r="Z13" s="45">
        <v>54.5</v>
      </c>
      <c r="AA13" s="45">
        <v>54.5</v>
      </c>
      <c r="AB13" s="45">
        <v>54.5</v>
      </c>
      <c r="AC13" s="45">
        <v>54.5</v>
      </c>
      <c r="AD13" s="45">
        <v>54.5</v>
      </c>
      <c r="AE13" s="45">
        <v>54.5</v>
      </c>
      <c r="AF13" s="45">
        <v>54.5</v>
      </c>
      <c r="AG13" s="46">
        <v>52.4</v>
      </c>
      <c r="AH13" s="47">
        <f t="shared" si="2"/>
        <v>54.5</v>
      </c>
      <c r="AI13" s="48">
        <f t="shared" si="3"/>
        <v>28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50.4</v>
      </c>
      <c r="C14" s="50">
        <v>50.4</v>
      </c>
      <c r="D14" s="50">
        <v>50.4</v>
      </c>
      <c r="E14" s="50">
        <v>50.4</v>
      </c>
      <c r="F14" s="50">
        <v>50</v>
      </c>
      <c r="G14" s="50">
        <v>50</v>
      </c>
      <c r="H14" s="50">
        <v>50</v>
      </c>
      <c r="I14" s="50">
        <v>50</v>
      </c>
      <c r="J14" s="50">
        <v>50</v>
      </c>
      <c r="K14" s="50">
        <v>50</v>
      </c>
      <c r="L14" s="50">
        <v>50</v>
      </c>
      <c r="M14" s="50">
        <v>50</v>
      </c>
      <c r="N14" s="50">
        <v>50</v>
      </c>
      <c r="O14" s="50">
        <v>50</v>
      </c>
      <c r="P14" s="50">
        <v>50</v>
      </c>
      <c r="Q14" s="50">
        <v>50</v>
      </c>
      <c r="R14" s="50">
        <v>50</v>
      </c>
      <c r="S14" s="50">
        <v>50</v>
      </c>
      <c r="T14" s="50">
        <v>50</v>
      </c>
      <c r="U14" s="50">
        <v>50</v>
      </c>
      <c r="V14" s="50">
        <v>50</v>
      </c>
      <c r="W14" s="50">
        <v>50</v>
      </c>
      <c r="X14" s="50">
        <v>50</v>
      </c>
      <c r="Y14" s="50">
        <v>50</v>
      </c>
      <c r="Z14" s="50">
        <v>50</v>
      </c>
      <c r="AA14" s="45">
        <v>50</v>
      </c>
      <c r="AB14" s="45">
        <v>50</v>
      </c>
      <c r="AC14" s="45">
        <v>50</v>
      </c>
      <c r="AD14" s="45">
        <v>50</v>
      </c>
      <c r="AE14" s="45">
        <v>50</v>
      </c>
      <c r="AF14" s="45">
        <v>50</v>
      </c>
      <c r="AG14" s="49">
        <v>50</v>
      </c>
      <c r="AH14" s="47">
        <f t="shared" si="2"/>
        <v>50.4</v>
      </c>
      <c r="AI14" s="48">
        <f t="shared" si="3"/>
        <v>50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46</v>
      </c>
      <c r="C15" s="45">
        <v>46</v>
      </c>
      <c r="D15" s="45">
        <v>36.799999999999997</v>
      </c>
      <c r="E15" s="45">
        <v>36.799999999999997</v>
      </c>
      <c r="F15" s="45">
        <v>36.799999999999997</v>
      </c>
      <c r="G15" s="45">
        <v>36.799999999999997</v>
      </c>
      <c r="H15" s="45">
        <v>36.799999999999997</v>
      </c>
      <c r="I15" s="45">
        <v>36.799999999999997</v>
      </c>
      <c r="J15" s="45">
        <v>36.799999999999997</v>
      </c>
      <c r="K15" s="45">
        <v>36.9</v>
      </c>
      <c r="L15" s="45">
        <v>36.9</v>
      </c>
      <c r="M15" s="45">
        <v>45</v>
      </c>
      <c r="N15" s="45">
        <v>45.9</v>
      </c>
      <c r="O15" s="45">
        <v>45.9</v>
      </c>
      <c r="P15" s="45">
        <v>45.9</v>
      </c>
      <c r="Q15" s="45">
        <v>45.9</v>
      </c>
      <c r="R15" s="45">
        <v>45.9</v>
      </c>
      <c r="S15" s="45">
        <v>45.9</v>
      </c>
      <c r="T15" s="45">
        <v>45.9</v>
      </c>
      <c r="U15" s="45">
        <v>45</v>
      </c>
      <c r="V15" s="45">
        <v>45</v>
      </c>
      <c r="W15" s="45">
        <v>45</v>
      </c>
      <c r="X15" s="45">
        <v>45</v>
      </c>
      <c r="Y15" s="45">
        <v>45</v>
      </c>
      <c r="Z15" s="45">
        <v>45</v>
      </c>
      <c r="AA15" s="45">
        <v>45</v>
      </c>
      <c r="AB15" s="45">
        <v>45</v>
      </c>
      <c r="AC15" s="45">
        <v>45</v>
      </c>
      <c r="AD15" s="45">
        <v>45</v>
      </c>
      <c r="AE15" s="45">
        <v>45</v>
      </c>
      <c r="AF15" s="45">
        <v>45</v>
      </c>
      <c r="AG15" s="49">
        <v>45</v>
      </c>
      <c r="AH15" s="47">
        <f t="shared" si="2"/>
        <v>46</v>
      </c>
      <c r="AI15" s="48">
        <f t="shared" si="3"/>
        <v>36.799999999999997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42</v>
      </c>
      <c r="C16" s="45">
        <v>42</v>
      </c>
      <c r="D16" s="45">
        <v>42</v>
      </c>
      <c r="E16" s="45">
        <v>42</v>
      </c>
      <c r="F16" s="45">
        <v>40</v>
      </c>
      <c r="G16" s="45">
        <v>35</v>
      </c>
      <c r="H16" s="45">
        <v>35</v>
      </c>
      <c r="I16" s="45">
        <v>35</v>
      </c>
      <c r="J16" s="45">
        <v>35</v>
      </c>
      <c r="K16" s="45">
        <v>42</v>
      </c>
      <c r="L16" s="45">
        <v>42</v>
      </c>
      <c r="M16" s="45">
        <v>42</v>
      </c>
      <c r="N16" s="45">
        <v>42</v>
      </c>
      <c r="O16" s="45">
        <v>42</v>
      </c>
      <c r="P16" s="45">
        <v>42</v>
      </c>
      <c r="Q16" s="45">
        <v>42</v>
      </c>
      <c r="R16" s="45">
        <v>42</v>
      </c>
      <c r="S16" s="45">
        <v>42</v>
      </c>
      <c r="T16" s="45">
        <v>42</v>
      </c>
      <c r="U16" s="45">
        <v>8</v>
      </c>
      <c r="V16" s="45">
        <v>42</v>
      </c>
      <c r="W16" s="45">
        <v>42</v>
      </c>
      <c r="X16" s="45">
        <v>42</v>
      </c>
      <c r="Y16" s="45">
        <v>42</v>
      </c>
      <c r="Z16" s="45">
        <v>42</v>
      </c>
      <c r="AA16" s="45">
        <v>42</v>
      </c>
      <c r="AB16" s="45">
        <v>42</v>
      </c>
      <c r="AC16" s="45">
        <v>42</v>
      </c>
      <c r="AD16" s="45">
        <v>42</v>
      </c>
      <c r="AE16" s="45">
        <v>42</v>
      </c>
      <c r="AF16" s="45">
        <v>42</v>
      </c>
      <c r="AG16" s="49">
        <v>44</v>
      </c>
      <c r="AH16" s="47">
        <f>MAX(B16:AG16)</f>
        <v>44</v>
      </c>
      <c r="AI16" s="48">
        <f>MIN(B16:AG16)</f>
        <v>8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28</v>
      </c>
      <c r="C17" s="45">
        <v>28</v>
      </c>
      <c r="D17" s="45">
        <v>28</v>
      </c>
      <c r="E17" s="45">
        <v>28</v>
      </c>
      <c r="F17" s="45">
        <v>20</v>
      </c>
      <c r="G17" s="45">
        <v>26</v>
      </c>
      <c r="H17" s="45">
        <v>26</v>
      </c>
      <c r="I17" s="45">
        <v>26</v>
      </c>
      <c r="J17" s="45">
        <v>26</v>
      </c>
      <c r="K17" s="45">
        <v>28</v>
      </c>
      <c r="L17" s="45">
        <v>28</v>
      </c>
      <c r="M17" s="45">
        <v>32</v>
      </c>
      <c r="N17" s="45">
        <v>28.7</v>
      </c>
      <c r="O17" s="45">
        <v>28.7</v>
      </c>
      <c r="P17" s="45">
        <v>28.7</v>
      </c>
      <c r="Q17" s="45">
        <v>28.7</v>
      </c>
      <c r="R17" s="45">
        <v>28.7</v>
      </c>
      <c r="S17" s="45">
        <v>28.7</v>
      </c>
      <c r="T17" s="45">
        <v>28.7</v>
      </c>
      <c r="U17" s="45">
        <v>14</v>
      </c>
      <c r="V17" s="45">
        <v>28</v>
      </c>
      <c r="W17" s="45">
        <v>28</v>
      </c>
      <c r="X17" s="45">
        <v>28</v>
      </c>
      <c r="Y17" s="45">
        <v>28</v>
      </c>
      <c r="Z17" s="45">
        <v>28</v>
      </c>
      <c r="AA17" s="45">
        <v>35</v>
      </c>
      <c r="AB17" s="45">
        <v>35</v>
      </c>
      <c r="AC17" s="45">
        <v>42</v>
      </c>
      <c r="AD17" s="45">
        <v>40</v>
      </c>
      <c r="AE17" s="45">
        <v>36</v>
      </c>
      <c r="AF17" s="45">
        <v>36</v>
      </c>
      <c r="AG17" s="49">
        <v>42</v>
      </c>
      <c r="AH17" s="47">
        <f t="shared" si="2"/>
        <v>42</v>
      </c>
      <c r="AI17" s="48">
        <f t="shared" si="3"/>
        <v>14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0</v>
      </c>
      <c r="H18" s="45">
        <v>20</v>
      </c>
      <c r="I18" s="45">
        <v>20</v>
      </c>
      <c r="J18" s="45">
        <v>0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32</v>
      </c>
      <c r="I19" s="45">
        <v>32</v>
      </c>
      <c r="J19" s="45">
        <v>32</v>
      </c>
      <c r="K19" s="45">
        <v>32</v>
      </c>
      <c r="L19" s="45">
        <v>32</v>
      </c>
      <c r="M19" s="45">
        <v>32</v>
      </c>
      <c r="N19" s="45">
        <v>32</v>
      </c>
      <c r="O19" s="45">
        <v>32</v>
      </c>
      <c r="P19" s="45">
        <v>32</v>
      </c>
      <c r="Q19" s="45">
        <v>32</v>
      </c>
      <c r="R19" s="45">
        <v>32</v>
      </c>
      <c r="S19" s="45">
        <v>32</v>
      </c>
      <c r="T19" s="45">
        <v>32</v>
      </c>
      <c r="U19" s="45">
        <v>32</v>
      </c>
      <c r="V19" s="45">
        <v>32</v>
      </c>
      <c r="W19" s="45">
        <v>32</v>
      </c>
      <c r="X19" s="45">
        <v>32</v>
      </c>
      <c r="Y19" s="45">
        <v>32</v>
      </c>
      <c r="Z19" s="45">
        <v>32</v>
      </c>
      <c r="AA19" s="45">
        <v>32</v>
      </c>
      <c r="AB19" s="45">
        <v>32</v>
      </c>
      <c r="AC19" s="45">
        <v>32</v>
      </c>
      <c r="AD19" s="45">
        <v>32</v>
      </c>
      <c r="AE19" s="45">
        <v>32</v>
      </c>
      <c r="AF19" s="45">
        <v>32</v>
      </c>
      <c r="AG19" s="49">
        <v>36</v>
      </c>
      <c r="AH19" s="47">
        <f t="shared" si="2"/>
        <v>32</v>
      </c>
      <c r="AI19" s="48">
        <f t="shared" si="3"/>
        <v>25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5</v>
      </c>
      <c r="C20" s="45">
        <v>5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14</v>
      </c>
      <c r="M20" s="45">
        <v>14</v>
      </c>
      <c r="N20" s="45">
        <v>0</v>
      </c>
      <c r="O20" s="45">
        <v>0</v>
      </c>
      <c r="P20" s="45">
        <v>0</v>
      </c>
      <c r="Q20" s="45">
        <v>0</v>
      </c>
      <c r="R20" s="45">
        <v>0</v>
      </c>
      <c r="S20" s="45">
        <v>0</v>
      </c>
      <c r="T20" s="45">
        <v>0</v>
      </c>
      <c r="U20" s="45">
        <v>15</v>
      </c>
      <c r="V20" s="45">
        <v>0</v>
      </c>
      <c r="W20" s="45">
        <v>0</v>
      </c>
      <c r="X20" s="45">
        <v>0</v>
      </c>
      <c r="Y20" s="45">
        <v>5</v>
      </c>
      <c r="Z20" s="45">
        <v>5</v>
      </c>
      <c r="AA20" s="45">
        <v>30</v>
      </c>
      <c r="AB20" s="45">
        <v>30</v>
      </c>
      <c r="AC20" s="45">
        <v>30</v>
      </c>
      <c r="AD20" s="45">
        <v>30</v>
      </c>
      <c r="AE20" s="45">
        <v>30</v>
      </c>
      <c r="AF20" s="45">
        <v>30</v>
      </c>
      <c r="AG20" s="51">
        <v>30</v>
      </c>
      <c r="AH20" s="47">
        <f t="shared" si="2"/>
        <v>30</v>
      </c>
      <c r="AI20" s="48">
        <f t="shared" si="3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17</v>
      </c>
      <c r="C21" s="45">
        <v>17</v>
      </c>
      <c r="D21" s="45">
        <v>17</v>
      </c>
      <c r="E21" s="45">
        <v>17</v>
      </c>
      <c r="F21" s="45">
        <v>17</v>
      </c>
      <c r="G21" s="45">
        <v>17</v>
      </c>
      <c r="H21" s="45">
        <v>17</v>
      </c>
      <c r="I21" s="45">
        <v>17</v>
      </c>
      <c r="J21" s="45">
        <v>17</v>
      </c>
      <c r="K21" s="45">
        <v>17</v>
      </c>
      <c r="L21" s="45">
        <v>17</v>
      </c>
      <c r="M21" s="45">
        <v>33</v>
      </c>
      <c r="N21" s="45">
        <v>33</v>
      </c>
      <c r="O21" s="45">
        <v>33</v>
      </c>
      <c r="P21" s="45">
        <v>33</v>
      </c>
      <c r="Q21" s="45">
        <v>33</v>
      </c>
      <c r="R21" s="45">
        <v>33</v>
      </c>
      <c r="S21" s="45">
        <v>33</v>
      </c>
      <c r="T21" s="45">
        <v>33</v>
      </c>
      <c r="U21" s="45">
        <v>33</v>
      </c>
      <c r="V21" s="45">
        <v>33</v>
      </c>
      <c r="W21" s="45">
        <v>29</v>
      </c>
      <c r="X21" s="45">
        <v>29</v>
      </c>
      <c r="Y21" s="45">
        <v>33</v>
      </c>
      <c r="Z21" s="45">
        <v>33</v>
      </c>
      <c r="AA21" s="45">
        <v>25.2</v>
      </c>
      <c r="AB21" s="45">
        <v>25.2</v>
      </c>
      <c r="AC21" s="45">
        <v>25.2</v>
      </c>
      <c r="AD21" s="45">
        <v>25.2</v>
      </c>
      <c r="AE21" s="45">
        <v>25.2</v>
      </c>
      <c r="AF21" s="45">
        <v>25.2</v>
      </c>
      <c r="AG21" s="49">
        <v>24.2</v>
      </c>
      <c r="AH21" s="47">
        <f t="shared" si="2"/>
        <v>33</v>
      </c>
      <c r="AI21" s="48">
        <f t="shared" si="3"/>
        <v>17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17.600000000000001</v>
      </c>
      <c r="C22" s="45">
        <v>17.600000000000001</v>
      </c>
      <c r="D22" s="45">
        <v>17.600000000000001</v>
      </c>
      <c r="E22" s="45">
        <v>17.600000000000001</v>
      </c>
      <c r="F22" s="45">
        <v>17.600000000000001</v>
      </c>
      <c r="G22" s="45">
        <v>17.600000000000001</v>
      </c>
      <c r="H22" s="45">
        <v>17.600000000000001</v>
      </c>
      <c r="I22" s="45">
        <v>17.600000000000001</v>
      </c>
      <c r="J22" s="45">
        <v>17.600000000000001</v>
      </c>
      <c r="K22" s="45">
        <v>29</v>
      </c>
      <c r="L22" s="45">
        <v>29</v>
      </c>
      <c r="M22" s="45">
        <v>29</v>
      </c>
      <c r="N22" s="45">
        <v>29</v>
      </c>
      <c r="O22" s="45">
        <v>29</v>
      </c>
      <c r="P22" s="45">
        <v>29</v>
      </c>
      <c r="Q22" s="45">
        <v>29</v>
      </c>
      <c r="R22" s="45">
        <v>29</v>
      </c>
      <c r="S22" s="45">
        <v>29</v>
      </c>
      <c r="T22" s="45">
        <v>29</v>
      </c>
      <c r="U22" s="45">
        <v>29</v>
      </c>
      <c r="V22" s="45">
        <v>29</v>
      </c>
      <c r="W22" s="45">
        <v>29</v>
      </c>
      <c r="X22" s="45">
        <v>29</v>
      </c>
      <c r="Y22" s="45">
        <v>29</v>
      </c>
      <c r="Z22" s="45">
        <v>29</v>
      </c>
      <c r="AA22" s="45">
        <v>29</v>
      </c>
      <c r="AB22" s="45">
        <v>29</v>
      </c>
      <c r="AC22" s="45">
        <v>29</v>
      </c>
      <c r="AD22" s="45">
        <v>29</v>
      </c>
      <c r="AE22" s="45">
        <v>29</v>
      </c>
      <c r="AF22" s="45">
        <v>29</v>
      </c>
      <c r="AG22" s="49">
        <v>28</v>
      </c>
      <c r="AH22" s="47">
        <f t="shared" si="2"/>
        <v>29</v>
      </c>
      <c r="AI22" s="48">
        <f t="shared" si="3"/>
        <v>17.600000000000001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5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5</v>
      </c>
      <c r="Z23" s="45">
        <v>5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26.2</v>
      </c>
      <c r="C24" s="45">
        <v>26.2</v>
      </c>
      <c r="D24" s="45">
        <v>26.2</v>
      </c>
      <c r="E24" s="45">
        <v>26.2</v>
      </c>
      <c r="F24" s="45">
        <v>26</v>
      </c>
      <c r="G24" s="45">
        <v>26</v>
      </c>
      <c r="H24" s="45">
        <v>26</v>
      </c>
      <c r="I24" s="45">
        <v>26</v>
      </c>
      <c r="J24" s="45">
        <v>26</v>
      </c>
      <c r="K24" s="45">
        <v>26</v>
      </c>
      <c r="L24" s="45">
        <v>26</v>
      </c>
      <c r="M24" s="45">
        <v>26</v>
      </c>
      <c r="N24" s="45">
        <v>26</v>
      </c>
      <c r="O24" s="45">
        <v>26</v>
      </c>
      <c r="P24" s="45">
        <v>26</v>
      </c>
      <c r="Q24" s="45">
        <v>26</v>
      </c>
      <c r="R24" s="45">
        <v>26</v>
      </c>
      <c r="S24" s="45">
        <v>26</v>
      </c>
      <c r="T24" s="45">
        <v>26</v>
      </c>
      <c r="U24" s="45">
        <v>10</v>
      </c>
      <c r="V24" s="45">
        <v>25</v>
      </c>
      <c r="W24" s="45">
        <v>25</v>
      </c>
      <c r="X24" s="45">
        <v>25</v>
      </c>
      <c r="Y24" s="45">
        <v>26.2</v>
      </c>
      <c r="Z24" s="45">
        <v>26.2</v>
      </c>
      <c r="AA24" s="45">
        <v>26.2</v>
      </c>
      <c r="AB24" s="45">
        <v>26.2</v>
      </c>
      <c r="AC24" s="45">
        <v>26.2</v>
      </c>
      <c r="AD24" s="45">
        <v>26.2</v>
      </c>
      <c r="AE24" s="45">
        <v>26.2</v>
      </c>
      <c r="AF24" s="45">
        <v>26.2</v>
      </c>
      <c r="AG24" s="49">
        <v>25</v>
      </c>
      <c r="AH24" s="47">
        <f t="shared" si="2"/>
        <v>26.2</v>
      </c>
      <c r="AI24" s="48">
        <f t="shared" si="3"/>
        <v>10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8</v>
      </c>
      <c r="F26" s="45">
        <v>8</v>
      </c>
      <c r="G26" s="45">
        <v>8</v>
      </c>
      <c r="H26" s="45">
        <v>8</v>
      </c>
      <c r="I26" s="45">
        <v>15</v>
      </c>
      <c r="J26" s="45">
        <v>15</v>
      </c>
      <c r="K26" s="45">
        <v>15</v>
      </c>
      <c r="L26" s="45">
        <v>15</v>
      </c>
      <c r="M26" s="45">
        <v>15</v>
      </c>
      <c r="N26" s="45">
        <v>15</v>
      </c>
      <c r="O26" s="45">
        <v>15</v>
      </c>
      <c r="P26" s="45">
        <v>15</v>
      </c>
      <c r="Q26" s="45">
        <v>15</v>
      </c>
      <c r="R26" s="45">
        <v>15</v>
      </c>
      <c r="S26" s="45">
        <v>15</v>
      </c>
      <c r="T26" s="45">
        <v>15</v>
      </c>
      <c r="U26" s="45">
        <v>15</v>
      </c>
      <c r="V26" s="45">
        <v>15</v>
      </c>
      <c r="W26" s="45">
        <v>15</v>
      </c>
      <c r="X26" s="45">
        <v>15</v>
      </c>
      <c r="Y26" s="45">
        <v>15</v>
      </c>
      <c r="Z26" s="45">
        <v>15</v>
      </c>
      <c r="AA26" s="45">
        <v>15</v>
      </c>
      <c r="AB26" s="45">
        <v>15</v>
      </c>
      <c r="AC26" s="45">
        <v>15</v>
      </c>
      <c r="AD26" s="45">
        <v>15</v>
      </c>
      <c r="AE26" s="45">
        <v>15</v>
      </c>
      <c r="AF26" s="45">
        <v>15</v>
      </c>
      <c r="AG26" s="49">
        <v>25</v>
      </c>
      <c r="AH26" s="47">
        <f t="shared" si="2"/>
        <v>25</v>
      </c>
      <c r="AI26" s="48">
        <f t="shared" si="3"/>
        <v>8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10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5</v>
      </c>
      <c r="Z27" s="45">
        <v>5</v>
      </c>
      <c r="AA27" s="45">
        <v>25</v>
      </c>
      <c r="AB27" s="45">
        <v>25</v>
      </c>
      <c r="AC27" s="45">
        <v>25</v>
      </c>
      <c r="AD27" s="45">
        <v>25</v>
      </c>
      <c r="AE27" s="45">
        <v>25</v>
      </c>
      <c r="AF27" s="45">
        <v>25</v>
      </c>
      <c r="AG27" s="49">
        <v>25</v>
      </c>
      <c r="AH27" s="47">
        <f t="shared" si="2"/>
        <v>25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20.399999999999999</v>
      </c>
      <c r="C28" s="45">
        <v>20.399999999999999</v>
      </c>
      <c r="D28" s="45">
        <v>20.399999999999999</v>
      </c>
      <c r="E28" s="45">
        <v>20.399999999999999</v>
      </c>
      <c r="F28" s="45">
        <v>20.399999999999999</v>
      </c>
      <c r="G28" s="45">
        <v>20.399999999999999</v>
      </c>
      <c r="H28" s="45">
        <v>20.399999999999999</v>
      </c>
      <c r="I28" s="45">
        <v>20.399999999999999</v>
      </c>
      <c r="J28" s="45">
        <v>20.399999999999999</v>
      </c>
      <c r="K28" s="45">
        <v>20.8</v>
      </c>
      <c r="L28" s="45">
        <v>20.8</v>
      </c>
      <c r="M28" s="45">
        <v>20.8</v>
      </c>
      <c r="N28" s="45">
        <v>20.8</v>
      </c>
      <c r="O28" s="45">
        <v>20.8</v>
      </c>
      <c r="P28" s="45">
        <v>20.8</v>
      </c>
      <c r="Q28" s="45">
        <v>20.100000000000001</v>
      </c>
      <c r="R28" s="45">
        <v>20.100000000000001</v>
      </c>
      <c r="S28" s="45">
        <v>20.100000000000001</v>
      </c>
      <c r="T28" s="45">
        <v>20.100000000000001</v>
      </c>
      <c r="U28" s="45">
        <v>17.5</v>
      </c>
      <c r="V28" s="45">
        <v>17.5</v>
      </c>
      <c r="W28" s="45">
        <v>17.5</v>
      </c>
      <c r="X28" s="45">
        <v>17.5</v>
      </c>
      <c r="Y28" s="45">
        <v>17.5</v>
      </c>
      <c r="Z28" s="45">
        <v>17.5</v>
      </c>
      <c r="AA28" s="45">
        <v>17.5</v>
      </c>
      <c r="AB28" s="45">
        <v>17.5</v>
      </c>
      <c r="AC28" s="45">
        <v>17.5</v>
      </c>
      <c r="AD28" s="45">
        <v>17.5</v>
      </c>
      <c r="AE28" s="45">
        <v>17.5</v>
      </c>
      <c r="AF28" s="45">
        <v>17.5</v>
      </c>
      <c r="AG28" s="49">
        <v>23.5</v>
      </c>
      <c r="AH28" s="47">
        <f t="shared" si="2"/>
        <v>20.8</v>
      </c>
      <c r="AI28" s="48">
        <f t="shared" si="3"/>
        <v>17.5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14</v>
      </c>
      <c r="C29" s="45">
        <v>14</v>
      </c>
      <c r="D29" s="45">
        <v>14</v>
      </c>
      <c r="E29" s="45">
        <v>14</v>
      </c>
      <c r="F29" s="45">
        <v>14</v>
      </c>
      <c r="G29" s="45">
        <v>14</v>
      </c>
      <c r="H29" s="45">
        <v>14</v>
      </c>
      <c r="I29" s="45">
        <v>14</v>
      </c>
      <c r="J29" s="45">
        <v>14</v>
      </c>
      <c r="K29" s="45">
        <v>14</v>
      </c>
      <c r="L29" s="45">
        <v>14</v>
      </c>
      <c r="M29" s="45">
        <v>14</v>
      </c>
      <c r="N29" s="45">
        <v>14</v>
      </c>
      <c r="O29" s="45">
        <v>14</v>
      </c>
      <c r="P29" s="45">
        <v>14</v>
      </c>
      <c r="Q29" s="45">
        <v>14</v>
      </c>
      <c r="R29" s="45">
        <v>14</v>
      </c>
      <c r="S29" s="45">
        <v>14</v>
      </c>
      <c r="T29" s="45">
        <v>14</v>
      </c>
      <c r="U29" s="45">
        <v>14</v>
      </c>
      <c r="V29" s="45">
        <v>14</v>
      </c>
      <c r="W29" s="45">
        <v>14</v>
      </c>
      <c r="X29" s="45">
        <v>14</v>
      </c>
      <c r="Y29" s="45">
        <v>14</v>
      </c>
      <c r="Z29" s="45">
        <v>14</v>
      </c>
      <c r="AA29" s="45">
        <v>14</v>
      </c>
      <c r="AB29" s="45">
        <v>14</v>
      </c>
      <c r="AC29" s="45">
        <v>14</v>
      </c>
      <c r="AD29" s="45">
        <v>14</v>
      </c>
      <c r="AE29" s="45">
        <v>14</v>
      </c>
      <c r="AF29" s="45">
        <v>14</v>
      </c>
      <c r="AG29" s="49">
        <v>22.2</v>
      </c>
      <c r="AH29" s="47">
        <f t="shared" si="2"/>
        <v>14</v>
      </c>
      <c r="AI29" s="48">
        <f t="shared" si="3"/>
        <v>14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11.1</v>
      </c>
      <c r="C32" s="45">
        <v>11.1</v>
      </c>
      <c r="D32" s="45">
        <v>11.1</v>
      </c>
      <c r="E32" s="45">
        <v>11.1</v>
      </c>
      <c r="F32" s="45">
        <v>11.1</v>
      </c>
      <c r="G32" s="45">
        <v>11.1</v>
      </c>
      <c r="H32" s="45">
        <v>11.1</v>
      </c>
      <c r="I32" s="45">
        <v>11.1</v>
      </c>
      <c r="J32" s="45">
        <v>11.1</v>
      </c>
      <c r="K32" s="45">
        <v>11.5</v>
      </c>
      <c r="L32" s="45">
        <v>11.5</v>
      </c>
      <c r="M32" s="45">
        <v>11.5</v>
      </c>
      <c r="N32" s="45">
        <v>11.5</v>
      </c>
      <c r="O32" s="45">
        <v>11.5</v>
      </c>
      <c r="P32" s="45">
        <v>11.5</v>
      </c>
      <c r="Q32" s="45">
        <v>11.5</v>
      </c>
      <c r="R32" s="45">
        <v>11.5</v>
      </c>
      <c r="S32" s="45">
        <v>11.5</v>
      </c>
      <c r="T32" s="45">
        <v>11.5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11.1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5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5</v>
      </c>
      <c r="Z33" s="45">
        <v>5</v>
      </c>
      <c r="AA33" s="45">
        <v>10</v>
      </c>
      <c r="AB33" s="45">
        <v>10</v>
      </c>
      <c r="AC33" s="45">
        <v>10</v>
      </c>
      <c r="AD33" s="45">
        <v>8</v>
      </c>
      <c r="AE33" s="45">
        <v>3</v>
      </c>
      <c r="AF33" s="45">
        <v>3</v>
      </c>
      <c r="AG33" s="49">
        <v>20</v>
      </c>
      <c r="AH33" s="47">
        <f t="shared" si="2"/>
        <v>10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12</v>
      </c>
      <c r="C34" s="45">
        <v>12</v>
      </c>
      <c r="D34" s="45">
        <v>12</v>
      </c>
      <c r="E34" s="45">
        <v>12</v>
      </c>
      <c r="F34" s="45">
        <v>12</v>
      </c>
      <c r="G34" s="45">
        <v>12</v>
      </c>
      <c r="H34" s="45">
        <v>12</v>
      </c>
      <c r="I34" s="45">
        <v>12</v>
      </c>
      <c r="J34" s="45">
        <v>12</v>
      </c>
      <c r="K34" s="45">
        <v>12</v>
      </c>
      <c r="L34" s="45">
        <v>12</v>
      </c>
      <c r="M34" s="45">
        <v>12</v>
      </c>
      <c r="N34" s="45">
        <v>12</v>
      </c>
      <c r="O34" s="45">
        <v>12</v>
      </c>
      <c r="P34" s="45">
        <v>12</v>
      </c>
      <c r="Q34" s="45">
        <v>12</v>
      </c>
      <c r="R34" s="45">
        <v>12</v>
      </c>
      <c r="S34" s="45">
        <v>12</v>
      </c>
      <c r="T34" s="45">
        <v>12</v>
      </c>
      <c r="U34" s="45">
        <v>12</v>
      </c>
      <c r="V34" s="45">
        <v>12</v>
      </c>
      <c r="W34" s="45">
        <v>12</v>
      </c>
      <c r="X34" s="45">
        <v>12</v>
      </c>
      <c r="Y34" s="45">
        <v>12</v>
      </c>
      <c r="Z34" s="45">
        <v>12</v>
      </c>
      <c r="AA34" s="45">
        <v>12</v>
      </c>
      <c r="AB34" s="45">
        <v>12</v>
      </c>
      <c r="AC34" s="45">
        <v>12</v>
      </c>
      <c r="AD34" s="45">
        <v>12</v>
      </c>
      <c r="AE34" s="45">
        <v>12</v>
      </c>
      <c r="AF34" s="45">
        <v>12</v>
      </c>
      <c r="AG34" s="49">
        <v>18</v>
      </c>
      <c r="AH34" s="47">
        <f t="shared" si="2"/>
        <v>12</v>
      </c>
      <c r="AI34" s="48">
        <f t="shared" si="3"/>
        <v>12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14</v>
      </c>
      <c r="C35" s="45">
        <v>14</v>
      </c>
      <c r="D35" s="45">
        <v>14</v>
      </c>
      <c r="E35" s="45">
        <v>14</v>
      </c>
      <c r="F35" s="45">
        <v>14</v>
      </c>
      <c r="G35" s="45">
        <v>0</v>
      </c>
      <c r="H35" s="45">
        <v>10</v>
      </c>
      <c r="I35" s="45">
        <v>10</v>
      </c>
      <c r="J35" s="45">
        <v>0</v>
      </c>
      <c r="K35" s="45">
        <v>14</v>
      </c>
      <c r="L35" s="45">
        <v>14</v>
      </c>
      <c r="M35" s="45">
        <v>14</v>
      </c>
      <c r="N35" s="45">
        <v>14</v>
      </c>
      <c r="O35" s="45">
        <v>14</v>
      </c>
      <c r="P35" s="45">
        <v>14</v>
      </c>
      <c r="Q35" s="45">
        <v>14</v>
      </c>
      <c r="R35" s="45">
        <v>14</v>
      </c>
      <c r="S35" s="45">
        <v>14</v>
      </c>
      <c r="T35" s="45">
        <v>14</v>
      </c>
      <c r="U35" s="45">
        <v>14</v>
      </c>
      <c r="V35" s="45">
        <v>14</v>
      </c>
      <c r="W35" s="45">
        <v>14</v>
      </c>
      <c r="X35" s="45">
        <v>14</v>
      </c>
      <c r="Y35" s="45">
        <v>14</v>
      </c>
      <c r="Z35" s="45">
        <v>14</v>
      </c>
      <c r="AA35" s="45">
        <v>14</v>
      </c>
      <c r="AB35" s="45">
        <v>14</v>
      </c>
      <c r="AC35" s="45">
        <v>14</v>
      </c>
      <c r="AD35" s="45">
        <v>14</v>
      </c>
      <c r="AE35" s="45">
        <v>14</v>
      </c>
      <c r="AF35" s="45">
        <v>14</v>
      </c>
      <c r="AG35" s="49">
        <v>14.9</v>
      </c>
      <c r="AH35" s="47">
        <f t="shared" si="2"/>
        <v>14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49">
        <v>13.6</v>
      </c>
      <c r="AH37" s="47">
        <f t="shared" si="2"/>
        <v>4</v>
      </c>
      <c r="AI37" s="48">
        <f t="shared" si="3"/>
        <v>4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5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2.5</v>
      </c>
      <c r="Z39" s="45">
        <v>2.5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12</v>
      </c>
      <c r="AG39" s="49">
        <v>12</v>
      </c>
      <c r="AH39" s="47">
        <f t="shared" si="2"/>
        <v>12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8</v>
      </c>
      <c r="C40" s="45">
        <v>8</v>
      </c>
      <c r="D40" s="45">
        <v>8</v>
      </c>
      <c r="E40" s="45">
        <v>8</v>
      </c>
      <c r="F40" s="45">
        <v>8</v>
      </c>
      <c r="G40" s="45">
        <v>8</v>
      </c>
      <c r="H40" s="45">
        <v>8</v>
      </c>
      <c r="I40" s="45">
        <v>8</v>
      </c>
      <c r="J40" s="45">
        <v>8</v>
      </c>
      <c r="K40" s="45">
        <v>8</v>
      </c>
      <c r="L40" s="45">
        <v>8</v>
      </c>
      <c r="M40" s="45">
        <v>8</v>
      </c>
      <c r="N40" s="45">
        <v>8</v>
      </c>
      <c r="O40" s="45">
        <v>8</v>
      </c>
      <c r="P40" s="45">
        <v>8</v>
      </c>
      <c r="Q40" s="45">
        <v>8</v>
      </c>
      <c r="R40" s="45">
        <v>8</v>
      </c>
      <c r="S40" s="45">
        <v>8</v>
      </c>
      <c r="T40" s="45">
        <v>8</v>
      </c>
      <c r="U40" s="45">
        <v>8</v>
      </c>
      <c r="V40" s="45">
        <v>8</v>
      </c>
      <c r="W40" s="45">
        <v>8</v>
      </c>
      <c r="X40" s="45">
        <v>8</v>
      </c>
      <c r="Y40" s="45">
        <v>8</v>
      </c>
      <c r="Z40" s="45">
        <v>8</v>
      </c>
      <c r="AA40" s="45">
        <v>8</v>
      </c>
      <c r="AB40" s="45">
        <v>8</v>
      </c>
      <c r="AC40" s="45">
        <v>8</v>
      </c>
      <c r="AD40" s="45">
        <v>8</v>
      </c>
      <c r="AE40" s="45">
        <v>8</v>
      </c>
      <c r="AF40" s="45">
        <v>8</v>
      </c>
      <c r="AG40" s="49">
        <v>12</v>
      </c>
      <c r="AH40" s="47">
        <f t="shared" si="2"/>
        <v>8</v>
      </c>
      <c r="AI40" s="48">
        <f t="shared" si="3"/>
        <v>8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8</v>
      </c>
      <c r="S41" s="45">
        <v>8</v>
      </c>
      <c r="T41" s="45">
        <v>8</v>
      </c>
      <c r="U41" s="45">
        <v>8</v>
      </c>
      <c r="V41" s="45">
        <v>8</v>
      </c>
      <c r="W41" s="45">
        <v>8</v>
      </c>
      <c r="X41" s="45">
        <v>8</v>
      </c>
      <c r="Y41" s="45">
        <v>8</v>
      </c>
      <c r="Z41" s="45">
        <v>8</v>
      </c>
      <c r="AA41" s="45">
        <v>8</v>
      </c>
      <c r="AB41" s="45">
        <v>8</v>
      </c>
      <c r="AC41" s="45">
        <v>8</v>
      </c>
      <c r="AD41" s="45">
        <v>8</v>
      </c>
      <c r="AE41" s="45">
        <v>8</v>
      </c>
      <c r="AF41" s="45">
        <v>8</v>
      </c>
      <c r="AG41" s="49">
        <v>12</v>
      </c>
      <c r="AH41" s="47">
        <f t="shared" si="2"/>
        <v>8</v>
      </c>
      <c r="AI41" s="48">
        <f t="shared" si="3"/>
        <v>8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9.6</v>
      </c>
      <c r="C45" s="45">
        <v>9.6</v>
      </c>
      <c r="D45" s="45">
        <v>9.6</v>
      </c>
      <c r="E45" s="45">
        <v>9.6</v>
      </c>
      <c r="F45" s="45">
        <v>9.6</v>
      </c>
      <c r="G45" s="45">
        <v>9.6</v>
      </c>
      <c r="H45" s="45">
        <v>9.6</v>
      </c>
      <c r="I45" s="45">
        <v>9.6</v>
      </c>
      <c r="J45" s="45">
        <v>9.6</v>
      </c>
      <c r="K45" s="45">
        <v>9.6</v>
      </c>
      <c r="L45" s="45">
        <v>9.6</v>
      </c>
      <c r="M45" s="45">
        <v>9.6</v>
      </c>
      <c r="N45" s="45">
        <v>9.6</v>
      </c>
      <c r="O45" s="45">
        <v>9.6</v>
      </c>
      <c r="P45" s="45">
        <v>9.6</v>
      </c>
      <c r="Q45" s="45">
        <v>9.6</v>
      </c>
      <c r="R45" s="45">
        <v>9.6</v>
      </c>
      <c r="S45" s="45">
        <v>9.6</v>
      </c>
      <c r="T45" s="45">
        <v>9.6</v>
      </c>
      <c r="U45" s="45">
        <v>1</v>
      </c>
      <c r="V45" s="45">
        <v>1</v>
      </c>
      <c r="W45" s="45">
        <v>1</v>
      </c>
      <c r="X45" s="45">
        <v>1</v>
      </c>
      <c r="Y45" s="45">
        <v>1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1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0</v>
      </c>
      <c r="H46" s="45">
        <v>5</v>
      </c>
      <c r="I46" s="45">
        <v>5</v>
      </c>
      <c r="J46" s="45">
        <v>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>
        <v>95</v>
      </c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95</v>
      </c>
      <c r="AI49" s="48">
        <f t="shared" si="3"/>
        <v>95</v>
      </c>
      <c r="AK49" s="74"/>
    </row>
    <row r="50" spans="1:41" ht="15.75" thickBot="1" x14ac:dyDescent="0.3">
      <c r="A50" s="58" t="s">
        <v>66</v>
      </c>
      <c r="B50" s="59">
        <f t="shared" ref="B50:AE50" si="4">SUM(B11:B48)</f>
        <v>851.6</v>
      </c>
      <c r="C50" s="59">
        <f t="shared" si="4"/>
        <v>842.6</v>
      </c>
      <c r="D50" s="59">
        <f t="shared" si="4"/>
        <v>828.4</v>
      </c>
      <c r="E50" s="59">
        <f t="shared" si="4"/>
        <v>811.4</v>
      </c>
      <c r="F50" s="59">
        <f t="shared" si="4"/>
        <v>800.00000000000011</v>
      </c>
      <c r="G50" s="59">
        <f t="shared" si="4"/>
        <v>713</v>
      </c>
      <c r="H50" s="59">
        <f t="shared" si="4"/>
        <v>772</v>
      </c>
      <c r="I50" s="59">
        <f t="shared" si="4"/>
        <v>762.80000000000007</v>
      </c>
      <c r="J50" s="59">
        <f t="shared" si="4"/>
        <v>727.80000000000007</v>
      </c>
      <c r="K50" s="59">
        <f t="shared" si="4"/>
        <v>811.30000000000007</v>
      </c>
      <c r="L50" s="59">
        <f t="shared" si="4"/>
        <v>825.30000000000007</v>
      </c>
      <c r="M50" s="59">
        <f t="shared" si="4"/>
        <v>903.4</v>
      </c>
      <c r="N50" s="59">
        <f t="shared" si="4"/>
        <v>862.00000000000011</v>
      </c>
      <c r="O50" s="59">
        <f t="shared" si="4"/>
        <v>860.00000000000011</v>
      </c>
      <c r="P50" s="59">
        <f t="shared" si="4"/>
        <v>862.7</v>
      </c>
      <c r="Q50" s="59">
        <f t="shared" ref="Q50" si="5">SUM(Q11:Q48)</f>
        <v>847.4</v>
      </c>
      <c r="R50" s="59">
        <f t="shared" si="4"/>
        <v>847.4</v>
      </c>
      <c r="S50" s="59">
        <f t="shared" si="4"/>
        <v>847.4</v>
      </c>
      <c r="T50" s="59">
        <f t="shared" si="4"/>
        <v>847.4</v>
      </c>
      <c r="U50" s="59">
        <f t="shared" si="4"/>
        <v>810.8</v>
      </c>
      <c r="V50" s="59">
        <f t="shared" si="4"/>
        <v>858.8</v>
      </c>
      <c r="W50" s="59">
        <f t="shared" si="4"/>
        <v>854.8</v>
      </c>
      <c r="X50" s="59">
        <f t="shared" si="4"/>
        <v>854.8</v>
      </c>
      <c r="Y50" s="59">
        <f t="shared" si="4"/>
        <v>882.5</v>
      </c>
      <c r="Z50" s="59">
        <f t="shared" si="4"/>
        <v>891.5</v>
      </c>
      <c r="AA50" s="59">
        <f t="shared" si="4"/>
        <v>954.2</v>
      </c>
      <c r="AB50" s="59">
        <f t="shared" si="4"/>
        <v>954.2</v>
      </c>
      <c r="AC50" s="59">
        <f t="shared" si="4"/>
        <v>961.2</v>
      </c>
      <c r="AD50" s="59">
        <f t="shared" si="4"/>
        <v>957.2</v>
      </c>
      <c r="AE50" s="59">
        <f t="shared" si="4"/>
        <v>948.2</v>
      </c>
      <c r="AF50" s="59">
        <f t="shared" ref="AF50" si="6">SUM(AF11:AF48)</f>
        <v>948.2</v>
      </c>
      <c r="AG50" s="60">
        <f>SUM(AG13:AG48)</f>
        <v>922.14</v>
      </c>
      <c r="AH50" s="47">
        <f t="shared" si="2"/>
        <v>961.2</v>
      </c>
      <c r="AI50" s="48">
        <f t="shared" si="3"/>
        <v>713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62">
        <v>400</v>
      </c>
      <c r="O51" s="62">
        <v>430</v>
      </c>
      <c r="P51" s="62">
        <v>456</v>
      </c>
      <c r="Q51" s="62">
        <v>456</v>
      </c>
      <c r="R51" s="62">
        <v>456</v>
      </c>
      <c r="S51" s="62">
        <v>456</v>
      </c>
      <c r="T51" s="62">
        <v>456</v>
      </c>
      <c r="U51" s="62">
        <v>456</v>
      </c>
      <c r="V51" s="62">
        <v>400</v>
      </c>
      <c r="W51" s="62">
        <v>430</v>
      </c>
      <c r="X51" s="62">
        <v>420</v>
      </c>
      <c r="Y51" s="62">
        <v>456</v>
      </c>
      <c r="Z51" s="62">
        <v>456</v>
      </c>
      <c r="AA51" s="62">
        <v>456</v>
      </c>
      <c r="AB51" s="62">
        <v>456</v>
      </c>
      <c r="AC51" s="62">
        <v>456</v>
      </c>
      <c r="AD51" s="62">
        <v>456</v>
      </c>
      <c r="AE51" s="62">
        <v>456</v>
      </c>
      <c r="AF51" s="62">
        <v>456</v>
      </c>
      <c r="AG51" s="51">
        <v>456</v>
      </c>
      <c r="AH51" s="47">
        <f t="shared" si="2"/>
        <v>456</v>
      </c>
      <c r="AI51" s="48">
        <f t="shared" si="3"/>
        <v>400</v>
      </c>
      <c r="AK51" s="74"/>
    </row>
    <row r="52" spans="1:41" x14ac:dyDescent="0.25">
      <c r="A52" s="63" t="s">
        <v>68</v>
      </c>
      <c r="B52" s="64">
        <v>60</v>
      </c>
      <c r="C52" s="64">
        <v>60</v>
      </c>
      <c r="D52" s="64">
        <v>60</v>
      </c>
      <c r="E52" s="64">
        <v>60</v>
      </c>
      <c r="F52" s="64">
        <v>60</v>
      </c>
      <c r="G52" s="64">
        <v>60</v>
      </c>
      <c r="H52" s="64">
        <v>60</v>
      </c>
      <c r="I52" s="64">
        <v>60</v>
      </c>
      <c r="J52" s="64">
        <v>60</v>
      </c>
      <c r="K52" s="64">
        <v>60</v>
      </c>
      <c r="L52" s="64">
        <v>60</v>
      </c>
      <c r="M52" s="64">
        <v>60</v>
      </c>
      <c r="N52" s="64">
        <v>60</v>
      </c>
      <c r="O52" s="64">
        <v>60</v>
      </c>
      <c r="P52" s="64">
        <v>60</v>
      </c>
      <c r="Q52" s="64">
        <v>60</v>
      </c>
      <c r="R52" s="64">
        <v>60</v>
      </c>
      <c r="S52" s="64">
        <v>60</v>
      </c>
      <c r="T52" s="64">
        <v>60</v>
      </c>
      <c r="U52" s="64">
        <v>60</v>
      </c>
      <c r="V52" s="64">
        <v>60</v>
      </c>
      <c r="W52" s="64">
        <v>60</v>
      </c>
      <c r="X52" s="64">
        <v>60</v>
      </c>
      <c r="Y52" s="64">
        <v>60</v>
      </c>
      <c r="Z52" s="64">
        <v>60</v>
      </c>
      <c r="AA52" s="64">
        <v>60</v>
      </c>
      <c r="AB52" s="64">
        <v>60</v>
      </c>
      <c r="AC52" s="64">
        <v>60</v>
      </c>
      <c r="AD52" s="64">
        <v>60</v>
      </c>
      <c r="AE52" s="64">
        <v>60</v>
      </c>
      <c r="AF52" s="64">
        <v>60</v>
      </c>
      <c r="AG52" s="54">
        <v>60</v>
      </c>
      <c r="AH52" s="47">
        <f t="shared" si="2"/>
        <v>60</v>
      </c>
      <c r="AI52" s="48">
        <f t="shared" si="3"/>
        <v>60</v>
      </c>
      <c r="AK52" s="74"/>
    </row>
    <row r="53" spans="1:41" ht="15.75" thickBot="1" x14ac:dyDescent="0.3">
      <c r="A53" s="65" t="s">
        <v>69</v>
      </c>
      <c r="B53" s="66">
        <v>22</v>
      </c>
      <c r="C53" s="66">
        <v>22</v>
      </c>
      <c r="D53" s="66">
        <v>22</v>
      </c>
      <c r="E53" s="66">
        <v>22</v>
      </c>
      <c r="F53" s="66">
        <v>22</v>
      </c>
      <c r="G53" s="66">
        <v>22</v>
      </c>
      <c r="H53" s="66">
        <v>22</v>
      </c>
      <c r="I53" s="66">
        <v>22</v>
      </c>
      <c r="J53" s="66">
        <v>22</v>
      </c>
      <c r="K53" s="66">
        <v>22</v>
      </c>
      <c r="L53" s="66">
        <v>22</v>
      </c>
      <c r="M53" s="66">
        <v>22</v>
      </c>
      <c r="N53" s="66">
        <v>22</v>
      </c>
      <c r="O53" s="66">
        <v>22</v>
      </c>
      <c r="P53" s="66">
        <v>22</v>
      </c>
      <c r="Q53" s="66">
        <v>22.4</v>
      </c>
      <c r="R53" s="66">
        <v>22.4</v>
      </c>
      <c r="S53" s="66">
        <v>22.4</v>
      </c>
      <c r="T53" s="66">
        <v>22.4</v>
      </c>
      <c r="U53" s="66">
        <v>22.4</v>
      </c>
      <c r="V53" s="66">
        <v>22.4</v>
      </c>
      <c r="W53" s="66">
        <v>22.4</v>
      </c>
      <c r="X53" s="66">
        <v>22.4</v>
      </c>
      <c r="Y53" s="66">
        <v>22.4</v>
      </c>
      <c r="Z53" s="66">
        <v>22.4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22.4</v>
      </c>
      <c r="AG53" s="67">
        <v>22.1</v>
      </c>
      <c r="AH53" s="47">
        <f t="shared" si="2"/>
        <v>22.4</v>
      </c>
      <c r="AI53" s="48">
        <f t="shared" si="3"/>
        <v>22</v>
      </c>
      <c r="AK53" s="74"/>
    </row>
    <row r="54" spans="1:41" ht="15.75" thickBot="1" x14ac:dyDescent="0.3">
      <c r="A54" s="68" t="s">
        <v>70</v>
      </c>
      <c r="B54" s="59">
        <f t="shared" ref="B54:AG54" si="7">SUM(B51:B53)</f>
        <v>538</v>
      </c>
      <c r="C54" s="59">
        <f t="shared" si="7"/>
        <v>538</v>
      </c>
      <c r="D54" s="59">
        <f t="shared" si="7"/>
        <v>538</v>
      </c>
      <c r="E54" s="59">
        <f t="shared" si="7"/>
        <v>538</v>
      </c>
      <c r="F54" s="59">
        <f t="shared" si="7"/>
        <v>538</v>
      </c>
      <c r="G54" s="59">
        <f t="shared" si="7"/>
        <v>538</v>
      </c>
      <c r="H54" s="59">
        <f t="shared" si="7"/>
        <v>538</v>
      </c>
      <c r="I54" s="59">
        <f t="shared" si="7"/>
        <v>538</v>
      </c>
      <c r="J54" s="59">
        <f t="shared" si="7"/>
        <v>538</v>
      </c>
      <c r="K54" s="59">
        <f t="shared" si="7"/>
        <v>538</v>
      </c>
      <c r="L54" s="59">
        <f t="shared" si="7"/>
        <v>538</v>
      </c>
      <c r="M54" s="59">
        <f t="shared" si="7"/>
        <v>538</v>
      </c>
      <c r="N54" s="59">
        <f t="shared" si="7"/>
        <v>482</v>
      </c>
      <c r="O54" s="59">
        <f t="shared" si="7"/>
        <v>512</v>
      </c>
      <c r="P54" s="59">
        <f t="shared" si="7"/>
        <v>538</v>
      </c>
      <c r="Q54" s="59">
        <f t="shared" ref="Q54" si="8">SUM(Q51:Q53)</f>
        <v>538.4</v>
      </c>
      <c r="R54" s="59">
        <f t="shared" si="7"/>
        <v>538.4</v>
      </c>
      <c r="S54" s="59">
        <f t="shared" si="7"/>
        <v>538.4</v>
      </c>
      <c r="T54" s="59">
        <f t="shared" si="7"/>
        <v>538.4</v>
      </c>
      <c r="U54" s="59">
        <f t="shared" si="7"/>
        <v>538.4</v>
      </c>
      <c r="V54" s="59">
        <f t="shared" si="7"/>
        <v>482.4</v>
      </c>
      <c r="W54" s="59">
        <f t="shared" si="7"/>
        <v>512.4</v>
      </c>
      <c r="X54" s="59">
        <f t="shared" si="7"/>
        <v>502.4</v>
      </c>
      <c r="Y54" s="59">
        <f t="shared" si="7"/>
        <v>538.4</v>
      </c>
      <c r="Z54" s="59">
        <f t="shared" si="7"/>
        <v>538.4</v>
      </c>
      <c r="AA54" s="59">
        <f t="shared" si="7"/>
        <v>538.4</v>
      </c>
      <c r="AB54" s="59">
        <f t="shared" si="7"/>
        <v>538.4</v>
      </c>
      <c r="AC54" s="59">
        <f t="shared" si="7"/>
        <v>538.4</v>
      </c>
      <c r="AD54" s="59">
        <f t="shared" si="7"/>
        <v>538.4</v>
      </c>
      <c r="AE54" s="59">
        <f t="shared" si="7"/>
        <v>538.4</v>
      </c>
      <c r="AF54" s="59">
        <f t="shared" ref="AF54" si="9">SUM(AF51:AF53)</f>
        <v>538.4</v>
      </c>
      <c r="AG54" s="60">
        <f t="shared" si="7"/>
        <v>538.1</v>
      </c>
      <c r="AH54" s="47">
        <f t="shared" si="2"/>
        <v>538.4</v>
      </c>
      <c r="AI54" s="48">
        <f t="shared" si="3"/>
        <v>482</v>
      </c>
      <c r="AK54" s="74"/>
    </row>
    <row r="55" spans="1:41" x14ac:dyDescent="0.25">
      <c r="A55" s="44" t="s">
        <v>71</v>
      </c>
      <c r="B55" s="45">
        <v>123.4</v>
      </c>
      <c r="C55" s="45">
        <v>91</v>
      </c>
      <c r="D55" s="45">
        <v>81</v>
      </c>
      <c r="E55" s="45">
        <v>91</v>
      </c>
      <c r="F55" s="45">
        <v>106</v>
      </c>
      <c r="G55" s="45">
        <v>127</v>
      </c>
      <c r="H55" s="45">
        <v>127</v>
      </c>
      <c r="I55" s="45">
        <v>127</v>
      </c>
      <c r="J55" s="45">
        <v>134.6</v>
      </c>
      <c r="K55" s="45">
        <v>142</v>
      </c>
      <c r="L55" s="45">
        <v>142.5</v>
      </c>
      <c r="M55" s="45">
        <v>142.30000000000001</v>
      </c>
      <c r="N55" s="45">
        <v>142.30000000000001</v>
      </c>
      <c r="O55" s="45">
        <v>126</v>
      </c>
      <c r="P55" s="45">
        <v>136.6</v>
      </c>
      <c r="Q55" s="45">
        <v>97</v>
      </c>
      <c r="R55" s="45">
        <v>97.1</v>
      </c>
      <c r="S55" s="45">
        <v>97.1</v>
      </c>
      <c r="T55" s="45">
        <v>97.1</v>
      </c>
      <c r="U55" s="45">
        <v>97.1</v>
      </c>
      <c r="V55" s="45">
        <v>97.1</v>
      </c>
      <c r="W55" s="45">
        <v>97.1</v>
      </c>
      <c r="X55" s="45">
        <v>97.1</v>
      </c>
      <c r="Y55" s="45">
        <v>97.1</v>
      </c>
      <c r="Z55" s="45">
        <v>97.1</v>
      </c>
      <c r="AA55" s="45">
        <v>97.1</v>
      </c>
      <c r="AB55" s="45">
        <v>96.9</v>
      </c>
      <c r="AC55" s="45">
        <v>96.9</v>
      </c>
      <c r="AD55" s="45">
        <v>96.9</v>
      </c>
      <c r="AE55" s="45">
        <v>96.9</v>
      </c>
      <c r="AF55" s="45">
        <v>96.9</v>
      </c>
      <c r="AG55" s="51">
        <v>144</v>
      </c>
      <c r="AH55" s="47">
        <f t="shared" si="2"/>
        <v>142.5</v>
      </c>
      <c r="AI55" s="48">
        <f t="shared" si="3"/>
        <v>81</v>
      </c>
      <c r="AK55" s="74"/>
    </row>
    <row r="56" spans="1:41" x14ac:dyDescent="0.25">
      <c r="A56" s="53" t="s">
        <v>72</v>
      </c>
      <c r="B56" s="64">
        <v>58.7</v>
      </c>
      <c r="C56" s="64">
        <v>52.2</v>
      </c>
      <c r="D56" s="64">
        <v>48</v>
      </c>
      <c r="E56" s="64">
        <v>48</v>
      </c>
      <c r="F56" s="64">
        <v>46</v>
      </c>
      <c r="G56" s="64">
        <v>56.5</v>
      </c>
      <c r="H56" s="64">
        <v>55.8</v>
      </c>
      <c r="I56" s="64">
        <v>55.8</v>
      </c>
      <c r="J56" s="64">
        <v>60</v>
      </c>
      <c r="K56" s="64">
        <v>69.7</v>
      </c>
      <c r="L56" s="64">
        <v>70.599999999999994</v>
      </c>
      <c r="M56" s="64">
        <v>58.7</v>
      </c>
      <c r="N56" s="64">
        <v>58.7</v>
      </c>
      <c r="O56" s="64">
        <v>60</v>
      </c>
      <c r="P56" s="64">
        <v>59.8</v>
      </c>
      <c r="Q56" s="64">
        <v>68.099999999999994</v>
      </c>
      <c r="R56" s="64">
        <v>69.5</v>
      </c>
      <c r="S56" s="64">
        <v>69.5</v>
      </c>
      <c r="T56" s="64">
        <v>69.5</v>
      </c>
      <c r="U56" s="64">
        <v>69.5</v>
      </c>
      <c r="V56" s="64">
        <v>69.5</v>
      </c>
      <c r="W56" s="64">
        <v>69.5</v>
      </c>
      <c r="X56" s="64">
        <v>69.5</v>
      </c>
      <c r="Y56" s="64">
        <v>69.5</v>
      </c>
      <c r="Z56" s="64">
        <v>69.5</v>
      </c>
      <c r="AA56" s="64">
        <v>69.5</v>
      </c>
      <c r="AB56" s="45">
        <v>70.7</v>
      </c>
      <c r="AC56" s="45">
        <v>70.7</v>
      </c>
      <c r="AD56" s="45">
        <v>70.7</v>
      </c>
      <c r="AE56" s="45">
        <v>70.7</v>
      </c>
      <c r="AF56" s="45">
        <v>70.7</v>
      </c>
      <c r="AG56" s="54">
        <v>70</v>
      </c>
      <c r="AH56" s="47">
        <f t="shared" si="2"/>
        <v>70.7</v>
      </c>
      <c r="AI56" s="48">
        <f t="shared" si="3"/>
        <v>46</v>
      </c>
      <c r="AK56" s="74"/>
    </row>
    <row r="57" spans="1:41" x14ac:dyDescent="0.25">
      <c r="A57" s="53" t="s">
        <v>73</v>
      </c>
      <c r="B57" s="64">
        <v>52.6</v>
      </c>
      <c r="C57" s="64">
        <v>40</v>
      </c>
      <c r="D57" s="64">
        <v>32</v>
      </c>
      <c r="E57" s="64">
        <v>32.5</v>
      </c>
      <c r="F57" s="64">
        <v>54</v>
      </c>
      <c r="G57" s="64">
        <v>54.8</v>
      </c>
      <c r="H57" s="64">
        <v>55</v>
      </c>
      <c r="I57" s="64">
        <v>55</v>
      </c>
      <c r="J57" s="64">
        <v>60</v>
      </c>
      <c r="K57" s="64">
        <v>67.5</v>
      </c>
      <c r="L57" s="64">
        <v>67.7</v>
      </c>
      <c r="M57" s="64">
        <v>61.3</v>
      </c>
      <c r="N57" s="64">
        <v>61.3</v>
      </c>
      <c r="O57" s="64">
        <v>60.8</v>
      </c>
      <c r="P57" s="64">
        <v>68.099999999999994</v>
      </c>
      <c r="Q57" s="64">
        <v>67.8</v>
      </c>
      <c r="R57" s="64">
        <v>56.3</v>
      </c>
      <c r="S57" s="64">
        <v>56.3</v>
      </c>
      <c r="T57" s="64">
        <v>70</v>
      </c>
      <c r="U57" s="64">
        <v>69</v>
      </c>
      <c r="V57" s="64">
        <v>69</v>
      </c>
      <c r="W57" s="64">
        <v>69</v>
      </c>
      <c r="X57" s="64">
        <v>69</v>
      </c>
      <c r="Y57" s="64">
        <v>69</v>
      </c>
      <c r="Z57" s="64">
        <v>69</v>
      </c>
      <c r="AA57" s="64">
        <v>69</v>
      </c>
      <c r="AB57" s="45">
        <v>68.900000000000006</v>
      </c>
      <c r="AC57" s="45">
        <v>68.900000000000006</v>
      </c>
      <c r="AD57" s="45">
        <v>68.900000000000006</v>
      </c>
      <c r="AE57" s="45">
        <v>68.900000000000006</v>
      </c>
      <c r="AF57" s="45">
        <v>68.900000000000006</v>
      </c>
      <c r="AG57" s="54">
        <v>69</v>
      </c>
      <c r="AH57" s="47">
        <f t="shared" si="2"/>
        <v>70</v>
      </c>
      <c r="AI57" s="48">
        <f t="shared" si="3"/>
        <v>32</v>
      </c>
      <c r="AK57" s="74"/>
    </row>
    <row r="58" spans="1:41" x14ac:dyDescent="0.25">
      <c r="A58" s="53" t="s">
        <v>74</v>
      </c>
      <c r="B58" s="64">
        <v>60</v>
      </c>
      <c r="C58" s="64">
        <v>60</v>
      </c>
      <c r="D58" s="64">
        <v>60</v>
      </c>
      <c r="E58" s="64">
        <v>60</v>
      </c>
      <c r="F58" s="56">
        <v>50</v>
      </c>
      <c r="G58" s="56">
        <v>42</v>
      </c>
      <c r="H58" s="56">
        <v>56.2</v>
      </c>
      <c r="I58" s="56">
        <v>56.2</v>
      </c>
      <c r="J58" s="56">
        <v>60.7</v>
      </c>
      <c r="K58" s="56">
        <v>60.4</v>
      </c>
      <c r="L58" s="56">
        <v>60.4</v>
      </c>
      <c r="M58" s="64">
        <v>60.7</v>
      </c>
      <c r="N58" s="64">
        <v>60.7</v>
      </c>
      <c r="O58" s="64">
        <v>55.7</v>
      </c>
      <c r="P58" s="64">
        <v>55.7</v>
      </c>
      <c r="Q58" s="64">
        <v>60.9</v>
      </c>
      <c r="R58" s="64">
        <v>50.6</v>
      </c>
      <c r="S58" s="64">
        <v>50.6</v>
      </c>
      <c r="T58" s="64">
        <v>59</v>
      </c>
      <c r="U58" s="64">
        <v>59</v>
      </c>
      <c r="V58" s="64">
        <v>59</v>
      </c>
      <c r="W58" s="64">
        <v>60</v>
      </c>
      <c r="X58" s="64">
        <v>60</v>
      </c>
      <c r="Y58" s="64">
        <v>60</v>
      </c>
      <c r="Z58" s="64">
        <v>60</v>
      </c>
      <c r="AA58" s="64">
        <v>60</v>
      </c>
      <c r="AB58" s="45">
        <v>60.4</v>
      </c>
      <c r="AC58" s="45">
        <v>60.4</v>
      </c>
      <c r="AD58" s="45">
        <v>60.4</v>
      </c>
      <c r="AE58" s="45">
        <v>60.4</v>
      </c>
      <c r="AF58" s="45">
        <v>60.4</v>
      </c>
      <c r="AG58" s="54">
        <v>60</v>
      </c>
      <c r="AH58" s="47">
        <f t="shared" si="2"/>
        <v>60.9</v>
      </c>
      <c r="AI58" s="48">
        <f t="shared" si="3"/>
        <v>42</v>
      </c>
      <c r="AK58" s="74"/>
    </row>
    <row r="59" spans="1:41" x14ac:dyDescent="0.25">
      <c r="A59" s="53" t="s">
        <v>75</v>
      </c>
      <c r="B59" s="64">
        <v>30</v>
      </c>
      <c r="C59" s="64">
        <v>30</v>
      </c>
      <c r="D59" s="64">
        <v>30</v>
      </c>
      <c r="E59" s="64">
        <v>30</v>
      </c>
      <c r="F59" s="64">
        <v>30</v>
      </c>
      <c r="G59" s="56">
        <v>0</v>
      </c>
      <c r="H59" s="56">
        <v>30</v>
      </c>
      <c r="I59" s="56">
        <v>30</v>
      </c>
      <c r="J59" s="56">
        <v>0</v>
      </c>
      <c r="K59" s="56">
        <v>30</v>
      </c>
      <c r="L59" s="56">
        <v>30</v>
      </c>
      <c r="M59" s="64">
        <v>30</v>
      </c>
      <c r="N59" s="64">
        <v>30</v>
      </c>
      <c r="O59" s="64">
        <v>30</v>
      </c>
      <c r="P59" s="64">
        <v>30</v>
      </c>
      <c r="Q59" s="64">
        <v>30</v>
      </c>
      <c r="R59" s="64">
        <v>30</v>
      </c>
      <c r="S59" s="64">
        <v>30</v>
      </c>
      <c r="T59" s="64">
        <v>30</v>
      </c>
      <c r="U59" s="64">
        <v>30</v>
      </c>
      <c r="V59" s="64">
        <v>30</v>
      </c>
      <c r="W59" s="64">
        <v>30</v>
      </c>
      <c r="X59" s="64">
        <v>30</v>
      </c>
      <c r="Y59" s="64">
        <v>30</v>
      </c>
      <c r="Z59" s="64">
        <v>30</v>
      </c>
      <c r="AA59" s="64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2</v>
      </c>
      <c r="N60" s="64">
        <v>6</v>
      </c>
      <c r="O60" s="64">
        <v>10.6</v>
      </c>
      <c r="P60" s="64">
        <v>19.7</v>
      </c>
      <c r="Q60" s="64">
        <v>13.7</v>
      </c>
      <c r="R60" s="64">
        <v>18.600000000000001</v>
      </c>
      <c r="S60" s="64">
        <v>18.600000000000001</v>
      </c>
      <c r="T60" s="64">
        <v>13.7</v>
      </c>
      <c r="U60" s="64">
        <v>7.3</v>
      </c>
      <c r="V60" s="64">
        <v>7.3</v>
      </c>
      <c r="W60" s="64">
        <v>7.3</v>
      </c>
      <c r="X60" s="64">
        <v>1.3</v>
      </c>
      <c r="Y60" s="64">
        <v>1.3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54">
        <v>25</v>
      </c>
      <c r="AH60" s="47">
        <f t="shared" si="2"/>
        <v>19.7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74"/>
    </row>
    <row r="62" spans="1:41" x14ac:dyDescent="0.25">
      <c r="A62" s="53" t="s">
        <v>78</v>
      </c>
      <c r="B62" s="64">
        <v>2.2000000000000002</v>
      </c>
      <c r="C62" s="64">
        <v>2.2000000000000002</v>
      </c>
      <c r="D62" s="64">
        <v>2.2000000000000002</v>
      </c>
      <c r="E62" s="64">
        <v>2.2000000000000002</v>
      </c>
      <c r="F62" s="64">
        <v>2.2000000000000002</v>
      </c>
      <c r="G62" s="64">
        <v>2.2000000000000002</v>
      </c>
      <c r="H62" s="64">
        <v>2.2000000000000002</v>
      </c>
      <c r="I62" s="64">
        <v>2.2000000000000002</v>
      </c>
      <c r="J62" s="64">
        <v>2.2000000000000002</v>
      </c>
      <c r="K62" s="64">
        <v>2.2000000000000002</v>
      </c>
      <c r="L62" s="64">
        <v>2.2000000000000002</v>
      </c>
      <c r="M62" s="64">
        <v>3.8</v>
      </c>
      <c r="N62" s="64">
        <v>3.8</v>
      </c>
      <c r="O62" s="64">
        <v>3.8</v>
      </c>
      <c r="P62" s="64">
        <v>3.8</v>
      </c>
      <c r="Q62" s="64">
        <v>3.8</v>
      </c>
      <c r="R62" s="64">
        <v>3.8</v>
      </c>
      <c r="S62" s="64">
        <v>3.8</v>
      </c>
      <c r="T62" s="64">
        <v>3.8</v>
      </c>
      <c r="U62" s="64">
        <v>3.8</v>
      </c>
      <c r="V62" s="64">
        <v>3.8</v>
      </c>
      <c r="W62" s="64">
        <v>3.8</v>
      </c>
      <c r="X62" s="64">
        <v>3.8</v>
      </c>
      <c r="Y62" s="64">
        <v>3.8</v>
      </c>
      <c r="Z62" s="64">
        <v>3.8</v>
      </c>
      <c r="AA62" s="64">
        <v>3.8</v>
      </c>
      <c r="AB62" s="64">
        <v>3.8</v>
      </c>
      <c r="AC62" s="64">
        <v>3.8</v>
      </c>
      <c r="AD62" s="64">
        <v>3.8</v>
      </c>
      <c r="AE62" s="64">
        <v>3.8</v>
      </c>
      <c r="AF62" s="64">
        <v>3.8</v>
      </c>
      <c r="AG62" s="54">
        <v>15</v>
      </c>
      <c r="AH62" s="47">
        <f t="shared" si="2"/>
        <v>3.8</v>
      </c>
      <c r="AI62" s="48">
        <f t="shared" si="3"/>
        <v>2.2000000000000002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12.5</v>
      </c>
      <c r="C63" s="64">
        <v>12.5</v>
      </c>
      <c r="D63" s="64">
        <v>12.5</v>
      </c>
      <c r="E63" s="64">
        <v>12.5</v>
      </c>
      <c r="F63" s="64">
        <v>12.5</v>
      </c>
      <c r="G63" s="64">
        <v>12.5</v>
      </c>
      <c r="H63" s="64">
        <v>12.5</v>
      </c>
      <c r="I63" s="64">
        <v>12.5</v>
      </c>
      <c r="J63" s="64">
        <v>12.5</v>
      </c>
      <c r="K63" s="64">
        <v>12.5</v>
      </c>
      <c r="L63" s="64">
        <v>12.5</v>
      </c>
      <c r="M63" s="64">
        <v>10.4</v>
      </c>
      <c r="N63" s="64">
        <v>10.4</v>
      </c>
      <c r="O63" s="64">
        <v>10.4</v>
      </c>
      <c r="P63" s="64">
        <v>11.9</v>
      </c>
      <c r="Q63" s="64">
        <v>7.2</v>
      </c>
      <c r="R63" s="64">
        <v>7.2</v>
      </c>
      <c r="S63" s="64">
        <v>7.2</v>
      </c>
      <c r="T63" s="64">
        <v>7.2</v>
      </c>
      <c r="U63" s="64">
        <v>7.2</v>
      </c>
      <c r="V63" s="64">
        <v>7.2</v>
      </c>
      <c r="W63" s="64">
        <v>7.2</v>
      </c>
      <c r="X63" s="64">
        <v>7.2</v>
      </c>
      <c r="Y63" s="64">
        <v>7.2</v>
      </c>
      <c r="Z63" s="64">
        <v>7.2</v>
      </c>
      <c r="AA63" s="64">
        <v>7.2</v>
      </c>
      <c r="AB63" s="64">
        <v>7.2</v>
      </c>
      <c r="AC63" s="64">
        <v>7.2</v>
      </c>
      <c r="AD63" s="64">
        <v>7.2</v>
      </c>
      <c r="AE63" s="64">
        <v>7.2</v>
      </c>
      <c r="AF63" s="64">
        <v>7.2</v>
      </c>
      <c r="AG63" s="54">
        <v>14.1</v>
      </c>
      <c r="AH63" s="47">
        <f t="shared" si="2"/>
        <v>12.5</v>
      </c>
      <c r="AI63" s="48">
        <f t="shared" si="3"/>
        <v>7.2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14</v>
      </c>
      <c r="C64" s="64">
        <v>14</v>
      </c>
      <c r="D64" s="64">
        <v>14</v>
      </c>
      <c r="E64" s="64">
        <v>14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14.4</v>
      </c>
      <c r="N64" s="64">
        <v>14.4</v>
      </c>
      <c r="O64" s="64">
        <v>14.4</v>
      </c>
      <c r="P64" s="64">
        <v>14.4</v>
      </c>
      <c r="Q64" s="64">
        <v>14.4</v>
      </c>
      <c r="R64" s="64">
        <v>14.4</v>
      </c>
      <c r="S64" s="64">
        <v>14.4</v>
      </c>
      <c r="T64" s="64">
        <v>14.3</v>
      </c>
      <c r="U64" s="64">
        <v>6.9</v>
      </c>
      <c r="V64" s="64">
        <v>6.9</v>
      </c>
      <c r="W64" s="64">
        <v>6.9</v>
      </c>
      <c r="X64" s="64">
        <v>14.3</v>
      </c>
      <c r="Y64" s="64">
        <v>14.3</v>
      </c>
      <c r="Z64" s="64">
        <v>14.3</v>
      </c>
      <c r="AA64" s="64">
        <v>14.3</v>
      </c>
      <c r="AB64" s="64">
        <v>14.3</v>
      </c>
      <c r="AC64" s="64">
        <v>14.3</v>
      </c>
      <c r="AD64" s="64">
        <v>14.3</v>
      </c>
      <c r="AE64" s="64">
        <v>14.3</v>
      </c>
      <c r="AF64" s="64">
        <v>14.3</v>
      </c>
      <c r="AG64" s="54">
        <v>14</v>
      </c>
      <c r="AH64" s="47">
        <f t="shared" si="2"/>
        <v>14.4</v>
      </c>
      <c r="AI64" s="48">
        <f t="shared" si="3"/>
        <v>0</v>
      </c>
      <c r="AK64" s="74"/>
    </row>
    <row r="65" spans="1:40" x14ac:dyDescent="0.25">
      <c r="A65" s="53" t="s">
        <v>81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>
        <v>9</v>
      </c>
      <c r="H65" s="64">
        <v>9</v>
      </c>
      <c r="I65" s="64">
        <v>9</v>
      </c>
      <c r="J65" s="64">
        <v>9</v>
      </c>
      <c r="K65" s="64">
        <v>9</v>
      </c>
      <c r="L65" s="64">
        <v>9</v>
      </c>
      <c r="M65" s="64">
        <v>9</v>
      </c>
      <c r="N65" s="64">
        <v>9</v>
      </c>
      <c r="O65" s="64">
        <v>9</v>
      </c>
      <c r="P65" s="64">
        <v>9</v>
      </c>
      <c r="Q65" s="64">
        <v>9</v>
      </c>
      <c r="R65" s="64">
        <v>9</v>
      </c>
      <c r="S65" s="64">
        <v>9</v>
      </c>
      <c r="T65" s="64">
        <v>9</v>
      </c>
      <c r="U65" s="64">
        <v>9</v>
      </c>
      <c r="V65" s="64">
        <v>9</v>
      </c>
      <c r="W65" s="64">
        <v>9</v>
      </c>
      <c r="X65" s="64">
        <v>9</v>
      </c>
      <c r="Y65" s="64">
        <v>9</v>
      </c>
      <c r="Z65" s="64">
        <v>9</v>
      </c>
      <c r="AA65" s="64">
        <v>9</v>
      </c>
      <c r="AB65" s="64">
        <v>9</v>
      </c>
      <c r="AC65" s="64">
        <v>9</v>
      </c>
      <c r="AD65" s="64">
        <v>9</v>
      </c>
      <c r="AE65" s="64">
        <v>9</v>
      </c>
      <c r="AF65" s="64">
        <v>9</v>
      </c>
      <c r="AG65" s="54">
        <v>10.050000000000001</v>
      </c>
      <c r="AH65" s="47">
        <f t="shared" si="2"/>
        <v>9</v>
      </c>
      <c r="AI65" s="48">
        <f t="shared" si="3"/>
        <v>9</v>
      </c>
      <c r="AK65" s="74"/>
    </row>
    <row r="66" spans="1:40" x14ac:dyDescent="0.25">
      <c r="A66" s="53" t="s">
        <v>82</v>
      </c>
      <c r="B66" s="64">
        <v>3</v>
      </c>
      <c r="C66" s="64">
        <v>3</v>
      </c>
      <c r="D66" s="64">
        <v>3</v>
      </c>
      <c r="E66" s="64">
        <v>3</v>
      </c>
      <c r="F66" s="64">
        <v>3</v>
      </c>
      <c r="G66" s="64">
        <v>3</v>
      </c>
      <c r="H66" s="64">
        <v>3</v>
      </c>
      <c r="I66" s="64">
        <v>3</v>
      </c>
      <c r="J66" s="64">
        <v>3</v>
      </c>
      <c r="K66" s="64">
        <v>3</v>
      </c>
      <c r="L66" s="64">
        <v>3</v>
      </c>
      <c r="M66" s="64">
        <v>3</v>
      </c>
      <c r="N66" s="64">
        <v>3</v>
      </c>
      <c r="O66" s="64">
        <v>3</v>
      </c>
      <c r="P66" s="64">
        <v>3</v>
      </c>
      <c r="Q66" s="64">
        <v>3</v>
      </c>
      <c r="R66" s="64">
        <v>3</v>
      </c>
      <c r="S66" s="64">
        <v>3</v>
      </c>
      <c r="T66" s="64">
        <v>3</v>
      </c>
      <c r="U66" s="64">
        <v>3</v>
      </c>
      <c r="V66" s="64">
        <v>3</v>
      </c>
      <c r="W66" s="64">
        <v>3</v>
      </c>
      <c r="X66" s="64">
        <v>3</v>
      </c>
      <c r="Y66" s="64">
        <v>3</v>
      </c>
      <c r="Z66" s="64">
        <v>3</v>
      </c>
      <c r="AA66" s="64">
        <v>3</v>
      </c>
      <c r="AB66" s="64">
        <v>3</v>
      </c>
      <c r="AC66" s="64">
        <v>3</v>
      </c>
      <c r="AD66" s="64">
        <v>3</v>
      </c>
      <c r="AE66" s="64">
        <v>3</v>
      </c>
      <c r="AF66" s="64">
        <v>3</v>
      </c>
      <c r="AG66" s="54">
        <v>6.2</v>
      </c>
      <c r="AH66" s="47">
        <f t="shared" si="2"/>
        <v>3</v>
      </c>
      <c r="AI66" s="48">
        <f t="shared" si="3"/>
        <v>3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AG68" si="10">SUM(B55:B67)</f>
        <v>383.94000000000005</v>
      </c>
      <c r="C68" s="59">
        <f t="shared" si="10"/>
        <v>332.44</v>
      </c>
      <c r="D68" s="59">
        <f t="shared" si="10"/>
        <v>310.24</v>
      </c>
      <c r="E68" s="59">
        <f t="shared" si="10"/>
        <v>320.74</v>
      </c>
      <c r="F68" s="59">
        <f t="shared" si="10"/>
        <v>331.24</v>
      </c>
      <c r="G68" s="59">
        <f t="shared" si="10"/>
        <v>325.54000000000002</v>
      </c>
      <c r="H68" s="59">
        <f t="shared" si="10"/>
        <v>369.24</v>
      </c>
      <c r="I68" s="59">
        <f t="shared" si="10"/>
        <v>369.24</v>
      </c>
      <c r="J68" s="59">
        <f t="shared" si="10"/>
        <v>360.54</v>
      </c>
      <c r="K68" s="59">
        <f t="shared" si="10"/>
        <v>414.84</v>
      </c>
      <c r="L68" s="59">
        <f t="shared" si="10"/>
        <v>416.44</v>
      </c>
      <c r="M68" s="59">
        <f t="shared" si="10"/>
        <v>414.14</v>
      </c>
      <c r="N68" s="59">
        <f t="shared" si="10"/>
        <v>418.14</v>
      </c>
      <c r="O68" s="59">
        <f t="shared" si="10"/>
        <v>402.24</v>
      </c>
      <c r="P68" s="59">
        <f t="shared" si="10"/>
        <v>430.53999999999996</v>
      </c>
      <c r="Q68" s="59">
        <f t="shared" si="10"/>
        <v>393.43999999999994</v>
      </c>
      <c r="R68" s="59">
        <f t="shared" si="10"/>
        <v>378.04</v>
      </c>
      <c r="S68" s="59">
        <f t="shared" si="10"/>
        <v>378.04</v>
      </c>
      <c r="T68" s="59">
        <f t="shared" si="10"/>
        <v>395.14000000000004</v>
      </c>
      <c r="U68" s="59">
        <f t="shared" si="10"/>
        <v>380.34000000000003</v>
      </c>
      <c r="V68" s="59">
        <f t="shared" si="10"/>
        <v>380.34000000000003</v>
      </c>
      <c r="W68" s="59">
        <f t="shared" si="10"/>
        <v>381.34000000000003</v>
      </c>
      <c r="X68" s="59">
        <f t="shared" si="10"/>
        <v>382.74000000000007</v>
      </c>
      <c r="Y68" s="59">
        <f t="shared" si="10"/>
        <v>382.74000000000007</v>
      </c>
      <c r="Z68" s="59">
        <f t="shared" si="10"/>
        <v>381.44000000000005</v>
      </c>
      <c r="AA68" s="59">
        <f t="shared" si="10"/>
        <v>381.44000000000005</v>
      </c>
      <c r="AB68" s="59">
        <f t="shared" si="10"/>
        <v>382.74000000000007</v>
      </c>
      <c r="AC68" s="59">
        <f t="shared" si="10"/>
        <v>382.74000000000007</v>
      </c>
      <c r="AD68" s="59">
        <f t="shared" si="10"/>
        <v>382.74000000000007</v>
      </c>
      <c r="AE68" s="59">
        <f t="shared" si="10"/>
        <v>382.74000000000007</v>
      </c>
      <c r="AF68" s="59">
        <f t="shared" si="10"/>
        <v>382.74000000000007</v>
      </c>
      <c r="AG68" s="60">
        <f t="shared" si="10"/>
        <v>489.91</v>
      </c>
      <c r="AH68" s="47">
        <f t="shared" si="2"/>
        <v>430.53999999999996</v>
      </c>
      <c r="AI68" s="48">
        <f t="shared" si="3"/>
        <v>310.24</v>
      </c>
      <c r="AK68" s="74"/>
    </row>
    <row r="69" spans="1:40" x14ac:dyDescent="0.25">
      <c r="A69" s="44" t="s">
        <v>85</v>
      </c>
      <c r="B69" s="45">
        <v>14.2</v>
      </c>
      <c r="C69" s="45">
        <v>14.2</v>
      </c>
      <c r="D69" s="45">
        <v>14.2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14.1</v>
      </c>
      <c r="N69" s="45">
        <v>0</v>
      </c>
      <c r="O69" s="45">
        <v>0</v>
      </c>
      <c r="P69" s="45">
        <v>0</v>
      </c>
      <c r="Q69" s="45">
        <v>29.6</v>
      </c>
      <c r="R69" s="45">
        <v>13.8</v>
      </c>
      <c r="S69" s="45">
        <v>11</v>
      </c>
      <c r="T69" s="45">
        <v>13.6</v>
      </c>
      <c r="U69" s="45">
        <v>19.5</v>
      </c>
      <c r="V69" s="45">
        <v>10</v>
      </c>
      <c r="W69" s="45">
        <v>13.6</v>
      </c>
      <c r="X69" s="45">
        <v>0</v>
      </c>
      <c r="Y69" s="45">
        <v>0</v>
      </c>
      <c r="Z69" s="45">
        <v>0</v>
      </c>
      <c r="AA69" s="45">
        <v>29</v>
      </c>
      <c r="AB69" s="45">
        <v>29.5</v>
      </c>
      <c r="AC69" s="45">
        <v>29.5</v>
      </c>
      <c r="AD69" s="45">
        <v>29.5</v>
      </c>
      <c r="AE69" s="45">
        <v>14</v>
      </c>
      <c r="AF69" s="45">
        <v>0</v>
      </c>
      <c r="AG69" s="51">
        <v>60</v>
      </c>
      <c r="AH69" s="47">
        <f t="shared" si="2"/>
        <v>29.6</v>
      </c>
      <c r="AI69" s="48">
        <f t="shared" si="3"/>
        <v>0</v>
      </c>
      <c r="AK69" s="74"/>
    </row>
    <row r="70" spans="1:40" x14ac:dyDescent="0.25">
      <c r="A70" s="53" t="s">
        <v>86</v>
      </c>
      <c r="B70" s="45">
        <v>5.2</v>
      </c>
      <c r="C70" s="45">
        <v>5.2</v>
      </c>
      <c r="D70" s="45">
        <v>5.2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6.5</v>
      </c>
      <c r="N70" s="64">
        <v>0</v>
      </c>
      <c r="O70" s="64">
        <v>0</v>
      </c>
      <c r="P70" s="64">
        <v>0</v>
      </c>
      <c r="Q70" s="64">
        <v>14.9</v>
      </c>
      <c r="R70" s="64">
        <v>6.1</v>
      </c>
      <c r="S70" s="64">
        <v>12.2</v>
      </c>
      <c r="T70" s="64">
        <v>5.6</v>
      </c>
      <c r="U70" s="64">
        <v>14.9</v>
      </c>
      <c r="V70" s="64">
        <v>5</v>
      </c>
      <c r="W70" s="64">
        <v>5.7</v>
      </c>
      <c r="X70" s="64">
        <v>4.5999999999999996</v>
      </c>
      <c r="Y70" s="64">
        <v>0</v>
      </c>
      <c r="Z70" s="64">
        <v>0</v>
      </c>
      <c r="AA70" s="64">
        <v>4.7</v>
      </c>
      <c r="AB70" s="64">
        <v>14.4</v>
      </c>
      <c r="AC70" s="64">
        <v>14.4</v>
      </c>
      <c r="AD70" s="64">
        <v>14.4</v>
      </c>
      <c r="AE70" s="64">
        <v>14</v>
      </c>
      <c r="AF70" s="64">
        <v>0</v>
      </c>
      <c r="AG70" s="54">
        <v>32</v>
      </c>
      <c r="AH70" s="47">
        <f t="shared" si="2"/>
        <v>14.9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>
        <v>1.9</v>
      </c>
      <c r="C71" s="45">
        <v>1.9</v>
      </c>
      <c r="D71" s="45">
        <v>1.9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2.4</v>
      </c>
      <c r="N71" s="66">
        <v>0</v>
      </c>
      <c r="O71" s="66">
        <v>0</v>
      </c>
      <c r="P71" s="66">
        <v>0</v>
      </c>
      <c r="Q71" s="66">
        <v>5.5</v>
      </c>
      <c r="R71" s="66">
        <v>2.2000000000000002</v>
      </c>
      <c r="S71" s="66">
        <v>4.4000000000000004</v>
      </c>
      <c r="T71" s="66">
        <v>2</v>
      </c>
      <c r="U71" s="66">
        <v>5.4</v>
      </c>
      <c r="V71" s="66">
        <v>2</v>
      </c>
      <c r="W71" s="66">
        <v>2.1</v>
      </c>
      <c r="X71" s="66">
        <v>1.7</v>
      </c>
      <c r="Y71" s="66">
        <v>0</v>
      </c>
      <c r="Z71" s="66">
        <v>0</v>
      </c>
      <c r="AA71" s="66">
        <v>1.7</v>
      </c>
      <c r="AB71" s="66">
        <v>5.3</v>
      </c>
      <c r="AC71" s="66">
        <v>5.3</v>
      </c>
      <c r="AD71" s="66">
        <v>5.3</v>
      </c>
      <c r="AE71" s="66">
        <v>5.5</v>
      </c>
      <c r="AF71" s="66">
        <v>0</v>
      </c>
      <c r="AG71" s="67">
        <v>14</v>
      </c>
      <c r="AH71" s="47">
        <f t="shared" si="2"/>
        <v>5.5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>B69+B70+B71</f>
        <v>21.299999999999997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F72" si="11">M69+M70+M71</f>
        <v>23</v>
      </c>
      <c r="N72" s="59">
        <f t="shared" si="11"/>
        <v>0</v>
      </c>
      <c r="O72" s="59">
        <f t="shared" si="11"/>
        <v>0</v>
      </c>
      <c r="P72" s="59">
        <f t="shared" si="11"/>
        <v>0</v>
      </c>
      <c r="Q72" s="59">
        <f t="shared" si="11"/>
        <v>50</v>
      </c>
      <c r="R72" s="59">
        <f t="shared" si="11"/>
        <v>22.099999999999998</v>
      </c>
      <c r="S72" s="59">
        <f t="shared" si="11"/>
        <v>27.6</v>
      </c>
      <c r="T72" s="59">
        <f t="shared" si="11"/>
        <v>21.2</v>
      </c>
      <c r="U72" s="59">
        <f t="shared" si="11"/>
        <v>39.799999999999997</v>
      </c>
      <c r="V72" s="59">
        <f t="shared" si="11"/>
        <v>17</v>
      </c>
      <c r="W72" s="59">
        <f t="shared" si="11"/>
        <v>21.400000000000002</v>
      </c>
      <c r="X72" s="59">
        <f t="shared" si="11"/>
        <v>6.3</v>
      </c>
      <c r="Y72" s="59">
        <f t="shared" si="11"/>
        <v>0</v>
      </c>
      <c r="Z72" s="59">
        <f t="shared" si="11"/>
        <v>0</v>
      </c>
      <c r="AA72" s="59">
        <f t="shared" si="11"/>
        <v>35.400000000000006</v>
      </c>
      <c r="AB72" s="59">
        <f t="shared" si="11"/>
        <v>49.199999999999996</v>
      </c>
      <c r="AC72" s="59">
        <f t="shared" si="11"/>
        <v>49.199999999999996</v>
      </c>
      <c r="AD72" s="59">
        <f t="shared" si="11"/>
        <v>49.199999999999996</v>
      </c>
      <c r="AE72" s="59">
        <f t="shared" si="11"/>
        <v>33.5</v>
      </c>
      <c r="AF72" s="59">
        <f t="shared" si="11"/>
        <v>0</v>
      </c>
      <c r="AG72" s="60">
        <f>SUM(AG69:AG71)</f>
        <v>106</v>
      </c>
      <c r="AH72" s="47">
        <f t="shared" si="2"/>
        <v>50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45.9</v>
      </c>
      <c r="C73" s="45">
        <v>40</v>
      </c>
      <c r="D73" s="45">
        <v>21</v>
      </c>
      <c r="E73" s="45">
        <v>19.5</v>
      </c>
      <c r="F73" s="45">
        <v>7.7</v>
      </c>
      <c r="G73" s="45">
        <v>42.7</v>
      </c>
      <c r="H73" s="45">
        <v>1</v>
      </c>
      <c r="I73" s="45">
        <v>5.5</v>
      </c>
      <c r="J73" s="45">
        <v>53</v>
      </c>
      <c r="K73" s="45">
        <v>-12</v>
      </c>
      <c r="L73" s="45">
        <v>0</v>
      </c>
      <c r="M73" s="45">
        <v>11.4</v>
      </c>
      <c r="N73" s="45">
        <v>42.5</v>
      </c>
      <c r="O73" s="45">
        <v>46.5</v>
      </c>
      <c r="P73" s="45">
        <v>60.3</v>
      </c>
      <c r="Q73" s="45">
        <v>67</v>
      </c>
      <c r="R73" s="45">
        <v>54.1</v>
      </c>
      <c r="S73" s="45">
        <v>65.5</v>
      </c>
      <c r="T73" s="45">
        <v>63.6</v>
      </c>
      <c r="U73" s="45">
        <v>69</v>
      </c>
      <c r="V73" s="45">
        <v>68.5</v>
      </c>
      <c r="W73" s="45">
        <v>54.3</v>
      </c>
      <c r="X73" s="45">
        <v>50</v>
      </c>
      <c r="Y73" s="45">
        <v>51</v>
      </c>
      <c r="Z73" s="45">
        <v>51.6</v>
      </c>
      <c r="AA73" s="45">
        <v>65.400000000000006</v>
      </c>
      <c r="AB73" s="45">
        <v>71.5</v>
      </c>
      <c r="AC73" s="45">
        <v>74</v>
      </c>
      <c r="AD73" s="45">
        <v>65</v>
      </c>
      <c r="AE73" s="45">
        <v>63</v>
      </c>
      <c r="AF73" s="45">
        <v>61</v>
      </c>
      <c r="AG73" s="51"/>
      <c r="AH73" s="47">
        <f t="shared" si="2"/>
        <v>74</v>
      </c>
      <c r="AI73" s="48">
        <f t="shared" si="3"/>
        <v>-12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-307</v>
      </c>
      <c r="C75" s="64">
        <v>-307</v>
      </c>
      <c r="D75" s="64">
        <v>-350</v>
      </c>
      <c r="E75" s="64">
        <v>-324</v>
      </c>
      <c r="F75" s="64">
        <v>-414</v>
      </c>
      <c r="G75" s="64">
        <v>-393</v>
      </c>
      <c r="H75" s="64">
        <v>-423</v>
      </c>
      <c r="I75" s="64">
        <v>-393</v>
      </c>
      <c r="J75" s="64">
        <v>-375</v>
      </c>
      <c r="K75" s="64">
        <v>-355</v>
      </c>
      <c r="L75" s="64">
        <v>-369</v>
      </c>
      <c r="M75" s="64">
        <v>-417.4</v>
      </c>
      <c r="N75" s="64">
        <v>-277</v>
      </c>
      <c r="O75" s="64">
        <v>-244.5</v>
      </c>
      <c r="P75" s="64">
        <v>-270</v>
      </c>
      <c r="Q75" s="64">
        <v>-230.2</v>
      </c>
      <c r="R75" s="64">
        <v>-228.3</v>
      </c>
      <c r="S75" s="64">
        <v>-187</v>
      </c>
      <c r="T75" s="64">
        <v>-221</v>
      </c>
      <c r="U75" s="64">
        <v>-276</v>
      </c>
      <c r="V75" s="64">
        <v>-218</v>
      </c>
      <c r="W75" s="64">
        <v>-218</v>
      </c>
      <c r="X75" s="64">
        <v>-206</v>
      </c>
      <c r="Y75" s="64">
        <v>-236</v>
      </c>
      <c r="Z75" s="64">
        <v>-208</v>
      </c>
      <c r="AA75" s="64">
        <v>-187</v>
      </c>
      <c r="AB75" s="64">
        <v>-191</v>
      </c>
      <c r="AC75" s="64">
        <v>-200</v>
      </c>
      <c r="AD75" s="64">
        <v>-200</v>
      </c>
      <c r="AE75" s="64">
        <v>-260</v>
      </c>
      <c r="AF75" s="64">
        <v>-260</v>
      </c>
      <c r="AG75" s="75"/>
      <c r="AH75" s="47">
        <f t="shared" si="2"/>
        <v>-187</v>
      </c>
      <c r="AI75" s="48">
        <f t="shared" si="3"/>
        <v>-423</v>
      </c>
      <c r="AK75" s="74"/>
    </row>
    <row r="76" spans="1:40" x14ac:dyDescent="0.25">
      <c r="A76" s="53" t="s">
        <v>92</v>
      </c>
      <c r="B76" s="64">
        <v>10</v>
      </c>
      <c r="C76" s="64">
        <v>10</v>
      </c>
      <c r="D76" s="64">
        <v>10</v>
      </c>
      <c r="E76" s="64">
        <v>10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10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10</v>
      </c>
      <c r="AD76" s="64">
        <v>10</v>
      </c>
      <c r="AE76" s="76">
        <v>10</v>
      </c>
      <c r="AF76" s="76">
        <v>10</v>
      </c>
      <c r="AG76" s="75"/>
      <c r="AH76" s="47">
        <f t="shared" si="2"/>
        <v>10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31.3</v>
      </c>
      <c r="C77" s="45">
        <v>31.3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36</v>
      </c>
      <c r="U77" s="45">
        <v>0</v>
      </c>
      <c r="V77" s="45"/>
      <c r="W77" s="45"/>
      <c r="X77" s="45"/>
      <c r="Y77" s="45"/>
      <c r="Z77" s="45"/>
      <c r="AA77" s="45"/>
      <c r="AB77" s="45"/>
      <c r="AC77" s="45"/>
      <c r="AD77" s="45"/>
      <c r="AE77" s="45">
        <v>26.5</v>
      </c>
      <c r="AF77" s="45">
        <v>23</v>
      </c>
      <c r="AG77" s="75"/>
      <c r="AH77" s="47">
        <f t="shared" ref="AH77:AH120" si="12">MAX(B77:AF77)</f>
        <v>36</v>
      </c>
      <c r="AI77" s="48">
        <f t="shared" ref="AI77:AI120" si="13">MIN(B77:AF77)</f>
        <v>0</v>
      </c>
      <c r="AK77" s="74"/>
    </row>
    <row r="78" spans="1:40" x14ac:dyDescent="0.25">
      <c r="A78" s="53" t="s">
        <v>94</v>
      </c>
      <c r="B78" s="45">
        <v>5</v>
      </c>
      <c r="C78" s="45">
        <v>5</v>
      </c>
      <c r="D78" s="45">
        <v>5</v>
      </c>
      <c r="E78" s="45">
        <v>5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5</v>
      </c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5</v>
      </c>
      <c r="AA78" s="77">
        <v>5</v>
      </c>
      <c r="AB78" s="77">
        <v>5</v>
      </c>
      <c r="AC78" s="77">
        <v>5</v>
      </c>
      <c r="AD78" s="77">
        <v>5</v>
      </c>
      <c r="AE78" s="77">
        <v>5</v>
      </c>
      <c r="AF78" s="77">
        <v>5</v>
      </c>
      <c r="AG78" s="75"/>
      <c r="AH78" s="47">
        <f t="shared" si="12"/>
        <v>5</v>
      </c>
      <c r="AI78" s="48">
        <f t="shared" si="13"/>
        <v>0</v>
      </c>
      <c r="AK78" s="74"/>
    </row>
    <row r="79" spans="1:40" ht="15.75" thickBot="1" x14ac:dyDescent="0.3">
      <c r="A79" s="53" t="s">
        <v>95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4.5</v>
      </c>
      <c r="W79" s="77">
        <v>4.5</v>
      </c>
      <c r="X79" s="77">
        <v>4.5</v>
      </c>
      <c r="Y79" s="77"/>
      <c r="Z79" s="77"/>
      <c r="AA79" s="77"/>
      <c r="AB79" s="77"/>
      <c r="AC79" s="77"/>
      <c r="AD79" s="77"/>
      <c r="AE79" s="77"/>
      <c r="AF79" s="77"/>
      <c r="AG79" s="75"/>
      <c r="AH79" s="47">
        <f t="shared" si="12"/>
        <v>4.5</v>
      </c>
      <c r="AI79" s="48">
        <f t="shared" si="13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5"/>
      <c r="AH80" s="47">
        <f t="shared" si="12"/>
        <v>0</v>
      </c>
      <c r="AI80" s="48">
        <f t="shared" si="13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5"/>
      <c r="AH81" s="47">
        <f t="shared" si="12"/>
        <v>0</v>
      </c>
      <c r="AI81" s="48">
        <f t="shared" si="13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85"/>
      <c r="AH82" s="47">
        <f t="shared" si="12"/>
        <v>0</v>
      </c>
      <c r="AI82" s="48">
        <f t="shared" si="13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85"/>
      <c r="AH83" s="47">
        <f t="shared" si="12"/>
        <v>0</v>
      </c>
      <c r="AI83" s="48">
        <f t="shared" si="13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4">SUMIF(B73:B83,"&gt;0")</f>
        <v>92.2</v>
      </c>
      <c r="C84" s="59">
        <f t="shared" si="14"/>
        <v>86.3</v>
      </c>
      <c r="D84" s="59">
        <f t="shared" si="14"/>
        <v>36</v>
      </c>
      <c r="E84" s="59">
        <f t="shared" si="14"/>
        <v>34.5</v>
      </c>
      <c r="F84" s="59">
        <f t="shared" si="14"/>
        <v>7.7</v>
      </c>
      <c r="G84" s="59">
        <f t="shared" si="14"/>
        <v>42.7</v>
      </c>
      <c r="H84" s="59">
        <f t="shared" si="14"/>
        <v>1</v>
      </c>
      <c r="I84" s="59">
        <f t="shared" si="14"/>
        <v>5.5</v>
      </c>
      <c r="J84" s="59">
        <f t="shared" si="14"/>
        <v>53</v>
      </c>
      <c r="K84" s="59">
        <f t="shared" si="14"/>
        <v>0</v>
      </c>
      <c r="L84" s="59">
        <f t="shared" si="14"/>
        <v>0</v>
      </c>
      <c r="M84" s="59">
        <f t="shared" si="14"/>
        <v>11.4</v>
      </c>
      <c r="N84" s="59">
        <f t="shared" si="14"/>
        <v>42.5</v>
      </c>
      <c r="O84" s="59">
        <f t="shared" si="14"/>
        <v>46.5</v>
      </c>
      <c r="P84" s="59">
        <f t="shared" si="14"/>
        <v>65.3</v>
      </c>
      <c r="Q84" s="59">
        <f t="shared" si="14"/>
        <v>72</v>
      </c>
      <c r="R84" s="59">
        <f t="shared" si="14"/>
        <v>59.1</v>
      </c>
      <c r="S84" s="59">
        <f t="shared" si="14"/>
        <v>70.5</v>
      </c>
      <c r="T84" s="59">
        <f t="shared" si="14"/>
        <v>104.6</v>
      </c>
      <c r="U84" s="59">
        <f t="shared" si="14"/>
        <v>74</v>
      </c>
      <c r="V84" s="59">
        <f t="shared" si="14"/>
        <v>88</v>
      </c>
      <c r="W84" s="59">
        <f t="shared" si="14"/>
        <v>63.8</v>
      </c>
      <c r="X84" s="59">
        <f t="shared" si="14"/>
        <v>59.5</v>
      </c>
      <c r="Y84" s="59">
        <f t="shared" si="14"/>
        <v>56</v>
      </c>
      <c r="Z84" s="59">
        <f t="shared" si="14"/>
        <v>56.6</v>
      </c>
      <c r="AA84" s="59">
        <f t="shared" si="14"/>
        <v>70.400000000000006</v>
      </c>
      <c r="AB84" s="59">
        <f t="shared" si="14"/>
        <v>76.5</v>
      </c>
      <c r="AC84" s="59">
        <f t="shared" si="14"/>
        <v>89</v>
      </c>
      <c r="AD84" s="59">
        <f t="shared" si="14"/>
        <v>80</v>
      </c>
      <c r="AE84" s="59">
        <f t="shared" si="14"/>
        <v>104.5</v>
      </c>
      <c r="AF84" s="59">
        <f t="shared" si="14"/>
        <v>99</v>
      </c>
      <c r="AG84" s="88">
        <f>SUM(AG73:AG83)</f>
        <v>0</v>
      </c>
      <c r="AH84" s="47">
        <f t="shared" si="12"/>
        <v>104.6</v>
      </c>
      <c r="AI84" s="48">
        <f t="shared" si="13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2"/>
        <v>0</v>
      </c>
      <c r="AI85" s="48">
        <f t="shared" si="13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2"/>
        <v>0</v>
      </c>
      <c r="AI86" s="48">
        <f t="shared" si="13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2"/>
        <v>0</v>
      </c>
      <c r="AI87" s="48">
        <f t="shared" si="13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12"/>
        <v>0</v>
      </c>
      <c r="AI88" s="48">
        <f t="shared" si="13"/>
        <v>0</v>
      </c>
    </row>
    <row r="89" spans="1:40" ht="15.75" thickBot="1" x14ac:dyDescent="0.3">
      <c r="A89" s="73" t="s">
        <v>108</v>
      </c>
      <c r="B89" s="95">
        <f t="shared" ref="B89:AG89" si="15">B50+B54+B72+B68+B84+B88</f>
        <v>1887.04</v>
      </c>
      <c r="C89" s="95">
        <f t="shared" si="15"/>
        <v>1799.34</v>
      </c>
      <c r="D89" s="95">
        <f t="shared" si="15"/>
        <v>1712.64</v>
      </c>
      <c r="E89" s="95">
        <f t="shared" si="15"/>
        <v>1704.64</v>
      </c>
      <c r="F89" s="95">
        <f t="shared" si="15"/>
        <v>1676.94</v>
      </c>
      <c r="G89" s="95">
        <f t="shared" si="15"/>
        <v>1619.24</v>
      </c>
      <c r="H89" s="95">
        <f t="shared" si="15"/>
        <v>1680.24</v>
      </c>
      <c r="I89" s="95">
        <f t="shared" si="15"/>
        <v>1675.5400000000002</v>
      </c>
      <c r="J89" s="95">
        <f t="shared" si="15"/>
        <v>1679.3400000000001</v>
      </c>
      <c r="K89" s="95">
        <f t="shared" si="15"/>
        <v>1764.14</v>
      </c>
      <c r="L89" s="95">
        <f t="shared" si="15"/>
        <v>1779.7400000000002</v>
      </c>
      <c r="M89" s="95">
        <f t="shared" si="15"/>
        <v>1889.94</v>
      </c>
      <c r="N89" s="95">
        <f t="shared" si="15"/>
        <v>1804.6399999999999</v>
      </c>
      <c r="O89" s="95">
        <f t="shared" si="15"/>
        <v>1820.74</v>
      </c>
      <c r="P89" s="95">
        <f t="shared" si="15"/>
        <v>1896.54</v>
      </c>
      <c r="Q89" s="95">
        <f t="shared" si="15"/>
        <v>1901.2399999999998</v>
      </c>
      <c r="R89" s="95">
        <f t="shared" si="15"/>
        <v>1845.0399999999997</v>
      </c>
      <c r="S89" s="95">
        <f t="shared" si="15"/>
        <v>1861.9399999999998</v>
      </c>
      <c r="T89" s="95">
        <f t="shared" si="15"/>
        <v>1906.74</v>
      </c>
      <c r="U89" s="95">
        <f t="shared" si="15"/>
        <v>1843.3399999999997</v>
      </c>
      <c r="V89" s="95">
        <f t="shared" si="15"/>
        <v>1826.54</v>
      </c>
      <c r="W89" s="95">
        <f t="shared" si="15"/>
        <v>1833.74</v>
      </c>
      <c r="X89" s="95">
        <f t="shared" si="15"/>
        <v>1805.7399999999998</v>
      </c>
      <c r="Y89" s="95">
        <f t="shared" si="15"/>
        <v>1859.64</v>
      </c>
      <c r="Z89" s="95">
        <f t="shared" si="15"/>
        <v>1867.94</v>
      </c>
      <c r="AA89" s="95">
        <f t="shared" si="15"/>
        <v>1979.8400000000001</v>
      </c>
      <c r="AB89" s="95">
        <f t="shared" si="15"/>
        <v>2001.04</v>
      </c>
      <c r="AC89" s="95">
        <f t="shared" si="15"/>
        <v>2020.54</v>
      </c>
      <c r="AD89" s="95">
        <f t="shared" si="15"/>
        <v>2007.54</v>
      </c>
      <c r="AE89" s="95">
        <f t="shared" si="15"/>
        <v>2007.34</v>
      </c>
      <c r="AF89" s="95">
        <f t="shared" si="15"/>
        <v>1968.34</v>
      </c>
      <c r="AG89" s="60">
        <f t="shared" si="15"/>
        <v>2111.5500000000002</v>
      </c>
      <c r="AH89" s="47">
        <f t="shared" si="12"/>
        <v>2020.54</v>
      </c>
      <c r="AI89" s="48">
        <f t="shared" si="13"/>
        <v>1619.24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>
        <v>105</v>
      </c>
      <c r="V90" s="97"/>
      <c r="W90" s="97"/>
      <c r="X90" s="97"/>
      <c r="Y90" s="97"/>
      <c r="Z90" s="97"/>
      <c r="AA90" s="97"/>
      <c r="AB90" s="97">
        <v>60</v>
      </c>
      <c r="AC90" s="97"/>
      <c r="AD90" s="97"/>
      <c r="AE90" s="97"/>
      <c r="AF90" s="97"/>
      <c r="AG90" s="88"/>
      <c r="AH90" s="47">
        <f t="shared" si="12"/>
        <v>105</v>
      </c>
      <c r="AI90" s="48">
        <f t="shared" si="13"/>
        <v>60</v>
      </c>
    </row>
    <row r="91" spans="1:40" ht="15.75" thickBot="1" x14ac:dyDescent="0.3">
      <c r="A91" s="73" t="s">
        <v>110</v>
      </c>
      <c r="B91" s="95">
        <f t="shared" ref="B91:AF91" si="16">B89+B90</f>
        <v>1887.04</v>
      </c>
      <c r="C91" s="95">
        <f t="shared" si="16"/>
        <v>1799.34</v>
      </c>
      <c r="D91" s="95">
        <f t="shared" si="16"/>
        <v>1712.64</v>
      </c>
      <c r="E91" s="95">
        <f t="shared" si="16"/>
        <v>1704.64</v>
      </c>
      <c r="F91" s="95">
        <f t="shared" si="16"/>
        <v>1676.94</v>
      </c>
      <c r="G91" s="95">
        <f t="shared" si="16"/>
        <v>1619.24</v>
      </c>
      <c r="H91" s="95">
        <f t="shared" si="16"/>
        <v>1680.24</v>
      </c>
      <c r="I91" s="95">
        <f t="shared" si="16"/>
        <v>1675.5400000000002</v>
      </c>
      <c r="J91" s="95">
        <f t="shared" si="16"/>
        <v>1679.3400000000001</v>
      </c>
      <c r="K91" s="95">
        <f t="shared" si="16"/>
        <v>1764.14</v>
      </c>
      <c r="L91" s="95">
        <f t="shared" si="16"/>
        <v>1779.7400000000002</v>
      </c>
      <c r="M91" s="95">
        <f t="shared" si="16"/>
        <v>1889.94</v>
      </c>
      <c r="N91" s="95">
        <f t="shared" si="16"/>
        <v>1804.6399999999999</v>
      </c>
      <c r="O91" s="95">
        <f t="shared" si="16"/>
        <v>1820.74</v>
      </c>
      <c r="P91" s="95">
        <f t="shared" si="16"/>
        <v>1896.54</v>
      </c>
      <c r="Q91" s="95">
        <f t="shared" si="16"/>
        <v>1901.2399999999998</v>
      </c>
      <c r="R91" s="95">
        <f t="shared" si="16"/>
        <v>1845.0399999999997</v>
      </c>
      <c r="S91" s="95">
        <f t="shared" si="16"/>
        <v>1861.9399999999998</v>
      </c>
      <c r="T91" s="95">
        <f t="shared" si="16"/>
        <v>1906.74</v>
      </c>
      <c r="U91" s="95">
        <f t="shared" si="16"/>
        <v>1948.3399999999997</v>
      </c>
      <c r="V91" s="95">
        <f t="shared" si="16"/>
        <v>1826.54</v>
      </c>
      <c r="W91" s="95">
        <f t="shared" si="16"/>
        <v>1833.74</v>
      </c>
      <c r="X91" s="95">
        <f t="shared" si="16"/>
        <v>1805.7399999999998</v>
      </c>
      <c r="Y91" s="95">
        <f t="shared" si="16"/>
        <v>1859.64</v>
      </c>
      <c r="Z91" s="95">
        <f t="shared" si="16"/>
        <v>1867.94</v>
      </c>
      <c r="AA91" s="95">
        <f t="shared" si="16"/>
        <v>1979.8400000000001</v>
      </c>
      <c r="AB91" s="95">
        <f t="shared" si="16"/>
        <v>2061.04</v>
      </c>
      <c r="AC91" s="95">
        <f t="shared" si="16"/>
        <v>2020.54</v>
      </c>
      <c r="AD91" s="95">
        <f t="shared" si="16"/>
        <v>2007.54</v>
      </c>
      <c r="AE91" s="95">
        <f t="shared" si="16"/>
        <v>2007.34</v>
      </c>
      <c r="AF91" s="95">
        <f t="shared" si="16"/>
        <v>1968.34</v>
      </c>
      <c r="AG91" s="88">
        <f>AG88+AG84+AG72+AG68+AG50+AG90</f>
        <v>1573.45</v>
      </c>
      <c r="AH91" s="47">
        <f t="shared" si="12"/>
        <v>2061.04</v>
      </c>
      <c r="AI91" s="48">
        <f t="shared" si="13"/>
        <v>1619.24</v>
      </c>
    </row>
    <row r="92" spans="1:40" ht="15.75" thickBot="1" x14ac:dyDescent="0.3">
      <c r="A92" s="73" t="s">
        <v>111</v>
      </c>
      <c r="B92" s="95">
        <f t="shared" ref="B92:AF92" si="17">B91-B99</f>
        <v>1887.04</v>
      </c>
      <c r="C92" s="95">
        <f t="shared" si="17"/>
        <v>1799.34</v>
      </c>
      <c r="D92" s="95">
        <f t="shared" si="17"/>
        <v>1712.64</v>
      </c>
      <c r="E92" s="95">
        <f t="shared" si="17"/>
        <v>1704.64</v>
      </c>
      <c r="F92" s="95">
        <f t="shared" si="17"/>
        <v>1676.94</v>
      </c>
      <c r="G92" s="95">
        <f t="shared" si="17"/>
        <v>1619.24</v>
      </c>
      <c r="H92" s="95">
        <f t="shared" si="17"/>
        <v>1680.24</v>
      </c>
      <c r="I92" s="95">
        <f t="shared" si="17"/>
        <v>1675.5400000000002</v>
      </c>
      <c r="J92" s="95">
        <f t="shared" si="17"/>
        <v>1679.3400000000001</v>
      </c>
      <c r="K92" s="95">
        <f t="shared" si="17"/>
        <v>1764.14</v>
      </c>
      <c r="L92" s="95">
        <f t="shared" si="17"/>
        <v>1779.7400000000002</v>
      </c>
      <c r="M92" s="95">
        <f t="shared" si="17"/>
        <v>1889.94</v>
      </c>
      <c r="N92" s="95">
        <f t="shared" si="17"/>
        <v>1804.6399999999999</v>
      </c>
      <c r="O92" s="95">
        <f t="shared" si="17"/>
        <v>1820.74</v>
      </c>
      <c r="P92" s="95">
        <f t="shared" si="17"/>
        <v>1896.54</v>
      </c>
      <c r="Q92" s="95">
        <f t="shared" si="17"/>
        <v>1901.2399999999998</v>
      </c>
      <c r="R92" s="95">
        <f t="shared" si="17"/>
        <v>1845.0399999999997</v>
      </c>
      <c r="S92" s="95">
        <f t="shared" si="17"/>
        <v>1861.9399999999998</v>
      </c>
      <c r="T92" s="95">
        <f t="shared" si="17"/>
        <v>1906.74</v>
      </c>
      <c r="U92" s="95">
        <f t="shared" si="17"/>
        <v>1948.3399999999997</v>
      </c>
      <c r="V92" s="95">
        <f t="shared" si="17"/>
        <v>1826.54</v>
      </c>
      <c r="W92" s="95">
        <f t="shared" si="17"/>
        <v>1833.74</v>
      </c>
      <c r="X92" s="95">
        <f t="shared" si="17"/>
        <v>1805.7399999999998</v>
      </c>
      <c r="Y92" s="95">
        <f t="shared" si="17"/>
        <v>1859.64</v>
      </c>
      <c r="Z92" s="95">
        <f t="shared" si="17"/>
        <v>1867.94</v>
      </c>
      <c r="AA92" s="95">
        <f t="shared" si="17"/>
        <v>1979.8400000000001</v>
      </c>
      <c r="AB92" s="95">
        <f t="shared" si="17"/>
        <v>2061.04</v>
      </c>
      <c r="AC92" s="95">
        <f t="shared" si="17"/>
        <v>2020.54</v>
      </c>
      <c r="AD92" s="95">
        <f t="shared" si="17"/>
        <v>2007.54</v>
      </c>
      <c r="AE92" s="95">
        <f t="shared" si="17"/>
        <v>2007.34</v>
      </c>
      <c r="AF92" s="95">
        <f t="shared" si="17"/>
        <v>1968.34</v>
      </c>
      <c r="AG92" s="88"/>
      <c r="AH92" s="47">
        <f t="shared" si="12"/>
        <v>2061.04</v>
      </c>
      <c r="AI92" s="48">
        <f t="shared" si="13"/>
        <v>1619.24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2"/>
        <v>0</v>
      </c>
      <c r="AI93" s="48">
        <f t="shared" si="13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2"/>
        <v>0</v>
      </c>
      <c r="AI94" s="48">
        <f t="shared" si="13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2"/>
        <v>0</v>
      </c>
      <c r="AI95" s="48">
        <f t="shared" si="13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2"/>
        <v>0</v>
      </c>
      <c r="AI96" s="48">
        <f t="shared" si="13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2"/>
        <v>0</v>
      </c>
      <c r="AI97" s="48">
        <f t="shared" si="13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2"/>
        <v>0</v>
      </c>
      <c r="AI98" s="48">
        <f t="shared" si="13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12"/>
        <v>0</v>
      </c>
      <c r="AI99" s="48">
        <f t="shared" si="13"/>
        <v>0</v>
      </c>
      <c r="AK99" s="74"/>
    </row>
    <row r="100" spans="1:37" ht="15.75" thickBot="1" x14ac:dyDescent="0.3">
      <c r="A100" s="73" t="s">
        <v>116</v>
      </c>
      <c r="B100" s="59">
        <f t="shared" ref="B100:AF100" si="18">B84-B99</f>
        <v>92.2</v>
      </c>
      <c r="C100" s="59">
        <f t="shared" si="18"/>
        <v>86.3</v>
      </c>
      <c r="D100" s="59">
        <f t="shared" si="18"/>
        <v>36</v>
      </c>
      <c r="E100" s="59">
        <f t="shared" si="18"/>
        <v>34.5</v>
      </c>
      <c r="F100" s="59">
        <f t="shared" si="18"/>
        <v>7.7</v>
      </c>
      <c r="G100" s="59">
        <f t="shared" si="18"/>
        <v>42.7</v>
      </c>
      <c r="H100" s="59">
        <f t="shared" si="18"/>
        <v>1</v>
      </c>
      <c r="I100" s="59">
        <f t="shared" si="18"/>
        <v>5.5</v>
      </c>
      <c r="J100" s="59">
        <f t="shared" si="18"/>
        <v>53</v>
      </c>
      <c r="K100" s="59">
        <f t="shared" si="18"/>
        <v>0</v>
      </c>
      <c r="L100" s="59">
        <f t="shared" si="18"/>
        <v>0</v>
      </c>
      <c r="M100" s="59">
        <f t="shared" si="18"/>
        <v>11.4</v>
      </c>
      <c r="N100" s="59">
        <f t="shared" si="18"/>
        <v>42.5</v>
      </c>
      <c r="O100" s="59">
        <f t="shared" si="18"/>
        <v>46.5</v>
      </c>
      <c r="P100" s="59">
        <f t="shared" si="18"/>
        <v>65.3</v>
      </c>
      <c r="Q100" s="59">
        <f t="shared" si="18"/>
        <v>72</v>
      </c>
      <c r="R100" s="59">
        <f t="shared" si="18"/>
        <v>59.1</v>
      </c>
      <c r="S100" s="59">
        <f t="shared" si="18"/>
        <v>70.5</v>
      </c>
      <c r="T100" s="59">
        <f t="shared" si="18"/>
        <v>104.6</v>
      </c>
      <c r="U100" s="59">
        <f t="shared" si="18"/>
        <v>74</v>
      </c>
      <c r="V100" s="59">
        <f t="shared" si="18"/>
        <v>88</v>
      </c>
      <c r="W100" s="59">
        <f t="shared" si="18"/>
        <v>63.8</v>
      </c>
      <c r="X100" s="59">
        <f t="shared" si="18"/>
        <v>59.5</v>
      </c>
      <c r="Y100" s="59">
        <f t="shared" si="18"/>
        <v>56</v>
      </c>
      <c r="Z100" s="59">
        <f t="shared" si="18"/>
        <v>56.6</v>
      </c>
      <c r="AA100" s="59">
        <f t="shared" si="18"/>
        <v>70.400000000000006</v>
      </c>
      <c r="AB100" s="59">
        <f t="shared" si="18"/>
        <v>76.5</v>
      </c>
      <c r="AC100" s="59">
        <f t="shared" si="18"/>
        <v>89</v>
      </c>
      <c r="AD100" s="59">
        <f t="shared" si="18"/>
        <v>80</v>
      </c>
      <c r="AE100" s="59">
        <f t="shared" si="18"/>
        <v>104.5</v>
      </c>
      <c r="AF100" s="59">
        <f t="shared" si="18"/>
        <v>99</v>
      </c>
      <c r="AG100" s="88"/>
      <c r="AH100" s="47">
        <f t="shared" si="12"/>
        <v>104.6</v>
      </c>
      <c r="AI100" s="48">
        <f t="shared" si="13"/>
        <v>0</v>
      </c>
    </row>
    <row r="101" spans="1:37" x14ac:dyDescent="0.25">
      <c r="A101" s="100" t="s">
        <v>117</v>
      </c>
      <c r="B101" s="101">
        <v>50.103000000000002</v>
      </c>
      <c r="C101" s="101">
        <v>49.932000000000002</v>
      </c>
      <c r="D101" s="101">
        <v>49.923999999999999</v>
      </c>
      <c r="E101" s="101">
        <v>49.863</v>
      </c>
      <c r="F101" s="101">
        <v>50</v>
      </c>
      <c r="G101" s="101">
        <v>49.99</v>
      </c>
      <c r="H101" s="101">
        <v>49.976999999999997</v>
      </c>
      <c r="I101" s="101">
        <v>50</v>
      </c>
      <c r="J101" s="101">
        <v>50.07</v>
      </c>
      <c r="K101" s="101">
        <v>50.01</v>
      </c>
      <c r="L101" s="101">
        <v>49.899000000000001</v>
      </c>
      <c r="M101" s="101">
        <v>50.082999999999998</v>
      </c>
      <c r="N101" s="101">
        <v>50.048999999999999</v>
      </c>
      <c r="O101" s="101">
        <v>50.034999999999997</v>
      </c>
      <c r="P101" s="101">
        <v>49.933999999999997</v>
      </c>
      <c r="Q101" s="101">
        <v>49.924999999999997</v>
      </c>
      <c r="R101" s="101">
        <v>49.985999999999997</v>
      </c>
      <c r="S101" s="101">
        <v>50.023000000000003</v>
      </c>
      <c r="T101" s="101">
        <v>49.945999999999998</v>
      </c>
      <c r="U101" s="101">
        <v>50.011000000000003</v>
      </c>
      <c r="V101" s="101"/>
      <c r="W101" s="101">
        <v>49.997999999999998</v>
      </c>
      <c r="X101" s="101">
        <v>50.043999999999997</v>
      </c>
      <c r="Y101" s="101">
        <v>50.015999999999998</v>
      </c>
      <c r="Z101" s="101">
        <v>50.045999999999999</v>
      </c>
      <c r="AA101" s="101">
        <v>50.052</v>
      </c>
      <c r="AB101" s="101">
        <v>49.94</v>
      </c>
      <c r="AC101" s="101">
        <v>49.89</v>
      </c>
      <c r="AD101" s="101">
        <v>50</v>
      </c>
      <c r="AE101" s="101">
        <v>50.1</v>
      </c>
      <c r="AF101" s="101">
        <v>50.06</v>
      </c>
      <c r="AG101" s="102"/>
      <c r="AH101" s="47">
        <f t="shared" si="12"/>
        <v>50.103000000000002</v>
      </c>
      <c r="AI101" s="48">
        <f t="shared" si="13"/>
        <v>49.863</v>
      </c>
    </row>
    <row r="102" spans="1:37" x14ac:dyDescent="0.25">
      <c r="A102" s="103" t="s">
        <v>118</v>
      </c>
      <c r="B102" s="64">
        <v>125.1</v>
      </c>
      <c r="C102" s="64">
        <v>125.1</v>
      </c>
      <c r="D102" s="64">
        <v>123.3</v>
      </c>
      <c r="E102" s="64">
        <v>122.7</v>
      </c>
      <c r="F102" s="64">
        <v>122.7</v>
      </c>
      <c r="G102" s="64">
        <v>124</v>
      </c>
      <c r="H102" s="64">
        <v>124</v>
      </c>
      <c r="I102" s="64">
        <v>124</v>
      </c>
      <c r="J102" s="64">
        <v>124</v>
      </c>
      <c r="K102" s="64">
        <v>124</v>
      </c>
      <c r="L102" s="64">
        <v>121</v>
      </c>
      <c r="M102" s="64">
        <v>121</v>
      </c>
      <c r="N102" s="64">
        <v>123.4</v>
      </c>
      <c r="O102" s="64">
        <v>120.6</v>
      </c>
      <c r="P102" s="64">
        <v>123.6</v>
      </c>
      <c r="Q102" s="64">
        <v>123.3</v>
      </c>
      <c r="R102" s="64">
        <v>121.4</v>
      </c>
      <c r="S102" s="64">
        <v>119</v>
      </c>
      <c r="T102" s="64">
        <v>120.4</v>
      </c>
      <c r="U102" s="64">
        <v>122.3</v>
      </c>
      <c r="V102" s="64"/>
      <c r="W102" s="64">
        <v>121.8</v>
      </c>
      <c r="X102" s="64">
        <v>123.7</v>
      </c>
      <c r="Y102" s="64">
        <v>123.4</v>
      </c>
      <c r="Z102" s="64">
        <v>122.3</v>
      </c>
      <c r="AA102" s="64">
        <v>121.7</v>
      </c>
      <c r="AB102" s="64">
        <v>123.4</v>
      </c>
      <c r="AC102" s="64">
        <v>123.5</v>
      </c>
      <c r="AD102" s="64">
        <v>123.5</v>
      </c>
      <c r="AE102" s="64">
        <v>123.5</v>
      </c>
      <c r="AF102" s="64">
        <v>122</v>
      </c>
      <c r="AG102" s="104"/>
      <c r="AH102" s="47">
        <f t="shared" si="12"/>
        <v>125.1</v>
      </c>
      <c r="AI102" s="48">
        <f t="shared" si="13"/>
        <v>119</v>
      </c>
    </row>
    <row r="103" spans="1:37" x14ac:dyDescent="0.25">
      <c r="A103" s="103" t="s">
        <v>119</v>
      </c>
      <c r="B103" s="64">
        <v>129.6</v>
      </c>
      <c r="C103" s="64">
        <v>129.1</v>
      </c>
      <c r="D103" s="64">
        <v>128.19999999999999</v>
      </c>
      <c r="E103" s="64">
        <v>127.8</v>
      </c>
      <c r="F103" s="64">
        <v>127.8</v>
      </c>
      <c r="G103" s="64">
        <v>128</v>
      </c>
      <c r="H103" s="64">
        <v>128</v>
      </c>
      <c r="I103" s="64">
        <v>128</v>
      </c>
      <c r="J103" s="64">
        <v>128</v>
      </c>
      <c r="K103" s="64">
        <v>128</v>
      </c>
      <c r="L103" s="64">
        <v>125.6</v>
      </c>
      <c r="M103" s="64">
        <v>126.7</v>
      </c>
      <c r="N103" s="64">
        <v>126.4</v>
      </c>
      <c r="O103" s="64">
        <v>123.7</v>
      </c>
      <c r="P103" s="64">
        <v>126.4</v>
      </c>
      <c r="Q103" s="64">
        <v>126.3</v>
      </c>
      <c r="R103" s="64">
        <v>125.1</v>
      </c>
      <c r="S103" s="64">
        <v>122.9</v>
      </c>
      <c r="T103" s="64">
        <v>124.5</v>
      </c>
      <c r="U103" s="64">
        <v>126.2</v>
      </c>
      <c r="V103" s="64"/>
      <c r="W103" s="64">
        <v>126.1</v>
      </c>
      <c r="X103" s="64">
        <v>127.3</v>
      </c>
      <c r="Y103" s="64">
        <v>126.9</v>
      </c>
      <c r="Z103" s="64">
        <v>126.4</v>
      </c>
      <c r="AA103" s="64">
        <v>125.6</v>
      </c>
      <c r="AB103" s="64">
        <v>127</v>
      </c>
      <c r="AC103" s="64">
        <v>127</v>
      </c>
      <c r="AD103" s="64">
        <v>127</v>
      </c>
      <c r="AE103" s="64">
        <v>127</v>
      </c>
      <c r="AF103" s="64">
        <v>128</v>
      </c>
      <c r="AG103" s="104"/>
      <c r="AH103" s="47">
        <f t="shared" si="12"/>
        <v>129.6</v>
      </c>
      <c r="AI103" s="48">
        <f t="shared" si="13"/>
        <v>122.9</v>
      </c>
    </row>
    <row r="104" spans="1:37" x14ac:dyDescent="0.25">
      <c r="A104" s="103" t="s">
        <v>120</v>
      </c>
      <c r="B104" s="64">
        <v>130.80000000000001</v>
      </c>
      <c r="C104" s="64">
        <v>131</v>
      </c>
      <c r="D104" s="64">
        <v>130</v>
      </c>
      <c r="E104" s="64">
        <v>129.9</v>
      </c>
      <c r="F104" s="64">
        <v>129.9</v>
      </c>
      <c r="G104" s="64">
        <v>130.5</v>
      </c>
      <c r="H104" s="64">
        <v>131.6</v>
      </c>
      <c r="I104" s="64">
        <v>130</v>
      </c>
      <c r="J104" s="64">
        <v>130</v>
      </c>
      <c r="K104" s="64">
        <v>130</v>
      </c>
      <c r="L104" s="64">
        <v>128.5</v>
      </c>
      <c r="M104" s="64">
        <v>128.80000000000001</v>
      </c>
      <c r="N104" s="64">
        <v>129.69999999999999</v>
      </c>
      <c r="O104" s="64">
        <v>130.4</v>
      </c>
      <c r="P104" s="64">
        <v>124.5</v>
      </c>
      <c r="Q104" s="64">
        <v>130.4</v>
      </c>
      <c r="R104" s="64">
        <v>127.7</v>
      </c>
      <c r="S104" s="64">
        <v>126.1</v>
      </c>
      <c r="T104" s="64">
        <v>127.2</v>
      </c>
      <c r="U104" s="64">
        <v>127.7</v>
      </c>
      <c r="V104" s="64"/>
      <c r="W104" s="64">
        <v>128.19999999999999</v>
      </c>
      <c r="X104" s="64">
        <v>127.4</v>
      </c>
      <c r="Y104" s="64">
        <v>126.9</v>
      </c>
      <c r="Z104" s="64">
        <v>127</v>
      </c>
      <c r="AA104" s="64">
        <v>128.30000000000001</v>
      </c>
      <c r="AB104" s="64">
        <v>128.30000000000001</v>
      </c>
      <c r="AC104" s="64">
        <v>125</v>
      </c>
      <c r="AD104" s="64">
        <v>125</v>
      </c>
      <c r="AE104" s="64">
        <v>125</v>
      </c>
      <c r="AF104" s="64">
        <v>127</v>
      </c>
      <c r="AG104" s="104"/>
      <c r="AH104" s="47">
        <f t="shared" si="12"/>
        <v>131.6</v>
      </c>
      <c r="AI104" s="48">
        <f t="shared" si="13"/>
        <v>124.5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2"/>
        <v>0</v>
      </c>
      <c r="AI105" s="48">
        <f t="shared" si="13"/>
        <v>0</v>
      </c>
    </row>
    <row r="106" spans="1:37" x14ac:dyDescent="0.25">
      <c r="A106" s="105" t="s">
        <v>122</v>
      </c>
      <c r="B106" s="106">
        <v>134.30000000000001</v>
      </c>
      <c r="C106" s="106">
        <v>131.9</v>
      </c>
      <c r="D106" s="106">
        <v>132.30000000000001</v>
      </c>
      <c r="E106" s="106">
        <v>132.6</v>
      </c>
      <c r="F106" s="106">
        <v>132.6</v>
      </c>
      <c r="G106" s="106">
        <v>131.4</v>
      </c>
      <c r="H106" s="106">
        <v>134</v>
      </c>
      <c r="I106" s="106">
        <v>132</v>
      </c>
      <c r="J106" s="106">
        <v>132</v>
      </c>
      <c r="K106" s="106">
        <v>132</v>
      </c>
      <c r="L106" s="106">
        <v>131</v>
      </c>
      <c r="M106" s="106">
        <v>130.9</v>
      </c>
      <c r="N106" s="106">
        <v>129.80000000000001</v>
      </c>
      <c r="O106" s="106">
        <v>132.80000000000001</v>
      </c>
      <c r="P106" s="106">
        <v>130.30000000000001</v>
      </c>
      <c r="Q106" s="106">
        <v>130.19999999999999</v>
      </c>
      <c r="R106" s="106">
        <v>134.80000000000001</v>
      </c>
      <c r="S106" s="106">
        <v>129.19999999999999</v>
      </c>
      <c r="T106" s="106">
        <v>134</v>
      </c>
      <c r="U106" s="106">
        <v>135.1</v>
      </c>
      <c r="V106" s="106"/>
      <c r="W106" s="106">
        <v>130</v>
      </c>
      <c r="X106" s="106">
        <v>133.5</v>
      </c>
      <c r="Y106" s="106">
        <v>131.6</v>
      </c>
      <c r="Z106" s="106">
        <v>130.5</v>
      </c>
      <c r="AA106" s="106">
        <v>128</v>
      </c>
      <c r="AB106" s="106">
        <v>128.6</v>
      </c>
      <c r="AC106" s="106">
        <v>130</v>
      </c>
      <c r="AD106" s="106">
        <v>130</v>
      </c>
      <c r="AE106" s="106">
        <v>130</v>
      </c>
      <c r="AF106" s="106">
        <v>133</v>
      </c>
      <c r="AG106" s="107"/>
      <c r="AH106" s="47">
        <f t="shared" si="12"/>
        <v>135.1</v>
      </c>
      <c r="AI106" s="48">
        <f t="shared" si="13"/>
        <v>128</v>
      </c>
    </row>
    <row r="107" spans="1:37" x14ac:dyDescent="0.25">
      <c r="A107" s="103" t="s">
        <v>123</v>
      </c>
      <c r="B107" s="64">
        <v>131.19999999999999</v>
      </c>
      <c r="C107" s="64">
        <v>133.30000000000001</v>
      </c>
      <c r="D107" s="64">
        <v>130.80000000000001</v>
      </c>
      <c r="E107" s="64">
        <v>127.3</v>
      </c>
      <c r="F107" s="64">
        <v>127.3</v>
      </c>
      <c r="G107" s="64">
        <v>126.5</v>
      </c>
      <c r="H107" s="64">
        <v>132</v>
      </c>
      <c r="I107" s="64">
        <v>129</v>
      </c>
      <c r="J107" s="64">
        <v>129</v>
      </c>
      <c r="K107" s="64">
        <v>129</v>
      </c>
      <c r="L107" s="64">
        <v>130</v>
      </c>
      <c r="M107" s="64">
        <v>127.5</v>
      </c>
      <c r="N107" s="64">
        <v>126.9</v>
      </c>
      <c r="O107" s="64">
        <v>129.19999999999999</v>
      </c>
      <c r="P107" s="64">
        <v>129.9</v>
      </c>
      <c r="Q107" s="64">
        <v>129.69999999999999</v>
      </c>
      <c r="R107" s="64">
        <v>118.8</v>
      </c>
      <c r="S107" s="64">
        <v>130.19999999999999</v>
      </c>
      <c r="T107" s="64">
        <v>125.3</v>
      </c>
      <c r="U107" s="64">
        <v>130</v>
      </c>
      <c r="V107" s="64"/>
      <c r="W107" s="64">
        <v>132.80000000000001</v>
      </c>
      <c r="X107" s="64">
        <v>127.5</v>
      </c>
      <c r="Y107" s="64">
        <v>128</v>
      </c>
      <c r="Z107" s="64">
        <v>127.1</v>
      </c>
      <c r="AA107" s="64">
        <v>131.80000000000001</v>
      </c>
      <c r="AB107" s="64">
        <v>130</v>
      </c>
      <c r="AC107" s="64">
        <v>129.30000000000001</v>
      </c>
      <c r="AD107" s="64">
        <v>129.30000000000001</v>
      </c>
      <c r="AE107" s="64">
        <v>129.30000000000001</v>
      </c>
      <c r="AF107" s="64">
        <v>125</v>
      </c>
      <c r="AG107" s="104"/>
      <c r="AH107" s="47">
        <f t="shared" si="12"/>
        <v>133.30000000000001</v>
      </c>
      <c r="AI107" s="48">
        <f t="shared" si="13"/>
        <v>118.8</v>
      </c>
    </row>
    <row r="108" spans="1:37" ht="15.75" thickBot="1" x14ac:dyDescent="0.3">
      <c r="A108" s="103" t="s">
        <v>124</v>
      </c>
      <c r="B108" s="92">
        <v>64.900000000000006</v>
      </c>
      <c r="C108" s="92">
        <v>64.900000000000006</v>
      </c>
      <c r="D108" s="92">
        <v>63.8</v>
      </c>
      <c r="E108" s="92">
        <v>63.8</v>
      </c>
      <c r="F108" s="92">
        <v>63.8</v>
      </c>
      <c r="G108" s="92">
        <v>64</v>
      </c>
      <c r="H108" s="92">
        <v>64</v>
      </c>
      <c r="I108" s="92">
        <v>64</v>
      </c>
      <c r="J108" s="92">
        <v>64</v>
      </c>
      <c r="K108" s="92">
        <v>64</v>
      </c>
      <c r="L108" s="92">
        <v>62.8</v>
      </c>
      <c r="M108" s="92">
        <v>63.5</v>
      </c>
      <c r="N108" s="92">
        <v>63</v>
      </c>
      <c r="O108" s="92">
        <v>61.6</v>
      </c>
      <c r="P108" s="92">
        <v>63.1</v>
      </c>
      <c r="Q108" s="92">
        <v>62.8</v>
      </c>
      <c r="R108" s="92">
        <v>62</v>
      </c>
      <c r="S108" s="92">
        <v>61.2</v>
      </c>
      <c r="T108" s="92">
        <v>61.9</v>
      </c>
      <c r="U108" s="92">
        <v>62.8</v>
      </c>
      <c r="V108" s="92"/>
      <c r="W108" s="92">
        <v>63.3</v>
      </c>
      <c r="X108" s="92">
        <v>63.9</v>
      </c>
      <c r="Y108" s="92">
        <v>63.6</v>
      </c>
      <c r="Z108" s="92">
        <v>63.6</v>
      </c>
      <c r="AA108" s="92">
        <v>63.1</v>
      </c>
      <c r="AB108" s="92">
        <v>64.3</v>
      </c>
      <c r="AC108" s="92"/>
      <c r="AD108" s="92"/>
      <c r="AE108" s="92"/>
      <c r="AF108" s="92">
        <v>64.3</v>
      </c>
      <c r="AG108" s="108"/>
      <c r="AH108" s="47">
        <f t="shared" si="12"/>
        <v>64.900000000000006</v>
      </c>
      <c r="AI108" s="48">
        <f t="shared" si="13"/>
        <v>61.2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2"/>
        <v>0</v>
      </c>
      <c r="AI109" s="48">
        <f t="shared" si="13"/>
        <v>0</v>
      </c>
    </row>
    <row r="110" spans="1:37" ht="15.75" thickBot="1" x14ac:dyDescent="0.3">
      <c r="A110" s="110" t="s">
        <v>126</v>
      </c>
      <c r="B110" s="111">
        <f t="shared" ref="B110:O110" si="19">SUM(B20,B26,B29:B30,B58,B60:B61,B63,B65,B111:B115,B138,B144,B150,B159,B161,B173,B180,B183:B184,B191,B193,B195,B199:B201,B203:B205,B210,B216:B217,B219:B221,B229,B234)</f>
        <v>85.40000000000002</v>
      </c>
      <c r="C110" s="111">
        <f t="shared" si="19"/>
        <v>66.140000000000015</v>
      </c>
      <c r="D110" s="111">
        <f t="shared" si="19"/>
        <v>62.540000000000013</v>
      </c>
      <c r="E110" s="111">
        <f t="shared" si="19"/>
        <v>67.139999999999986</v>
      </c>
      <c r="F110" s="111">
        <f t="shared" si="19"/>
        <v>57.139999999999993</v>
      </c>
      <c r="G110" s="111">
        <f t="shared" si="19"/>
        <v>67.44</v>
      </c>
      <c r="H110" s="111">
        <f t="shared" si="19"/>
        <v>81.539999999999992</v>
      </c>
      <c r="I110" s="111">
        <f t="shared" si="19"/>
        <v>114.03999999999998</v>
      </c>
      <c r="J110" s="111">
        <f t="shared" si="19"/>
        <v>143.23999999999998</v>
      </c>
      <c r="K110" s="111">
        <f t="shared" ref="K110" si="20">SUM(K20,K26,K29:K30,K58,K60:K61,K63,K65,K111:K115,K138,K144,K150,K159,K161,K173,K180,K183:K184,K191,K193,K195,K199:K201,K203:K205,K210,K216:K217,K219:K221,K229,K234)</f>
        <v>142.94</v>
      </c>
      <c r="L110" s="111">
        <f t="shared" si="19"/>
        <v>194.94</v>
      </c>
      <c r="M110" s="111">
        <f t="shared" si="19"/>
        <v>217.14</v>
      </c>
      <c r="N110" s="111">
        <f t="shared" si="19"/>
        <v>218.94000000000005</v>
      </c>
      <c r="O110" s="111">
        <f t="shared" si="19"/>
        <v>206.04</v>
      </c>
      <c r="P110" s="111">
        <v>42</v>
      </c>
      <c r="Q110" s="111">
        <f t="shared" ref="Q110:AF110" si="21">SUM(Q20,Q26,Q29:Q30,Q58,Q60:Q61,Q63,Q65,Q111:Q115,Q138,Q144,Q150,Q159,Q161,Q173,Q180,Q183:Q184,Q191,Q193,Q195,Q199:Q201,Q203:Q205,Q210,Q216:Q217,Q219:Q221,Q229,Q234)</f>
        <v>226.00000000000003</v>
      </c>
      <c r="R110" s="111">
        <f t="shared" si="21"/>
        <v>207.99999999999997</v>
      </c>
      <c r="S110" s="111">
        <f t="shared" si="21"/>
        <v>209.69999999999996</v>
      </c>
      <c r="T110" s="111">
        <f t="shared" si="21"/>
        <v>209.70000000000002</v>
      </c>
      <c r="U110" s="111">
        <f t="shared" si="21"/>
        <v>213.29999999999998</v>
      </c>
      <c r="V110" s="111">
        <f t="shared" si="21"/>
        <v>126.5</v>
      </c>
      <c r="W110" s="111">
        <f t="shared" si="21"/>
        <v>191.6</v>
      </c>
      <c r="X110" s="111">
        <f t="shared" si="21"/>
        <v>186</v>
      </c>
      <c r="Y110" s="111">
        <f t="shared" si="21"/>
        <v>196.39999999999998</v>
      </c>
      <c r="Z110" s="111">
        <f t="shared" si="21"/>
        <v>220</v>
      </c>
      <c r="AA110" s="111">
        <f t="shared" si="21"/>
        <v>272.7</v>
      </c>
      <c r="AB110" s="111">
        <f t="shared" si="21"/>
        <v>230.89999999999998</v>
      </c>
      <c r="AC110" s="111">
        <f t="shared" si="21"/>
        <v>166.47</v>
      </c>
      <c r="AD110" s="111"/>
      <c r="AE110" s="111">
        <f t="shared" si="21"/>
        <v>144.6</v>
      </c>
      <c r="AF110" s="111">
        <f t="shared" si="21"/>
        <v>117.1</v>
      </c>
      <c r="AG110" s="112"/>
      <c r="AH110" s="47">
        <f t="shared" si="12"/>
        <v>272.7</v>
      </c>
      <c r="AI110" s="48">
        <f t="shared" si="13"/>
        <v>42</v>
      </c>
    </row>
    <row r="111" spans="1:37" x14ac:dyDescent="0.25">
      <c r="A111" s="100" t="s">
        <v>127</v>
      </c>
      <c r="B111" s="113">
        <v>13.9</v>
      </c>
      <c r="C111" s="113">
        <v>6.8</v>
      </c>
      <c r="D111" s="113">
        <v>21.4</v>
      </c>
      <c r="E111" s="113">
        <v>17.2</v>
      </c>
      <c r="F111" s="113">
        <v>17.2</v>
      </c>
      <c r="G111" s="113">
        <v>22.2</v>
      </c>
      <c r="H111" s="113">
        <v>26.8</v>
      </c>
      <c r="I111" s="113">
        <v>25</v>
      </c>
      <c r="J111" s="113">
        <v>26</v>
      </c>
      <c r="K111" s="113">
        <v>26</v>
      </c>
      <c r="L111" s="113">
        <v>35.9</v>
      </c>
      <c r="M111" s="113">
        <v>36.700000000000003</v>
      </c>
      <c r="N111" s="113">
        <v>27.3</v>
      </c>
      <c r="O111" s="113">
        <v>40.5</v>
      </c>
      <c r="P111" s="113">
        <v>24.2</v>
      </c>
      <c r="Q111" s="113">
        <v>19.899999999999999</v>
      </c>
      <c r="R111" s="113">
        <v>23.5</v>
      </c>
      <c r="S111" s="113">
        <v>19.7</v>
      </c>
      <c r="T111" s="113">
        <v>21.4</v>
      </c>
      <c r="U111" s="113">
        <v>30.2</v>
      </c>
      <c r="V111" s="113"/>
      <c r="W111" s="113">
        <v>25.1</v>
      </c>
      <c r="X111" s="113">
        <v>28.2</v>
      </c>
      <c r="Y111" s="113">
        <v>25.2</v>
      </c>
      <c r="Z111" s="113">
        <v>37.299999999999997</v>
      </c>
      <c r="AA111" s="113">
        <v>48.5</v>
      </c>
      <c r="AB111" s="113">
        <v>50.7</v>
      </c>
      <c r="AC111" s="113">
        <v>49.87</v>
      </c>
      <c r="AD111" s="113">
        <v>49.87</v>
      </c>
      <c r="AE111" s="113">
        <v>64</v>
      </c>
      <c r="AF111" s="113">
        <v>56</v>
      </c>
      <c r="AG111" s="114">
        <v>75</v>
      </c>
      <c r="AH111" s="47">
        <f t="shared" si="12"/>
        <v>64</v>
      </c>
      <c r="AI111" s="48">
        <f t="shared" si="13"/>
        <v>6.8</v>
      </c>
    </row>
    <row r="112" spans="1:37" x14ac:dyDescent="0.25">
      <c r="A112" s="103" t="s">
        <v>128</v>
      </c>
      <c r="B112" s="115">
        <v>25.3</v>
      </c>
      <c r="C112" s="115">
        <v>16.8</v>
      </c>
      <c r="D112" s="115">
        <v>37.9</v>
      </c>
      <c r="E112" s="115">
        <v>31.4</v>
      </c>
      <c r="F112" s="115">
        <v>31.4</v>
      </c>
      <c r="G112" s="115">
        <v>36.200000000000003</v>
      </c>
      <c r="H112" s="115">
        <v>41.7</v>
      </c>
      <c r="I112" s="115">
        <v>39</v>
      </c>
      <c r="J112" s="115">
        <v>40.5</v>
      </c>
      <c r="K112" s="115">
        <v>40.5</v>
      </c>
      <c r="L112" s="115">
        <v>53</v>
      </c>
      <c r="M112" s="115">
        <v>52.5</v>
      </c>
      <c r="N112" s="115">
        <v>38.799999999999997</v>
      </c>
      <c r="O112" s="115">
        <v>-5.6</v>
      </c>
      <c r="P112" s="115">
        <v>33</v>
      </c>
      <c r="Q112" s="115">
        <v>28.4</v>
      </c>
      <c r="R112" s="115">
        <v>33.5</v>
      </c>
      <c r="S112" s="115">
        <v>27.6</v>
      </c>
      <c r="T112" s="115">
        <v>27.4</v>
      </c>
      <c r="U112" s="115">
        <v>41.6</v>
      </c>
      <c r="V112" s="115"/>
      <c r="W112" s="115">
        <v>33</v>
      </c>
      <c r="X112" s="115">
        <v>37.6</v>
      </c>
      <c r="Y112" s="115">
        <v>32.6</v>
      </c>
      <c r="Z112" s="115">
        <v>56.3</v>
      </c>
      <c r="AA112" s="115">
        <v>70</v>
      </c>
      <c r="AB112" s="115">
        <v>74.099999999999994</v>
      </c>
      <c r="AC112" s="115">
        <v>-133</v>
      </c>
      <c r="AD112" s="115">
        <v>-133</v>
      </c>
      <c r="AE112" s="115">
        <v>38</v>
      </c>
      <c r="AF112" s="115">
        <v>33.5</v>
      </c>
      <c r="AG112" s="114">
        <v>240</v>
      </c>
      <c r="AH112" s="47">
        <f t="shared" si="12"/>
        <v>74.099999999999994</v>
      </c>
      <c r="AI112" s="48">
        <f t="shared" si="13"/>
        <v>-133</v>
      </c>
    </row>
    <row r="113" spans="1:37" x14ac:dyDescent="0.25">
      <c r="A113" s="103" t="s">
        <v>129</v>
      </c>
      <c r="B113" s="115">
        <v>-108</v>
      </c>
      <c r="C113" s="115">
        <v>-109</v>
      </c>
      <c r="D113" s="115">
        <v>-135</v>
      </c>
      <c r="E113" s="115">
        <v>-105</v>
      </c>
      <c r="F113" s="115">
        <v>-105</v>
      </c>
      <c r="G113" s="115">
        <v>-92</v>
      </c>
      <c r="H113" s="115">
        <v>-112</v>
      </c>
      <c r="I113" s="115">
        <v>-89</v>
      </c>
      <c r="J113" s="115">
        <v>-66.900000000000006</v>
      </c>
      <c r="K113" s="115">
        <v>-66.900000000000006</v>
      </c>
      <c r="L113" s="115">
        <v>-100</v>
      </c>
      <c r="M113" s="115">
        <v>-96</v>
      </c>
      <c r="N113" s="115">
        <v>-68</v>
      </c>
      <c r="O113" s="115">
        <v>-62</v>
      </c>
      <c r="P113" s="115">
        <v>-80</v>
      </c>
      <c r="Q113" s="115">
        <v>-62.8</v>
      </c>
      <c r="R113" s="115">
        <v>-88.2</v>
      </c>
      <c r="S113" s="115">
        <v>-83</v>
      </c>
      <c r="T113" s="115">
        <v>-80</v>
      </c>
      <c r="U113" s="115">
        <v>-90</v>
      </c>
      <c r="V113" s="115"/>
      <c r="W113" s="115">
        <v>-95</v>
      </c>
      <c r="X113" s="115">
        <v>-97</v>
      </c>
      <c r="Y113" s="115">
        <v>-86</v>
      </c>
      <c r="Z113" s="115">
        <v>-100</v>
      </c>
      <c r="AA113" s="115">
        <v>-108</v>
      </c>
      <c r="AB113" s="115">
        <f>-78.1-65.8</f>
        <v>-143.89999999999998</v>
      </c>
      <c r="AC113" s="115">
        <v>10</v>
      </c>
      <c r="AD113" s="115">
        <v>10</v>
      </c>
      <c r="AE113" s="115">
        <v>-160</v>
      </c>
      <c r="AF113" s="115">
        <v>-164</v>
      </c>
      <c r="AG113" s="114">
        <v>240</v>
      </c>
      <c r="AH113" s="47">
        <f t="shared" si="12"/>
        <v>10</v>
      </c>
      <c r="AI113" s="48">
        <f t="shared" si="13"/>
        <v>-164</v>
      </c>
    </row>
    <row r="114" spans="1:37" x14ac:dyDescent="0.25">
      <c r="A114" s="103" t="s">
        <v>130</v>
      </c>
      <c r="B114" s="115">
        <v>-7.6</v>
      </c>
      <c r="C114" s="115">
        <v>-9.4</v>
      </c>
      <c r="D114" s="115">
        <v>-18.3</v>
      </c>
      <c r="E114" s="115">
        <v>-17.3</v>
      </c>
      <c r="F114" s="115">
        <v>-17.3</v>
      </c>
      <c r="G114" s="115">
        <v>-14.9</v>
      </c>
      <c r="H114" s="115">
        <v>-12</v>
      </c>
      <c r="I114" s="115">
        <v>-4.9000000000000004</v>
      </c>
      <c r="J114" s="115">
        <v>-4.8</v>
      </c>
      <c r="K114" s="115">
        <v>-4.8</v>
      </c>
      <c r="L114" s="115">
        <v>-4</v>
      </c>
      <c r="M114" s="115">
        <v>11.1</v>
      </c>
      <c r="N114" s="115">
        <v>3.6</v>
      </c>
      <c r="O114" s="115">
        <v>7.4</v>
      </c>
      <c r="P114" s="115">
        <v>17.7</v>
      </c>
      <c r="Q114" s="115">
        <v>21.1</v>
      </c>
      <c r="R114" s="115">
        <v>10.5</v>
      </c>
      <c r="S114" s="115">
        <v>15</v>
      </c>
      <c r="T114" s="115">
        <v>11.2</v>
      </c>
      <c r="U114" s="115">
        <v>14</v>
      </c>
      <c r="V114" s="115"/>
      <c r="W114" s="115">
        <v>11</v>
      </c>
      <c r="X114" s="115">
        <v>5.7</v>
      </c>
      <c r="Y114" s="115">
        <v>4.0999999999999996</v>
      </c>
      <c r="Z114" s="115">
        <v>3</v>
      </c>
      <c r="AA114" s="115">
        <v>17</v>
      </c>
      <c r="AB114" s="115">
        <v>17.100000000000001</v>
      </c>
      <c r="AC114" s="115">
        <v>10</v>
      </c>
      <c r="AD114" s="115">
        <v>10</v>
      </c>
      <c r="AE114" s="115">
        <v>-5</v>
      </c>
      <c r="AF114" s="115">
        <v>-20</v>
      </c>
      <c r="AG114" s="114">
        <v>60</v>
      </c>
      <c r="AH114" s="47">
        <f t="shared" si="12"/>
        <v>21.1</v>
      </c>
      <c r="AI114" s="48">
        <f t="shared" si="13"/>
        <v>-20</v>
      </c>
    </row>
    <row r="115" spans="1:37" x14ac:dyDescent="0.25">
      <c r="A115" s="116" t="s">
        <v>131</v>
      </c>
      <c r="B115" s="117">
        <v>21.3</v>
      </c>
      <c r="C115" s="117">
        <v>19.5</v>
      </c>
      <c r="D115" s="117">
        <v>20.100000000000001</v>
      </c>
      <c r="E115" s="117">
        <v>21.4</v>
      </c>
      <c r="F115" s="117">
        <v>21.4</v>
      </c>
      <c r="G115" s="117">
        <v>14.5</v>
      </c>
      <c r="H115" s="117">
        <v>21.4</v>
      </c>
      <c r="I115" s="117">
        <v>21.3</v>
      </c>
      <c r="J115" s="117">
        <v>21.3</v>
      </c>
      <c r="K115" s="117">
        <v>21.3</v>
      </c>
      <c r="L115" s="117">
        <v>69.2</v>
      </c>
      <c r="M115" s="117">
        <v>71.8</v>
      </c>
      <c r="N115" s="117">
        <v>86.2</v>
      </c>
      <c r="O115" s="117">
        <v>95.1</v>
      </c>
      <c r="P115" s="117">
        <v>82.1</v>
      </c>
      <c r="Q115" s="117">
        <v>84.6</v>
      </c>
      <c r="R115" s="117">
        <v>99.3</v>
      </c>
      <c r="S115" s="117">
        <v>101</v>
      </c>
      <c r="T115" s="117">
        <v>96.8</v>
      </c>
      <c r="U115" s="117">
        <v>76</v>
      </c>
      <c r="V115" s="117"/>
      <c r="W115" s="117">
        <v>90</v>
      </c>
      <c r="X115" s="117">
        <v>90</v>
      </c>
      <c r="Y115" s="117">
        <v>94</v>
      </c>
      <c r="Z115" s="117">
        <v>98.2</v>
      </c>
      <c r="AA115" s="117">
        <v>95</v>
      </c>
      <c r="AB115" s="117">
        <v>82.3</v>
      </c>
      <c r="AC115" s="117">
        <v>79</v>
      </c>
      <c r="AD115" s="117">
        <v>79</v>
      </c>
      <c r="AE115" s="117">
        <v>57</v>
      </c>
      <c r="AF115" s="117">
        <v>61</v>
      </c>
      <c r="AG115" s="118">
        <v>120</v>
      </c>
      <c r="AH115" s="47">
        <f t="shared" si="12"/>
        <v>101</v>
      </c>
      <c r="AI115" s="48">
        <f t="shared" si="13"/>
        <v>14.5</v>
      </c>
    </row>
    <row r="116" spans="1:37" x14ac:dyDescent="0.25">
      <c r="A116" s="116" t="s">
        <v>132</v>
      </c>
      <c r="B116" s="117">
        <v>53</v>
      </c>
      <c r="C116" s="117">
        <v>60.2</v>
      </c>
      <c r="D116" s="117">
        <v>41</v>
      </c>
      <c r="E116" s="117">
        <v>63.4</v>
      </c>
      <c r="F116" s="117">
        <v>63.4</v>
      </c>
      <c r="G116" s="117">
        <v>33</v>
      </c>
      <c r="H116" s="117">
        <v>28.3</v>
      </c>
      <c r="I116" s="117">
        <v>45.6</v>
      </c>
      <c r="J116" s="117">
        <v>54.8</v>
      </c>
      <c r="K116" s="117">
        <v>54.8</v>
      </c>
      <c r="L116" s="117">
        <v>45.3</v>
      </c>
      <c r="M116" s="117">
        <v>40.299999999999997</v>
      </c>
      <c r="N116" s="117">
        <v>73.3</v>
      </c>
      <c r="O116" s="117">
        <v>85.5</v>
      </c>
      <c r="P116" s="117">
        <v>64.5</v>
      </c>
      <c r="Q116" s="117">
        <v>66.8</v>
      </c>
      <c r="R116" s="117">
        <v>92.2</v>
      </c>
      <c r="S116" s="117">
        <v>96</v>
      </c>
      <c r="T116" s="117">
        <v>83</v>
      </c>
      <c r="U116" s="117">
        <v>72</v>
      </c>
      <c r="V116" s="117"/>
      <c r="W116" s="117">
        <v>82</v>
      </c>
      <c r="X116" s="117">
        <v>76</v>
      </c>
      <c r="Y116" s="117">
        <v>74</v>
      </c>
      <c r="Z116" s="117">
        <v>71.400000000000006</v>
      </c>
      <c r="AA116" s="117">
        <v>65</v>
      </c>
      <c r="AB116" s="117">
        <v>63.9</v>
      </c>
      <c r="AC116" s="117">
        <v>63</v>
      </c>
      <c r="AD116" s="117">
        <v>63</v>
      </c>
      <c r="AE116" s="117">
        <v>50</v>
      </c>
      <c r="AF116" s="117">
        <v>56</v>
      </c>
      <c r="AG116" s="118"/>
      <c r="AH116" s="47">
        <f t="shared" si="12"/>
        <v>96</v>
      </c>
      <c r="AI116" s="48">
        <f t="shared" si="13"/>
        <v>28.3</v>
      </c>
    </row>
    <row r="117" spans="1:37" x14ac:dyDescent="0.25">
      <c r="A117" s="116" t="s">
        <v>133</v>
      </c>
      <c r="B117" s="117">
        <v>3.3</v>
      </c>
      <c r="C117" s="117">
        <v>6</v>
      </c>
      <c r="D117" s="117">
        <v>40.5</v>
      </c>
      <c r="E117" s="117">
        <v>-26.7</v>
      </c>
      <c r="F117" s="117">
        <v>-26.7</v>
      </c>
      <c r="G117" s="117">
        <v>-1.4</v>
      </c>
      <c r="H117" s="117">
        <v>-5.5</v>
      </c>
      <c r="I117" s="117">
        <v>-5.9</v>
      </c>
      <c r="J117" s="117">
        <v>-2.9</v>
      </c>
      <c r="K117" s="117">
        <v>-2.9</v>
      </c>
      <c r="L117" s="117">
        <v>-14</v>
      </c>
      <c r="M117" s="117">
        <v>-12.2</v>
      </c>
      <c r="N117" s="117">
        <v>-8.6999999999999993</v>
      </c>
      <c r="O117" s="117">
        <v>0.1</v>
      </c>
      <c r="P117" s="117">
        <v>1.9</v>
      </c>
      <c r="Q117" s="117">
        <v>23</v>
      </c>
      <c r="R117" s="117">
        <v>1</v>
      </c>
      <c r="S117" s="117">
        <v>17</v>
      </c>
      <c r="T117" s="117">
        <v>21</v>
      </c>
      <c r="U117" s="117">
        <v>44</v>
      </c>
      <c r="V117" s="117"/>
      <c r="W117" s="117">
        <v>29</v>
      </c>
      <c r="X117" s="117">
        <v>26.4</v>
      </c>
      <c r="Y117" s="117">
        <v>35</v>
      </c>
      <c r="Z117" s="117">
        <v>26</v>
      </c>
      <c r="AA117" s="117">
        <v>36</v>
      </c>
      <c r="AB117" s="117">
        <v>31.5</v>
      </c>
      <c r="AC117" s="117">
        <v>45</v>
      </c>
      <c r="AD117" s="117">
        <v>45</v>
      </c>
      <c r="AE117" s="117">
        <v>56</v>
      </c>
      <c r="AF117" s="117">
        <v>50</v>
      </c>
      <c r="AG117" s="119"/>
      <c r="AH117" s="47">
        <f t="shared" si="12"/>
        <v>56</v>
      </c>
      <c r="AI117" s="48">
        <f t="shared" si="13"/>
        <v>-26.7</v>
      </c>
    </row>
    <row r="118" spans="1:37" x14ac:dyDescent="0.25">
      <c r="A118" s="120" t="s">
        <v>134</v>
      </c>
      <c r="B118" s="106">
        <v>40.5</v>
      </c>
      <c r="C118" s="106">
        <v>45.8</v>
      </c>
      <c r="D118" s="106">
        <v>47.7</v>
      </c>
      <c r="E118" s="106">
        <v>49.3</v>
      </c>
      <c r="F118" s="106">
        <v>49.3</v>
      </c>
      <c r="G118" s="106">
        <v>45.4</v>
      </c>
      <c r="H118" s="106">
        <v>51.9</v>
      </c>
      <c r="I118" s="106">
        <v>55.4</v>
      </c>
      <c r="J118" s="106">
        <v>58.3</v>
      </c>
      <c r="K118" s="106">
        <v>58.3</v>
      </c>
      <c r="L118" s="106">
        <v>66</v>
      </c>
      <c r="M118" s="106">
        <v>54.5</v>
      </c>
      <c r="N118" s="106">
        <v>50.3</v>
      </c>
      <c r="O118" s="106">
        <v>49.6</v>
      </c>
      <c r="P118" s="106">
        <v>43.7</v>
      </c>
      <c r="Q118" s="106">
        <v>42</v>
      </c>
      <c r="R118" s="106">
        <v>39.5</v>
      </c>
      <c r="S118" s="106">
        <v>39</v>
      </c>
      <c r="T118" s="106">
        <v>42</v>
      </c>
      <c r="U118" s="106">
        <v>32</v>
      </c>
      <c r="V118" s="106"/>
      <c r="W118" s="106">
        <v>25</v>
      </c>
      <c r="X118" s="106">
        <v>24</v>
      </c>
      <c r="Y118" s="106">
        <v>23</v>
      </c>
      <c r="Z118" s="106">
        <v>18</v>
      </c>
      <c r="AA118" s="106">
        <v>19</v>
      </c>
      <c r="AB118" s="106">
        <v>19.3</v>
      </c>
      <c r="AC118" s="106">
        <v>22</v>
      </c>
      <c r="AD118" s="106">
        <v>22</v>
      </c>
      <c r="AE118" s="106">
        <v>31</v>
      </c>
      <c r="AF118" s="106">
        <v>34</v>
      </c>
      <c r="AG118" s="119"/>
      <c r="AH118" s="47">
        <f t="shared" si="12"/>
        <v>66</v>
      </c>
      <c r="AI118" s="48">
        <f t="shared" si="13"/>
        <v>18</v>
      </c>
    </row>
    <row r="119" spans="1:37" x14ac:dyDescent="0.25">
      <c r="A119" s="121" t="s">
        <v>135</v>
      </c>
      <c r="B119" s="106">
        <v>67.400000000000006</v>
      </c>
      <c r="C119" s="106">
        <v>65.7</v>
      </c>
      <c r="D119" s="106">
        <v>91.4</v>
      </c>
      <c r="E119" s="106">
        <v>67</v>
      </c>
      <c r="F119" s="106">
        <v>67</v>
      </c>
      <c r="G119" s="106">
        <v>61.4</v>
      </c>
      <c r="H119" s="106">
        <v>73.400000000000006</v>
      </c>
      <c r="I119" s="106">
        <v>57.58</v>
      </c>
      <c r="J119" s="106">
        <v>41.8</v>
      </c>
      <c r="K119" s="106">
        <v>41.8</v>
      </c>
      <c r="L119" s="106">
        <v>67.8</v>
      </c>
      <c r="M119" s="106">
        <v>65.400000000000006</v>
      </c>
      <c r="N119" s="106">
        <v>65</v>
      </c>
      <c r="O119" s="106">
        <v>71.5</v>
      </c>
      <c r="P119" s="106">
        <v>77.2</v>
      </c>
      <c r="Q119" s="106">
        <v>0</v>
      </c>
      <c r="R119" s="106">
        <v>80.599999999999994</v>
      </c>
      <c r="S119" s="106">
        <v>0</v>
      </c>
      <c r="T119" s="106">
        <v>0</v>
      </c>
      <c r="U119" s="106">
        <v>0</v>
      </c>
      <c r="V119" s="106"/>
      <c r="W119" s="106">
        <v>0</v>
      </c>
      <c r="X119" s="106">
        <v>0</v>
      </c>
      <c r="Y119" s="106">
        <v>0</v>
      </c>
      <c r="Z119" s="106">
        <v>40</v>
      </c>
      <c r="AA119" s="106">
        <v>48</v>
      </c>
      <c r="AB119" s="106">
        <v>67</v>
      </c>
      <c r="AC119" s="106">
        <v>69</v>
      </c>
      <c r="AD119" s="106">
        <v>69</v>
      </c>
      <c r="AE119" s="106">
        <v>78</v>
      </c>
      <c r="AF119" s="106">
        <v>80</v>
      </c>
      <c r="AG119" s="119"/>
      <c r="AH119" s="47">
        <f t="shared" si="12"/>
        <v>91.4</v>
      </c>
      <c r="AI119" s="48">
        <f t="shared" si="13"/>
        <v>0</v>
      </c>
    </row>
    <row r="120" spans="1:37" ht="15.75" thickBot="1" x14ac:dyDescent="0.3">
      <c r="A120" s="120" t="s">
        <v>136</v>
      </c>
      <c r="B120" s="106">
        <v>42.9</v>
      </c>
      <c r="C120" s="106">
        <v>19.100000000000001</v>
      </c>
      <c r="D120" s="106">
        <v>23.8</v>
      </c>
      <c r="E120" s="106">
        <v>27</v>
      </c>
      <c r="F120" s="106">
        <v>27</v>
      </c>
      <c r="G120" s="106">
        <v>27</v>
      </c>
      <c r="H120" s="106">
        <v>15</v>
      </c>
      <c r="I120" s="106">
        <v>13</v>
      </c>
      <c r="J120" s="106">
        <v>5</v>
      </c>
      <c r="K120" s="106">
        <v>5</v>
      </c>
      <c r="L120" s="106">
        <v>5</v>
      </c>
      <c r="M120" s="106">
        <v>19.8</v>
      </c>
      <c r="N120" s="106">
        <v>25.9</v>
      </c>
      <c r="O120" s="106">
        <v>33.299999999999997</v>
      </c>
      <c r="P120" s="106">
        <v>40</v>
      </c>
      <c r="Q120" s="106">
        <v>50.8</v>
      </c>
      <c r="R120" s="106">
        <v>47.6</v>
      </c>
      <c r="S120" s="106">
        <v>52</v>
      </c>
      <c r="T120" s="106">
        <v>45</v>
      </c>
      <c r="U120" s="106">
        <v>41</v>
      </c>
      <c r="V120" s="106"/>
      <c r="W120" s="106">
        <v>34</v>
      </c>
      <c r="X120" s="106">
        <v>52</v>
      </c>
      <c r="Y120" s="106">
        <v>52</v>
      </c>
      <c r="Z120" s="106">
        <v>58</v>
      </c>
      <c r="AA120" s="106">
        <v>71</v>
      </c>
      <c r="AB120" s="106">
        <v>73.099999999999994</v>
      </c>
      <c r="AC120" s="106">
        <v>68</v>
      </c>
      <c r="AD120" s="106">
        <v>68</v>
      </c>
      <c r="AE120" s="106">
        <v>68</v>
      </c>
      <c r="AF120" s="106">
        <v>67</v>
      </c>
      <c r="AG120" s="119"/>
      <c r="AH120" s="47">
        <f t="shared" si="12"/>
        <v>73.099999999999994</v>
      </c>
      <c r="AI120" s="48">
        <f t="shared" si="13"/>
        <v>5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22">SUM(B122:B226)</f>
        <v>0</v>
      </c>
      <c r="C227" s="137">
        <f t="shared" si="22"/>
        <v>0</v>
      </c>
      <c r="D227" s="137">
        <f t="shared" si="22"/>
        <v>0</v>
      </c>
      <c r="E227" s="137">
        <f t="shared" si="22"/>
        <v>0</v>
      </c>
      <c r="F227" s="137">
        <f t="shared" si="22"/>
        <v>0</v>
      </c>
      <c r="G227" s="137">
        <f t="shared" si="22"/>
        <v>0</v>
      </c>
      <c r="H227" s="137">
        <f t="shared" si="22"/>
        <v>0</v>
      </c>
      <c r="I227" s="137">
        <f t="shared" si="22"/>
        <v>0</v>
      </c>
      <c r="J227" s="137">
        <f t="shared" si="22"/>
        <v>0</v>
      </c>
      <c r="K227" s="137">
        <f t="shared" si="22"/>
        <v>0</v>
      </c>
      <c r="L227" s="137">
        <f t="shared" si="22"/>
        <v>0</v>
      </c>
      <c r="M227" s="137">
        <f t="shared" si="22"/>
        <v>0</v>
      </c>
      <c r="N227" s="137">
        <f t="shared" si="22"/>
        <v>0</v>
      </c>
      <c r="O227" s="137">
        <f t="shared" si="22"/>
        <v>0</v>
      </c>
      <c r="P227" s="137">
        <f t="shared" si="22"/>
        <v>0</v>
      </c>
      <c r="Q227" s="137">
        <f t="shared" si="22"/>
        <v>0</v>
      </c>
      <c r="R227" s="137">
        <f t="shared" si="22"/>
        <v>0</v>
      </c>
      <c r="S227" s="137">
        <f t="shared" si="22"/>
        <v>0</v>
      </c>
      <c r="T227" s="137">
        <f t="shared" si="22"/>
        <v>0</v>
      </c>
      <c r="U227" s="137">
        <f t="shared" si="22"/>
        <v>0</v>
      </c>
      <c r="V227" s="137">
        <f t="shared" si="22"/>
        <v>0</v>
      </c>
      <c r="W227" s="137">
        <f t="shared" si="22"/>
        <v>0</v>
      </c>
      <c r="X227" s="137">
        <f t="shared" si="22"/>
        <v>0</v>
      </c>
      <c r="Y227" s="137">
        <f t="shared" si="22"/>
        <v>0</v>
      </c>
      <c r="Z227" s="137">
        <f t="shared" si="22"/>
        <v>0</v>
      </c>
      <c r="AA227" s="137">
        <f t="shared" si="22"/>
        <v>0</v>
      </c>
      <c r="AB227" s="137">
        <f t="shared" si="22"/>
        <v>0</v>
      </c>
      <c r="AC227" s="137">
        <f t="shared" si="22"/>
        <v>0</v>
      </c>
      <c r="AD227" s="137">
        <f t="shared" si="22"/>
        <v>0</v>
      </c>
      <c r="AE227" s="137">
        <f t="shared" si="22"/>
        <v>0</v>
      </c>
      <c r="AF227" s="138">
        <f t="shared" si="22"/>
        <v>0</v>
      </c>
      <c r="AG227" s="139">
        <f t="shared" si="22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23">AF229</f>
        <v>0</v>
      </c>
      <c r="C229" s="141">
        <v>0.3</v>
      </c>
      <c r="D229" s="141">
        <f t="shared" ref="D229:P234" si="24">C229</f>
        <v>0.3</v>
      </c>
      <c r="E229" s="141">
        <f t="shared" si="24"/>
        <v>0.3</v>
      </c>
      <c r="F229" s="141">
        <f t="shared" si="24"/>
        <v>0.3</v>
      </c>
      <c r="G229" s="141">
        <f t="shared" si="24"/>
        <v>0.3</v>
      </c>
      <c r="H229" s="141">
        <f t="shared" si="24"/>
        <v>0.3</v>
      </c>
      <c r="I229" s="141">
        <f t="shared" si="24"/>
        <v>0.3</v>
      </c>
      <c r="J229" s="141">
        <f t="shared" si="24"/>
        <v>0.3</v>
      </c>
      <c r="K229" s="141">
        <f t="shared" si="24"/>
        <v>0.3</v>
      </c>
      <c r="L229" s="141">
        <f t="shared" si="24"/>
        <v>0.3</v>
      </c>
      <c r="M229" s="141">
        <f t="shared" si="24"/>
        <v>0.3</v>
      </c>
      <c r="N229" s="141">
        <f t="shared" si="24"/>
        <v>0.3</v>
      </c>
      <c r="O229" s="141">
        <f t="shared" si="24"/>
        <v>0.3</v>
      </c>
      <c r="P229" s="141">
        <f t="shared" si="24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23"/>
        <v>0</v>
      </c>
      <c r="C230" s="129">
        <v>0.4</v>
      </c>
      <c r="D230" s="129">
        <f t="shared" si="24"/>
        <v>0.4</v>
      </c>
      <c r="E230" s="129">
        <f t="shared" si="24"/>
        <v>0.4</v>
      </c>
      <c r="F230" s="129">
        <f t="shared" si="24"/>
        <v>0.4</v>
      </c>
      <c r="G230" s="129">
        <f t="shared" si="24"/>
        <v>0.4</v>
      </c>
      <c r="H230" s="129">
        <f t="shared" si="24"/>
        <v>0.4</v>
      </c>
      <c r="I230" s="129">
        <f t="shared" si="24"/>
        <v>0.4</v>
      </c>
      <c r="J230" s="129">
        <f t="shared" si="24"/>
        <v>0.4</v>
      </c>
      <c r="K230" s="129">
        <f t="shared" si="24"/>
        <v>0.4</v>
      </c>
      <c r="L230" s="129">
        <f t="shared" si="24"/>
        <v>0.4</v>
      </c>
      <c r="M230" s="129">
        <f t="shared" si="24"/>
        <v>0.4</v>
      </c>
      <c r="N230" s="129">
        <f t="shared" si="24"/>
        <v>0.4</v>
      </c>
      <c r="O230" s="129">
        <f t="shared" si="24"/>
        <v>0.4</v>
      </c>
      <c r="P230" s="129">
        <f t="shared" si="24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23"/>
        <v>0</v>
      </c>
      <c r="C231" s="129">
        <v>1.5</v>
      </c>
      <c r="D231" s="129">
        <f t="shared" si="24"/>
        <v>1.5</v>
      </c>
      <c r="E231" s="129">
        <f t="shared" si="24"/>
        <v>1.5</v>
      </c>
      <c r="F231" s="129">
        <f t="shared" si="24"/>
        <v>1.5</v>
      </c>
      <c r="G231" s="129">
        <f t="shared" si="24"/>
        <v>1.5</v>
      </c>
      <c r="H231" s="129">
        <f t="shared" si="24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24"/>
        <v>123.21900000000009</v>
      </c>
      <c r="K231" s="129">
        <f t="shared" ca="1" si="24"/>
        <v>123.21900000000009</v>
      </c>
      <c r="L231" s="129">
        <f t="shared" ca="1" si="24"/>
        <v>123.21900000000009</v>
      </c>
      <c r="M231" s="129">
        <f t="shared" ca="1" si="24"/>
        <v>119.19900000000008</v>
      </c>
      <c r="N231" s="129">
        <f t="shared" ca="1" si="24"/>
        <v>119.19900000000008</v>
      </c>
      <c r="O231" s="129">
        <f t="shared" ca="1" si="24"/>
        <v>119.19900000000008</v>
      </c>
      <c r="P231" s="129">
        <f t="shared" ca="1" si="24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23"/>
        <v>0</v>
      </c>
      <c r="C232" s="129">
        <v>0.3</v>
      </c>
      <c r="D232" s="129">
        <f t="shared" si="24"/>
        <v>0.3</v>
      </c>
      <c r="E232" s="129">
        <f t="shared" si="24"/>
        <v>0.3</v>
      </c>
      <c r="F232" s="129">
        <f t="shared" si="24"/>
        <v>0.3</v>
      </c>
      <c r="G232" s="129">
        <f t="shared" si="24"/>
        <v>0.3</v>
      </c>
      <c r="H232" s="129">
        <f t="shared" si="24"/>
        <v>0.3</v>
      </c>
      <c r="I232" s="129">
        <f t="shared" si="24"/>
        <v>0.3</v>
      </c>
      <c r="J232" s="129">
        <f t="shared" si="24"/>
        <v>0.3</v>
      </c>
      <c r="K232" s="129">
        <f t="shared" si="24"/>
        <v>0.3</v>
      </c>
      <c r="L232" s="129">
        <f t="shared" si="24"/>
        <v>0.3</v>
      </c>
      <c r="M232" s="129">
        <f t="shared" si="24"/>
        <v>0.3</v>
      </c>
      <c r="N232" s="129">
        <f t="shared" si="24"/>
        <v>0.3</v>
      </c>
      <c r="O232" s="129">
        <f t="shared" si="24"/>
        <v>0.3</v>
      </c>
      <c r="P232" s="129">
        <f t="shared" si="24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23"/>
        <v>0</v>
      </c>
      <c r="C233" s="129">
        <v>0.4</v>
      </c>
      <c r="D233" s="129">
        <f t="shared" si="24"/>
        <v>0.4</v>
      </c>
      <c r="E233" s="129">
        <f t="shared" si="24"/>
        <v>0.4</v>
      </c>
      <c r="F233" s="129">
        <f t="shared" si="24"/>
        <v>0.4</v>
      </c>
      <c r="G233" s="129">
        <f t="shared" si="24"/>
        <v>0.4</v>
      </c>
      <c r="H233" s="129">
        <f t="shared" si="24"/>
        <v>0.4</v>
      </c>
      <c r="I233" s="129">
        <f t="shared" si="24"/>
        <v>0.4</v>
      </c>
      <c r="J233" s="129">
        <f t="shared" si="24"/>
        <v>0.4</v>
      </c>
      <c r="K233" s="129">
        <f t="shared" si="24"/>
        <v>0.4</v>
      </c>
      <c r="L233" s="129">
        <f t="shared" si="24"/>
        <v>0.4</v>
      </c>
      <c r="M233" s="129">
        <f t="shared" si="24"/>
        <v>0.4</v>
      </c>
      <c r="N233" s="129">
        <f t="shared" si="24"/>
        <v>0.4</v>
      </c>
      <c r="O233" s="129">
        <f t="shared" si="24"/>
        <v>0.4</v>
      </c>
      <c r="P233" s="129">
        <f t="shared" si="24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23"/>
        <v>0</v>
      </c>
      <c r="C234" s="133">
        <v>0.64</v>
      </c>
      <c r="D234" s="133">
        <f t="shared" si="24"/>
        <v>0.64</v>
      </c>
      <c r="E234" s="133">
        <f t="shared" si="24"/>
        <v>0.64</v>
      </c>
      <c r="F234" s="133">
        <f t="shared" si="24"/>
        <v>0.64</v>
      </c>
      <c r="G234" s="133">
        <f t="shared" si="24"/>
        <v>0.64</v>
      </c>
      <c r="H234" s="133">
        <f t="shared" si="24"/>
        <v>0.64</v>
      </c>
      <c r="I234" s="133">
        <f t="shared" si="24"/>
        <v>0.64</v>
      </c>
      <c r="J234" s="133">
        <f t="shared" si="24"/>
        <v>0.64</v>
      </c>
      <c r="K234" s="133">
        <f t="shared" si="24"/>
        <v>0.64</v>
      </c>
      <c r="L234" s="133">
        <f t="shared" si="24"/>
        <v>0.64</v>
      </c>
      <c r="M234" s="133">
        <f t="shared" si="24"/>
        <v>0.64</v>
      </c>
      <c r="N234" s="133">
        <f t="shared" si="24"/>
        <v>0.64</v>
      </c>
      <c r="O234" s="133">
        <f t="shared" si="24"/>
        <v>0.64</v>
      </c>
      <c r="P234" s="133">
        <f t="shared" si="24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5">SUM(B229:B234)</f>
        <v>0</v>
      </c>
      <c r="C235" s="137">
        <f t="shared" si="25"/>
        <v>3.54</v>
      </c>
      <c r="D235" s="137">
        <f t="shared" si="25"/>
        <v>3.54</v>
      </c>
      <c r="E235" s="137">
        <f t="shared" si="25"/>
        <v>3.54</v>
      </c>
      <c r="F235" s="137">
        <f t="shared" si="25"/>
        <v>3.54</v>
      </c>
      <c r="G235" s="137">
        <f t="shared" si="25"/>
        <v>3.54</v>
      </c>
      <c r="H235" s="137">
        <f t="shared" si="25"/>
        <v>3.54</v>
      </c>
      <c r="I235" s="137">
        <f t="shared" ca="1" si="25"/>
        <v>121.23900000000009</v>
      </c>
      <c r="J235" s="137">
        <f t="shared" ca="1" si="25"/>
        <v>121.23900000000009</v>
      </c>
      <c r="K235" s="137">
        <f t="shared" ca="1" si="25"/>
        <v>121.23900000000009</v>
      </c>
      <c r="L235" s="137">
        <f t="shared" ca="1" si="25"/>
        <v>125.2590000000001</v>
      </c>
      <c r="M235" s="137">
        <f t="shared" ca="1" si="25"/>
        <v>121.23900000000009</v>
      </c>
      <c r="N235" s="137">
        <f t="shared" ca="1" si="25"/>
        <v>121.23900000000009</v>
      </c>
      <c r="O235" s="137">
        <f t="shared" ca="1" si="25"/>
        <v>121.23900000000009</v>
      </c>
      <c r="P235" s="137">
        <f t="shared" ca="1" si="25"/>
        <v>121.23900000000009</v>
      </c>
      <c r="Q235" s="137">
        <f t="shared" si="25"/>
        <v>0</v>
      </c>
      <c r="R235" s="137">
        <f t="shared" si="25"/>
        <v>0</v>
      </c>
      <c r="S235" s="137">
        <f t="shared" si="25"/>
        <v>0</v>
      </c>
      <c r="T235" s="137">
        <f t="shared" si="25"/>
        <v>0</v>
      </c>
      <c r="U235" s="137">
        <f t="shared" si="25"/>
        <v>0</v>
      </c>
      <c r="V235" s="137">
        <f t="shared" si="25"/>
        <v>0</v>
      </c>
      <c r="W235" s="137">
        <f t="shared" si="25"/>
        <v>0</v>
      </c>
      <c r="X235" s="137">
        <f t="shared" si="25"/>
        <v>0</v>
      </c>
      <c r="Y235" s="137">
        <f t="shared" si="25"/>
        <v>0</v>
      </c>
      <c r="Z235" s="137">
        <f t="shared" si="25"/>
        <v>0</v>
      </c>
      <c r="AA235" s="137">
        <f t="shared" si="25"/>
        <v>0</v>
      </c>
      <c r="AB235" s="137">
        <f t="shared" si="25"/>
        <v>0</v>
      </c>
      <c r="AC235" s="137">
        <f t="shared" si="25"/>
        <v>0</v>
      </c>
      <c r="AD235" s="137">
        <f t="shared" si="25"/>
        <v>0</v>
      </c>
      <c r="AE235" s="137">
        <f t="shared" si="25"/>
        <v>0</v>
      </c>
      <c r="AF235" s="137">
        <f t="shared" si="25"/>
        <v>0</v>
      </c>
      <c r="AG235" s="146">
        <f t="shared" si="25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1889.94</v>
      </c>
      <c r="C244" s="162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08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2080/03/8)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2080/03/8)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6">B91</f>
        <v>1887.04</v>
      </c>
      <c r="U249" s="171">
        <f t="shared" si="26"/>
        <v>1799.34</v>
      </c>
      <c r="V249" s="171">
        <f t="shared" si="26"/>
        <v>1712.64</v>
      </c>
      <c r="W249" s="171">
        <f t="shared" si="26"/>
        <v>1704.64</v>
      </c>
      <c r="X249" s="171">
        <f t="shared" si="26"/>
        <v>1676.94</v>
      </c>
      <c r="Y249" s="171">
        <f t="shared" si="26"/>
        <v>1619.24</v>
      </c>
      <c r="Z249" s="171">
        <f t="shared" si="26"/>
        <v>1680.24</v>
      </c>
      <c r="AA249" s="171">
        <f t="shared" si="26"/>
        <v>1675.5400000000002</v>
      </c>
      <c r="AB249" s="171">
        <f t="shared" si="26"/>
        <v>1679.3400000000001</v>
      </c>
      <c r="AC249" s="171">
        <f t="shared" si="26"/>
        <v>1764.14</v>
      </c>
      <c r="AD249" s="171">
        <f t="shared" si="26"/>
        <v>1779.7400000000002</v>
      </c>
      <c r="AE249" s="171">
        <f t="shared" si="26"/>
        <v>1889.94</v>
      </c>
      <c r="AF249" s="171">
        <f t="shared" si="26"/>
        <v>1804.6399999999999</v>
      </c>
      <c r="AG249" s="171">
        <f t="shared" si="26"/>
        <v>1820.74</v>
      </c>
      <c r="AH249" s="171">
        <f t="shared" si="26"/>
        <v>1896.54</v>
      </c>
      <c r="AI249" s="171">
        <f t="shared" si="26"/>
        <v>1901.2399999999998</v>
      </c>
      <c r="AJ249" s="171">
        <f t="shared" si="26"/>
        <v>1845.0399999999997</v>
      </c>
      <c r="AK249" s="171">
        <f t="shared" si="26"/>
        <v>1861.9399999999998</v>
      </c>
      <c r="AL249" s="171">
        <f t="shared" si="26"/>
        <v>1906.74</v>
      </c>
      <c r="AM249" s="171">
        <f t="shared" si="26"/>
        <v>1948.3399999999997</v>
      </c>
      <c r="AN249" s="171">
        <f t="shared" si="26"/>
        <v>1826.54</v>
      </c>
      <c r="AO249" s="171">
        <f t="shared" si="26"/>
        <v>1833.74</v>
      </c>
      <c r="AP249" s="171">
        <f t="shared" si="26"/>
        <v>1805.7399999999998</v>
      </c>
      <c r="AQ249" s="171">
        <f t="shared" si="26"/>
        <v>1859.64</v>
      </c>
      <c r="AR249" s="171">
        <f t="shared" si="26"/>
        <v>1867.94</v>
      </c>
      <c r="AS249" s="171">
        <f t="shared" si="26"/>
        <v>1979.8400000000001</v>
      </c>
      <c r="AT249" s="171">
        <f t="shared" si="26"/>
        <v>2061.04</v>
      </c>
      <c r="AU249" s="171">
        <f t="shared" si="26"/>
        <v>2020.54</v>
      </c>
      <c r="AV249" s="171">
        <f t="shared" si="26"/>
        <v>2007.54</v>
      </c>
      <c r="AW249" s="171">
        <f t="shared" si="26"/>
        <v>2007.34</v>
      </c>
      <c r="AX249" s="171">
        <f t="shared" si="26"/>
        <v>1968.34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27">C234</f>
        <v>0.64</v>
      </c>
      <c r="C270" s="174">
        <f t="shared" si="27"/>
        <v>0.64</v>
      </c>
      <c r="D270" s="174">
        <f t="shared" si="27"/>
        <v>0.64</v>
      </c>
      <c r="E270" s="174">
        <f t="shared" si="27"/>
        <v>0.64</v>
      </c>
      <c r="F270" s="174">
        <f t="shared" si="27"/>
        <v>0.64</v>
      </c>
      <c r="G270" s="174">
        <f t="shared" si="27"/>
        <v>0.64</v>
      </c>
      <c r="H270" s="174">
        <f t="shared" si="27"/>
        <v>0.64</v>
      </c>
      <c r="I270" s="174">
        <f t="shared" si="27"/>
        <v>0.64</v>
      </c>
      <c r="J270" s="174">
        <f t="shared" si="27"/>
        <v>0.64</v>
      </c>
      <c r="K270" s="174">
        <f t="shared" si="27"/>
        <v>0.64</v>
      </c>
      <c r="L270" s="174">
        <f t="shared" si="27"/>
        <v>0.64</v>
      </c>
      <c r="M270" s="174">
        <f t="shared" si="27"/>
        <v>0.64</v>
      </c>
      <c r="N270" s="174">
        <f t="shared" si="27"/>
        <v>0.64</v>
      </c>
      <c r="O270" s="174">
        <f t="shared" si="27"/>
        <v>0.64</v>
      </c>
      <c r="P270" s="174">
        <f t="shared" si="27"/>
        <v>0</v>
      </c>
      <c r="Q270" s="174">
        <f t="shared" si="27"/>
        <v>0</v>
      </c>
      <c r="R270" s="174">
        <f t="shared" si="27"/>
        <v>0</v>
      </c>
      <c r="S270" s="174">
        <f t="shared" si="27"/>
        <v>0</v>
      </c>
      <c r="T270" s="174">
        <f t="shared" si="27"/>
        <v>0</v>
      </c>
      <c r="U270" s="174">
        <f t="shared" si="27"/>
        <v>0</v>
      </c>
      <c r="V270" s="174">
        <f t="shared" si="27"/>
        <v>0</v>
      </c>
      <c r="W270" s="174">
        <f t="shared" si="27"/>
        <v>0</v>
      </c>
      <c r="X270" s="174">
        <f t="shared" si="27"/>
        <v>0</v>
      </c>
      <c r="Y270" s="174">
        <f t="shared" si="27"/>
        <v>0</v>
      </c>
      <c r="Z270" s="174">
        <f t="shared" si="27"/>
        <v>0</v>
      </c>
      <c r="AA270" s="174">
        <f t="shared" si="27"/>
        <v>0</v>
      </c>
      <c r="AB270" s="174">
        <f t="shared" si="27"/>
        <v>0</v>
      </c>
      <c r="AC270" s="174">
        <f t="shared" si="27"/>
        <v>0</v>
      </c>
      <c r="AD270" s="174">
        <f t="shared" si="27"/>
        <v>0</v>
      </c>
      <c r="AE270" s="174">
        <f t="shared" si="27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28">IF(B238&lt;100,"",B238-520)</f>
        <v/>
      </c>
      <c r="C271" s="175" t="str">
        <f t="shared" si="28"/>
        <v/>
      </c>
      <c r="D271" s="175" t="str">
        <f t="shared" si="28"/>
        <v/>
      </c>
      <c r="E271" s="175" t="str">
        <f t="shared" si="28"/>
        <v/>
      </c>
      <c r="F271" s="175" t="str">
        <f t="shared" si="28"/>
        <v/>
      </c>
      <c r="G271" s="175" t="str">
        <f t="shared" si="28"/>
        <v/>
      </c>
      <c r="H271" s="175" t="str">
        <f t="shared" si="28"/>
        <v/>
      </c>
      <c r="I271" s="175" t="str">
        <f t="shared" si="28"/>
        <v/>
      </c>
      <c r="J271" s="175" t="str">
        <f t="shared" si="28"/>
        <v/>
      </c>
      <c r="K271" s="175" t="str">
        <f t="shared" si="28"/>
        <v/>
      </c>
      <c r="L271" s="175" t="str">
        <f t="shared" si="28"/>
        <v/>
      </c>
      <c r="M271" s="175" t="str">
        <f t="shared" si="28"/>
        <v/>
      </c>
      <c r="N271" s="175" t="str">
        <f t="shared" si="28"/>
        <v/>
      </c>
      <c r="O271" s="175" t="str">
        <f t="shared" si="28"/>
        <v/>
      </c>
      <c r="P271" s="175" t="str">
        <f t="shared" si="28"/>
        <v/>
      </c>
      <c r="Q271" s="175" t="str">
        <f t="shared" si="28"/>
        <v/>
      </c>
      <c r="R271" s="175" t="str">
        <f t="shared" si="28"/>
        <v/>
      </c>
      <c r="S271" s="175" t="str">
        <f t="shared" si="28"/>
        <v/>
      </c>
      <c r="T271" s="175" t="str">
        <f t="shared" si="28"/>
        <v/>
      </c>
      <c r="U271" s="175" t="str">
        <f t="shared" si="28"/>
        <v/>
      </c>
      <c r="V271" s="175" t="str">
        <f t="shared" si="28"/>
        <v/>
      </c>
      <c r="W271" s="175" t="str">
        <f t="shared" si="28"/>
        <v/>
      </c>
      <c r="X271" s="175" t="str">
        <f t="shared" si="28"/>
        <v/>
      </c>
      <c r="Y271" s="175" t="str">
        <f t="shared" si="28"/>
        <v/>
      </c>
      <c r="Z271" s="175" t="str">
        <f t="shared" si="28"/>
        <v/>
      </c>
      <c r="AA271" s="175" t="str">
        <f t="shared" si="28"/>
        <v/>
      </c>
      <c r="AB271" s="175" t="str">
        <f t="shared" si="28"/>
        <v/>
      </c>
      <c r="AC271" s="175" t="str">
        <f t="shared" si="28"/>
        <v/>
      </c>
      <c r="AD271" s="175" t="str">
        <f t="shared" si="28"/>
        <v/>
      </c>
      <c r="AE271" s="175" t="str">
        <f t="shared" si="28"/>
        <v/>
      </c>
      <c r="AF271" s="175" t="str">
        <f t="shared" si="28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29">IF(B239&lt;100,"",B239-620)</f>
        <v/>
      </c>
      <c r="C272" s="175" t="str">
        <f t="shared" si="29"/>
        <v/>
      </c>
      <c r="D272" s="175" t="str">
        <f t="shared" si="29"/>
        <v/>
      </c>
      <c r="E272" s="175" t="str">
        <f t="shared" si="29"/>
        <v/>
      </c>
      <c r="F272" s="175" t="str">
        <f t="shared" si="29"/>
        <v/>
      </c>
      <c r="G272" s="175" t="str">
        <f t="shared" si="29"/>
        <v/>
      </c>
      <c r="H272" s="175" t="str">
        <f t="shared" si="29"/>
        <v/>
      </c>
      <c r="I272" s="175" t="str">
        <f t="shared" si="29"/>
        <v/>
      </c>
      <c r="J272" s="175" t="str">
        <f t="shared" si="29"/>
        <v/>
      </c>
      <c r="K272" s="175" t="str">
        <f t="shared" si="29"/>
        <v/>
      </c>
      <c r="L272" s="175" t="str">
        <f t="shared" si="29"/>
        <v/>
      </c>
      <c r="M272" s="175" t="str">
        <f t="shared" si="29"/>
        <v/>
      </c>
      <c r="N272" s="175" t="str">
        <f t="shared" si="29"/>
        <v/>
      </c>
      <c r="O272" s="175" t="str">
        <f t="shared" si="29"/>
        <v/>
      </c>
      <c r="P272" s="175" t="str">
        <f t="shared" si="29"/>
        <v/>
      </c>
      <c r="Q272" s="175" t="str">
        <f t="shared" si="29"/>
        <v/>
      </c>
      <c r="R272" s="175" t="str">
        <f t="shared" si="29"/>
        <v/>
      </c>
      <c r="S272" s="175" t="str">
        <f t="shared" si="29"/>
        <v/>
      </c>
      <c r="T272" s="175" t="str">
        <f t="shared" si="29"/>
        <v/>
      </c>
      <c r="U272" s="175" t="str">
        <f t="shared" si="29"/>
        <v/>
      </c>
      <c r="V272" s="175" t="str">
        <f t="shared" si="29"/>
        <v/>
      </c>
      <c r="W272" s="175" t="str">
        <f t="shared" si="29"/>
        <v/>
      </c>
      <c r="X272" s="175" t="str">
        <f t="shared" si="29"/>
        <v/>
      </c>
      <c r="Y272" s="175" t="str">
        <f t="shared" si="29"/>
        <v/>
      </c>
      <c r="Z272" s="175" t="str">
        <f t="shared" si="29"/>
        <v/>
      </c>
      <c r="AA272" s="175" t="str">
        <f t="shared" si="29"/>
        <v/>
      </c>
      <c r="AB272" s="175" t="str">
        <f t="shared" si="29"/>
        <v/>
      </c>
      <c r="AC272" s="175" t="str">
        <f t="shared" si="29"/>
        <v/>
      </c>
      <c r="AD272" s="175" t="str">
        <f t="shared" si="29"/>
        <v/>
      </c>
      <c r="AE272" s="175" t="str">
        <f t="shared" si="29"/>
        <v/>
      </c>
      <c r="AF272" s="175" t="str">
        <f t="shared" si="29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30">IF(B240&lt;100,"",B240-330)</f>
        <v/>
      </c>
      <c r="C273" s="175" t="str">
        <f t="shared" si="30"/>
        <v/>
      </c>
      <c r="D273" s="175" t="str">
        <f t="shared" si="30"/>
        <v/>
      </c>
      <c r="E273" s="175" t="str">
        <f t="shared" si="30"/>
        <v/>
      </c>
      <c r="F273" s="175" t="str">
        <f t="shared" si="30"/>
        <v/>
      </c>
      <c r="G273" s="175" t="str">
        <f t="shared" si="30"/>
        <v/>
      </c>
      <c r="H273" s="175" t="str">
        <f t="shared" si="30"/>
        <v/>
      </c>
      <c r="I273" s="175" t="str">
        <f t="shared" si="30"/>
        <v/>
      </c>
      <c r="J273" s="175" t="str">
        <f t="shared" si="30"/>
        <v/>
      </c>
      <c r="K273" s="175" t="str">
        <f t="shared" si="30"/>
        <v/>
      </c>
      <c r="L273" s="175" t="str">
        <f t="shared" si="30"/>
        <v/>
      </c>
      <c r="M273" s="175" t="str">
        <f t="shared" si="30"/>
        <v/>
      </c>
      <c r="N273" s="175" t="str">
        <f t="shared" si="30"/>
        <v/>
      </c>
      <c r="O273" s="175" t="str">
        <f t="shared" si="30"/>
        <v/>
      </c>
      <c r="P273" s="175" t="str">
        <f t="shared" si="30"/>
        <v/>
      </c>
      <c r="Q273" s="175" t="str">
        <f t="shared" si="30"/>
        <v/>
      </c>
      <c r="R273" s="175" t="str">
        <f t="shared" si="30"/>
        <v/>
      </c>
      <c r="S273" s="175" t="str">
        <f t="shared" si="30"/>
        <v/>
      </c>
      <c r="T273" s="175" t="str">
        <f t="shared" si="30"/>
        <v/>
      </c>
      <c r="U273" s="175" t="str">
        <f t="shared" si="30"/>
        <v/>
      </c>
      <c r="V273" s="175" t="str">
        <f t="shared" si="30"/>
        <v/>
      </c>
      <c r="W273" s="175" t="str">
        <f t="shared" si="30"/>
        <v/>
      </c>
      <c r="X273" s="175" t="str">
        <f t="shared" si="30"/>
        <v/>
      </c>
      <c r="Y273" s="175" t="str">
        <f t="shared" si="30"/>
        <v/>
      </c>
      <c r="Z273" s="175" t="str">
        <f t="shared" si="30"/>
        <v/>
      </c>
      <c r="AA273" s="175" t="str">
        <f t="shared" si="30"/>
        <v/>
      </c>
      <c r="AB273" s="175" t="str">
        <f t="shared" si="30"/>
        <v/>
      </c>
      <c r="AC273" s="175" t="str">
        <f t="shared" si="30"/>
        <v/>
      </c>
      <c r="AD273" s="175" t="str">
        <f t="shared" si="30"/>
        <v/>
      </c>
      <c r="AE273" s="175" t="str">
        <f t="shared" si="30"/>
        <v/>
      </c>
      <c r="AF273" s="175" t="str">
        <f t="shared" si="30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31">IF(B241&lt;100,"",B241-1500)</f>
        <v/>
      </c>
      <c r="C274" s="175" t="str">
        <f t="shared" si="31"/>
        <v/>
      </c>
      <c r="D274" s="175" t="str">
        <f t="shared" si="31"/>
        <v/>
      </c>
      <c r="E274" s="175" t="str">
        <f t="shared" si="31"/>
        <v/>
      </c>
      <c r="F274" s="175" t="str">
        <f t="shared" si="31"/>
        <v/>
      </c>
      <c r="G274" s="175" t="str">
        <f t="shared" si="31"/>
        <v/>
      </c>
      <c r="H274" s="175" t="str">
        <f t="shared" si="31"/>
        <v/>
      </c>
      <c r="I274" s="175" t="str">
        <f t="shared" si="31"/>
        <v/>
      </c>
      <c r="J274" s="175" t="str">
        <f t="shared" si="31"/>
        <v/>
      </c>
      <c r="K274" s="175" t="str">
        <f t="shared" si="31"/>
        <v/>
      </c>
      <c r="L274" s="175" t="str">
        <f t="shared" si="31"/>
        <v/>
      </c>
      <c r="M274" s="175" t="str">
        <f t="shared" si="31"/>
        <v/>
      </c>
      <c r="N274" s="175" t="str">
        <f t="shared" si="31"/>
        <v/>
      </c>
      <c r="O274" s="175" t="str">
        <f t="shared" si="31"/>
        <v/>
      </c>
      <c r="P274" s="175" t="str">
        <f t="shared" si="31"/>
        <v/>
      </c>
      <c r="Q274" s="175" t="str">
        <f t="shared" si="31"/>
        <v/>
      </c>
      <c r="R274" s="175" t="str">
        <f t="shared" si="31"/>
        <v/>
      </c>
      <c r="S274" s="175" t="str">
        <f t="shared" si="31"/>
        <v/>
      </c>
      <c r="T274" s="175" t="str">
        <f t="shared" si="31"/>
        <v/>
      </c>
      <c r="U274" s="175" t="str">
        <f t="shared" si="31"/>
        <v/>
      </c>
      <c r="V274" s="175" t="str">
        <f t="shared" si="31"/>
        <v/>
      </c>
      <c r="W274" s="175" t="str">
        <f t="shared" si="31"/>
        <v/>
      </c>
      <c r="X274" s="175" t="str">
        <f t="shared" si="31"/>
        <v/>
      </c>
      <c r="Y274" s="175" t="str">
        <f t="shared" si="31"/>
        <v/>
      </c>
      <c r="Z274" s="175" t="str">
        <f t="shared" si="31"/>
        <v/>
      </c>
      <c r="AA274" s="175" t="str">
        <f t="shared" si="31"/>
        <v/>
      </c>
      <c r="AB274" s="175" t="str">
        <f t="shared" si="31"/>
        <v/>
      </c>
      <c r="AC274" s="175" t="str">
        <f t="shared" si="31"/>
        <v/>
      </c>
      <c r="AD274" s="175" t="str">
        <f t="shared" si="31"/>
        <v/>
      </c>
      <c r="AE274" s="175" t="str">
        <f t="shared" si="31"/>
        <v/>
      </c>
      <c r="AF274" s="175" t="str">
        <f t="shared" si="31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2021" priority="156">
      <formula>$AH11=0</formula>
    </cfRule>
  </conditionalFormatting>
  <conditionalFormatting sqref="B8 M8 S8 AB8">
    <cfRule type="expression" dxfId="2020" priority="409">
      <formula>AND(C$9&gt;=8/24,C$9&lt;14/24)</formula>
    </cfRule>
    <cfRule type="expression" dxfId="2019" priority="410">
      <formula>C$9&lt;8/24</formula>
    </cfRule>
    <cfRule type="expression" dxfId="2018" priority="408">
      <formula>AND(C$9&gt;=14/24,C$9&lt;20/24)</formula>
    </cfRule>
  </conditionalFormatting>
  <conditionalFormatting sqref="B54:C59">
    <cfRule type="expression" dxfId="2017" priority="76">
      <formula>B$9&lt;8/24</formula>
    </cfRule>
    <cfRule type="expression" dxfId="2016" priority="75">
      <formula>AND(B$9&gt;=8/24,B$9&lt;14/24)</formula>
    </cfRule>
    <cfRule type="expression" dxfId="2015" priority="74">
      <formula>AND(B$9&gt;=14/24,B$9&lt;20/24)</formula>
    </cfRule>
    <cfRule type="expression" dxfId="2014" priority="73">
      <formula>B$9&gt;=20/24</formula>
    </cfRule>
  </conditionalFormatting>
  <conditionalFormatting sqref="B9:AF45">
    <cfRule type="expression" dxfId="2013" priority="38">
      <formula>AND(B$9&gt;=14/24,B$9&lt;20/24)</formula>
    </cfRule>
    <cfRule type="expression" dxfId="2012" priority="37">
      <formula>B$9&gt;=20/24</formula>
    </cfRule>
    <cfRule type="expression" dxfId="2011" priority="39">
      <formula>AND(B$9&gt;=8/24,B$9&lt;14/24)</formula>
    </cfRule>
    <cfRule type="expression" dxfId="2010" priority="40">
      <formula>B$9&lt;8/24</formula>
    </cfRule>
  </conditionalFormatting>
  <conditionalFormatting sqref="B11:AF46">
    <cfRule type="expression" dxfId="2009" priority="35">
      <formula>B11&gt;$AG11</formula>
    </cfRule>
  </conditionalFormatting>
  <conditionalFormatting sqref="B46:AF46">
    <cfRule type="expression" dxfId="2008" priority="31">
      <formula>B$9&gt;=20/24</formula>
    </cfRule>
    <cfRule type="expression" dxfId="2007" priority="32">
      <formula>AND(B$9&gt;=14/24,B$9&lt;20/24)</formula>
    </cfRule>
    <cfRule type="expression" dxfId="2006" priority="34">
      <formula>B$9&lt;8/24</formula>
    </cfRule>
    <cfRule type="expression" dxfId="2005" priority="33">
      <formula>AND(B$9&gt;=8/24,B$9&lt;14/24)</formula>
    </cfRule>
  </conditionalFormatting>
  <conditionalFormatting sqref="B47:AF47">
    <cfRule type="expression" dxfId="2004" priority="66">
      <formula>B47&gt;$AG47</formula>
    </cfRule>
  </conditionalFormatting>
  <conditionalFormatting sqref="B47:AF49">
    <cfRule type="expression" dxfId="2003" priority="56">
      <formula>B$9&lt;8/24</formula>
    </cfRule>
    <cfRule type="expression" dxfId="2002" priority="54">
      <formula>AND(B$9&gt;=14/24,B$9&lt;20/24)</formula>
    </cfRule>
    <cfRule type="expression" dxfId="2001" priority="53">
      <formula>B$9&gt;=20/24</formula>
    </cfRule>
    <cfRule type="expression" dxfId="2000" priority="55">
      <formula>AND(B$9&gt;=8/24,B$9&lt;14/24)</formula>
    </cfRule>
  </conditionalFormatting>
  <conditionalFormatting sqref="B48:AF53">
    <cfRule type="expression" dxfId="1999" priority="51">
      <formula>B48&gt;$AG48</formula>
    </cfRule>
  </conditionalFormatting>
  <conditionalFormatting sqref="B51:AF53">
    <cfRule type="expression" dxfId="1998" priority="104">
      <formula>B$9&gt;=20/24</formula>
    </cfRule>
    <cfRule type="expression" dxfId="1997" priority="105">
      <formula>AND(B$9&gt;=14/24,B$9&lt;20/24)</formula>
    </cfRule>
    <cfRule type="expression" dxfId="1996" priority="106">
      <formula>AND(B$9&gt;=8/24,B$9&lt;14/24)</formula>
    </cfRule>
    <cfRule type="expression" dxfId="1995" priority="107">
      <formula>B$9&lt;8/24</formula>
    </cfRule>
  </conditionalFormatting>
  <conditionalFormatting sqref="B55:AF66">
    <cfRule type="expression" dxfId="1994" priority="67">
      <formula>B55&gt;$AG55</formula>
    </cfRule>
  </conditionalFormatting>
  <conditionalFormatting sqref="B69:AF71">
    <cfRule type="expression" dxfId="1993" priority="121">
      <formula>B69&gt;$AG69</formula>
    </cfRule>
    <cfRule type="expression" dxfId="1992" priority="122">
      <formula>B$9&gt;=20/24</formula>
    </cfRule>
    <cfRule type="expression" dxfId="1991" priority="123">
      <formula>AND(B$9&gt;=14/24,B$9&lt;20/24)</formula>
    </cfRule>
    <cfRule type="expression" dxfId="1990" priority="124">
      <formula>AND(B$9&gt;=8/24,B$9&lt;14/24)</formula>
    </cfRule>
    <cfRule type="expression" dxfId="1989" priority="125">
      <formula>B$9&lt;8/24</formula>
    </cfRule>
  </conditionalFormatting>
  <conditionalFormatting sqref="B73:AF91">
    <cfRule type="expression" dxfId="1988" priority="2">
      <formula>AND(B$9&gt;=14/24,B$9&lt;20/24)</formula>
    </cfRule>
    <cfRule type="expression" dxfId="1987" priority="3">
      <formula>AND(B$9&gt;=8/24,B$9&lt;14/24)</formula>
    </cfRule>
    <cfRule type="expression" dxfId="1986" priority="4">
      <formula>B$9&lt;8/24</formula>
    </cfRule>
    <cfRule type="expression" dxfId="1985" priority="1">
      <formula>B$9&gt;=20/24</formula>
    </cfRule>
  </conditionalFormatting>
  <conditionalFormatting sqref="B111:AF120">
    <cfRule type="expression" dxfId="1984" priority="27">
      <formula>B$9&gt;=20/24</formula>
    </cfRule>
    <cfRule type="expression" dxfId="1983" priority="28">
      <formula>AND(B$9&gt;=14/24,B$9&lt;20/24)</formula>
    </cfRule>
    <cfRule type="expression" dxfId="1982" priority="30">
      <formula>B$9&lt;8/24</formula>
    </cfRule>
    <cfRule type="expression" dxfId="1981" priority="29">
      <formula>AND(B$9&gt;=8/24,B$9&lt;14/24)</formula>
    </cfRule>
  </conditionalFormatting>
  <conditionalFormatting sqref="B227:AF227 D229:AF230 B229:B235 D231:H231 J231:AF231 D232:AF235 U248:AF248">
    <cfRule type="expression" dxfId="1980" priority="401">
      <formula>B$9&gt;=20/24</formula>
    </cfRule>
    <cfRule type="expression" dxfId="1979" priority="404">
      <formula>B$9&lt;8/24</formula>
    </cfRule>
    <cfRule type="expression" dxfId="1978" priority="403">
      <formula>AND(B$9&gt;=8/24,B$9&lt;14/24)</formula>
    </cfRule>
    <cfRule type="expression" dxfId="1977" priority="402">
      <formula>AND(B$9&gt;=14/24,B$9&lt;20/24)</formula>
    </cfRule>
  </conditionalFormatting>
  <conditionalFormatting sqref="B54:AG54">
    <cfRule type="expression" dxfId="1976" priority="72">
      <formula>B54&gt;$AG54</formula>
    </cfRule>
  </conditionalFormatting>
  <conditionalFormatting sqref="B67:AG68 B72:AG72">
    <cfRule type="expression" dxfId="1975" priority="81">
      <formula>B67&gt;$AG67</formula>
    </cfRule>
  </conditionalFormatting>
  <conditionalFormatting sqref="B72:AG72 B93:AF109">
    <cfRule type="expression" dxfId="1974" priority="82">
      <formula>B$9&gt;=20/24</formula>
    </cfRule>
    <cfRule type="expression" dxfId="1973" priority="83">
      <formula>AND(B$9&gt;=14/24,B$9&lt;20/24)</formula>
    </cfRule>
    <cfRule type="expression" dxfId="1972" priority="84">
      <formula>AND(B$9&gt;=8/24,B$9&lt;14/24)</formula>
    </cfRule>
    <cfRule type="expression" dxfId="1971" priority="85">
      <formula>B$9&lt;8/24</formula>
    </cfRule>
  </conditionalFormatting>
  <conditionalFormatting sqref="D58:E59 F59">
    <cfRule type="expression" dxfId="1970" priority="131">
      <formula>D$9&gt;=20/24</formula>
    </cfRule>
    <cfRule type="expression" dxfId="1969" priority="133">
      <formula>AND(D$9&gt;=8/24,D$9&lt;14/24)</formula>
    </cfRule>
    <cfRule type="expression" dxfId="1968" priority="134">
      <formula>D$9&lt;8/24</formula>
    </cfRule>
    <cfRule type="expression" dxfId="1967" priority="132">
      <formula>AND(D$9&gt;=14/24,D$9&lt;20/24)</formula>
    </cfRule>
  </conditionalFormatting>
  <conditionalFormatting sqref="D55:L57">
    <cfRule type="expression" dxfId="1966" priority="212">
      <formula>D$9&gt;=20/24</formula>
    </cfRule>
    <cfRule type="expression" dxfId="1965" priority="213">
      <formula>AND(D$9&gt;=14/24,D$9&lt;20/24)</formula>
    </cfRule>
    <cfRule type="expression" dxfId="1964" priority="214">
      <formula>AND(D$9&gt;=8/24,D$9&lt;14/24)</formula>
    </cfRule>
    <cfRule type="expression" dxfId="1963" priority="215">
      <formula>D$9&lt;8/24</formula>
    </cfRule>
  </conditionalFormatting>
  <conditionalFormatting sqref="D54:AG54">
    <cfRule type="expression" dxfId="1962" priority="255">
      <formula>AND(D$9&gt;=8/24,D$9&lt;14/24)</formula>
    </cfRule>
    <cfRule type="expression" dxfId="1961" priority="253">
      <formula>D$9&gt;=20/24</formula>
    </cfRule>
    <cfRule type="expression" dxfId="1960" priority="254">
      <formula>AND(D$9&gt;=14/24,D$9&lt;20/24)</formula>
    </cfRule>
    <cfRule type="expression" dxfId="1959" priority="256">
      <formula>D$9&lt;8/24</formula>
    </cfRule>
  </conditionalFormatting>
  <conditionalFormatting sqref="M55:AF66 B60:L66">
    <cfRule type="expression" dxfId="1958" priority="70">
      <formula>AND(B$9&gt;=8/24,B$9&lt;14/24)</formula>
    </cfRule>
    <cfRule type="expression" dxfId="1957" priority="71">
      <formula>B$9&lt;8/24</formula>
    </cfRule>
    <cfRule type="expression" dxfId="1956" priority="68">
      <formula>B$9&gt;=20/24</formula>
    </cfRule>
    <cfRule type="expression" dxfId="1955" priority="69">
      <formula>AND(B$9&gt;=14/24,B$9&lt;20/24)</formula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954" priority="407">
      <formula>C$9&gt;=20/24</formula>
    </cfRule>
  </conditionalFormatting>
  <conditionalFormatting sqref="S8">
    <cfRule type="expression" dxfId="1953" priority="383">
      <formula>U$9&lt;8/24</formula>
    </cfRule>
    <cfRule type="expression" dxfId="1952" priority="382">
      <formula>AND(U$9&gt;=8/24,U$9&lt;14/24)</formula>
    </cfRule>
    <cfRule type="expression" dxfId="1951" priority="381">
      <formula>AND(U$9&gt;=14/24,U$9&lt;20/24)</formula>
    </cfRule>
    <cfRule type="expression" dxfId="1950" priority="380">
      <formula>U$9&gt;=20/24</formula>
    </cfRule>
  </conditionalFormatting>
  <conditionalFormatting sqref="T248">
    <cfRule type="expression" dxfId="1949" priority="422">
      <formula>AND(AX$9&gt;=8/24,AX$9&lt;14/24)</formula>
    </cfRule>
    <cfRule type="expression" dxfId="1948" priority="420">
      <formula>AX$9&gt;=20/24</formula>
    </cfRule>
    <cfRule type="expression" dxfId="1947" priority="421">
      <formula>AND(AX$9&gt;=14/24,AX$9&lt;20/24)</formula>
    </cfRule>
    <cfRule type="expression" dxfId="1946" priority="423">
      <formula>AX$9&lt;8/24</formula>
    </cfRule>
  </conditionalFormatting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945" priority="378">
      <formula>AND(AD$9&gt;=8/24,AD$9&lt;14/24)</formula>
    </cfRule>
    <cfRule type="expression" dxfId="1944" priority="376">
      <formula>AD$9&gt;=20/24</formula>
    </cfRule>
    <cfRule type="expression" dxfId="1943" priority="377">
      <formula>AND(AD$9&gt;=14/24,AD$9&lt;20/24)</formula>
    </cfRule>
    <cfRule type="expression" dxfId="1942" priority="379">
      <formula>AD$9&lt;8/24</formula>
    </cfRule>
  </conditionalFormatting>
  <conditionalFormatting sqref="AG50">
    <cfRule type="expression" dxfId="1941" priority="333">
      <formula>AG50&gt;$AG50</formula>
    </cfRule>
  </conditionalFormatting>
  <conditionalFormatting sqref="AG89">
    <cfRule type="expression" dxfId="1940" priority="337">
      <formula>AG$9&lt;8/24</formula>
    </cfRule>
    <cfRule type="expression" dxfId="1939" priority="336">
      <formula>AND(AG$9&gt;=8/24,AG$9&lt;14/24)</formula>
    </cfRule>
    <cfRule type="expression" dxfId="1938" priority="335">
      <formula>AND(AG$9&gt;=14/24,AG$9&lt;20/24)</formula>
    </cfRule>
    <cfRule type="expression" dxfId="1937" priority="334">
      <formula>AG$9&gt;=20/24</formula>
    </cfRule>
  </conditionalFormatting>
  <conditionalFormatting sqref="AG248">
    <cfRule type="expression" dxfId="1936" priority="413">
      <formula>AND(B$9&gt;=14/24,B$9&lt;20/24)</formula>
    </cfRule>
    <cfRule type="expression" dxfId="1935" priority="415">
      <formula>B$9&lt;8/24</formula>
    </cfRule>
    <cfRule type="expression" dxfId="1934" priority="412">
      <formula>B$9&gt;=20/24</formula>
    </cfRule>
    <cfRule type="expression" dxfId="1933" priority="414">
      <formula>AND(B$9&gt;=8/24,B$9&lt;14/24)</formula>
    </cfRule>
  </conditionalFormatting>
  <conditionalFormatting sqref="AH248:AX248">
    <cfRule type="expression" dxfId="1932" priority="416">
      <formula>AG$9&gt;=20/24</formula>
    </cfRule>
    <cfRule type="expression" dxfId="1931" priority="418">
      <formula>AND(AG$9&gt;=8/24,AG$9&lt;14/24)</formula>
    </cfRule>
    <cfRule type="expression" dxfId="1930" priority="419">
      <formula>AG$9&lt;8/24</formula>
    </cfRule>
    <cfRule type="expression" dxfId="1929" priority="417">
      <formula>AND(AG$9&gt;=14/24,AG$9&lt;20/24)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928" priority="425">
      <formula>AJ$9&gt;=20/24</formula>
    </cfRule>
    <cfRule type="expression" dxfId="1927" priority="426">
      <formula>AND(AJ$9&gt;=14/24,AJ$9&lt;20/24)</formula>
    </cfRule>
    <cfRule type="expression" dxfId="1926" priority="427">
      <formula>AND(AJ$9&gt;=8/24,AJ$9&lt;14/24)</formula>
    </cfRule>
    <cfRule type="expression" dxfId="1925" priority="428">
      <formula>AJ$9&lt;8/24</formula>
    </cfRule>
  </conditionalFormatting>
  <conditionalFormatting sqref="AL80:AN80 AL86:AN86">
    <cfRule type="expression" dxfId="1924" priority="226">
      <formula>AND(AL$9&gt;=14/24,AL$9&lt;20/24)</formula>
    </cfRule>
    <cfRule type="expression" dxfId="1923" priority="225">
      <formula>AL$9&gt;=20/24</formula>
    </cfRule>
    <cfRule type="expression" dxfId="1922" priority="228">
      <formula>AL$9&lt;8/24</formula>
    </cfRule>
    <cfRule type="expression" dxfId="1921" priority="227">
      <formula>AND(AL$9&gt;=8/24,AL$9&lt;14/24)</formula>
    </cfRule>
  </conditionalFormatting>
  <conditionalFormatting sqref="AN81:AN84">
    <cfRule type="expression" dxfId="1920" priority="224">
      <formula>AN$9&lt;8/24</formula>
    </cfRule>
    <cfRule type="expression" dxfId="1919" priority="223">
      <formula>AND(AN$9&gt;=8/24,AN$9&lt;14/24)</formula>
    </cfRule>
    <cfRule type="expression" dxfId="1918" priority="222">
      <formula>AND(AN$9&gt;=14/24,AN$9&lt;20/24)</formula>
    </cfRule>
    <cfRule type="expression" dxfId="1917" priority="221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7F10-9671-440C-807F-B307BEE1ECFD}">
  <dimension ref="A1:CJ281"/>
  <sheetViews>
    <sheetView zoomScaleNormal="100" workbookViewId="0">
      <pane xSplit="1" ySplit="10" topLeftCell="B64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L78" sqref="L7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8" width="6.42578125" style="1" bestFit="1" customWidth="1"/>
    <col min="9" max="9" width="7.7109375" style="1" customWidth="1"/>
    <col min="10" max="10" width="7" style="1" customWidth="1"/>
    <col min="11" max="11" width="6.5703125" style="1" customWidth="1"/>
    <col min="12" max="12" width="7.5703125" style="1" customWidth="1"/>
    <col min="13" max="13" width="7.140625" style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2080/03/9</v>
      </c>
      <c r="C4" s="187"/>
      <c r="D4" s="187"/>
      <c r="E4" s="188" t="str">
        <f ca="1">"2079/"&amp;"12/"&amp;INT(MID(CELL("filename",G6),FIND("]",CELL("filename",G6))+1,200))</f>
        <v>2079/12/9</v>
      </c>
      <c r="F4" s="188"/>
      <c r="G4" s="188"/>
      <c r="H4" s="188" t="str">
        <f ca="1">TEXT(E4,"dddd")</f>
        <v>Saturday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112</v>
      </c>
      <c r="C5" s="30">
        <f t="shared" si="0"/>
        <v>117</v>
      </c>
      <c r="D5" s="30">
        <f t="shared" si="0"/>
        <v>107</v>
      </c>
      <c r="E5" s="30">
        <f t="shared" si="0"/>
        <v>105</v>
      </c>
      <c r="F5" s="30">
        <f t="shared" si="0"/>
        <v>105</v>
      </c>
      <c r="G5" s="30">
        <f t="shared" si="0"/>
        <v>105</v>
      </c>
      <c r="H5" s="30">
        <f t="shared" si="0"/>
        <v>93.4</v>
      </c>
      <c r="I5" s="30">
        <f t="shared" si="0"/>
        <v>94</v>
      </c>
      <c r="J5" s="30">
        <f t="shared" si="0"/>
        <v>92.3</v>
      </c>
      <c r="K5" s="30">
        <f t="shared" si="0"/>
        <v>77</v>
      </c>
      <c r="L5" s="30">
        <f t="shared" si="0"/>
        <v>52.6</v>
      </c>
      <c r="M5" s="30">
        <f t="shared" si="0"/>
        <v>12.4</v>
      </c>
      <c r="N5" s="30">
        <f t="shared" si="0"/>
        <v>13.4</v>
      </c>
      <c r="O5" s="30">
        <f t="shared" si="0"/>
        <v>12.7</v>
      </c>
      <c r="P5" s="30">
        <f t="shared" si="0"/>
        <v>6.3</v>
      </c>
      <c r="Q5" s="30">
        <f t="shared" si="0"/>
        <v>18.5</v>
      </c>
      <c r="R5" s="30">
        <f t="shared" si="0"/>
        <v>22.3</v>
      </c>
      <c r="S5" s="30">
        <f t="shared" si="0"/>
        <v>13</v>
      </c>
      <c r="T5" s="30">
        <f t="shared" si="0"/>
        <v>1.7</v>
      </c>
      <c r="U5" s="30">
        <f t="shared" si="0"/>
        <v>32</v>
      </c>
      <c r="V5" s="30">
        <f t="shared" si="0"/>
        <v>23.3</v>
      </c>
      <c r="W5" s="30">
        <f t="shared" si="0"/>
        <v>28.2</v>
      </c>
      <c r="X5" s="30">
        <f t="shared" si="0"/>
        <v>27</v>
      </c>
      <c r="Y5" s="30">
        <f t="shared" si="0"/>
        <v>33.200000000000003</v>
      </c>
      <c r="Z5" s="30">
        <f t="shared" si="0"/>
        <v>53</v>
      </c>
      <c r="AA5" s="30">
        <f t="shared" si="0"/>
        <v>65</v>
      </c>
      <c r="AB5" s="30">
        <f t="shared" si="0"/>
        <v>73.900000000000006</v>
      </c>
      <c r="AC5" s="30">
        <f t="shared" si="0"/>
        <v>67.400000000000006</v>
      </c>
      <c r="AD5" s="30">
        <f t="shared" si="0"/>
        <v>59.9</v>
      </c>
      <c r="AE5" s="30">
        <f t="shared" si="0"/>
        <v>55.7</v>
      </c>
      <c r="AF5" s="30">
        <f>B84</f>
        <v>99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1840MW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Load=1713</v>
      </c>
      <c r="B7" s="35">
        <f t="shared" ref="B7:AF7" si="1">B91</f>
        <v>1968.34</v>
      </c>
      <c r="C7" s="35">
        <f t="shared" si="1"/>
        <v>1954.34</v>
      </c>
      <c r="D7" s="35">
        <f t="shared" si="1"/>
        <v>1881.54</v>
      </c>
      <c r="E7" s="35">
        <f t="shared" si="1"/>
        <v>1865.54</v>
      </c>
      <c r="F7" s="35">
        <f t="shared" si="1"/>
        <v>1834.74</v>
      </c>
      <c r="G7" s="35">
        <f t="shared" si="1"/>
        <v>1834.74</v>
      </c>
      <c r="H7" s="35">
        <f t="shared" si="1"/>
        <v>1834.74</v>
      </c>
      <c r="I7" s="35">
        <f t="shared" si="1"/>
        <v>1823.14</v>
      </c>
      <c r="J7" s="35">
        <f t="shared" si="1"/>
        <v>1833.74</v>
      </c>
      <c r="K7" s="35">
        <f t="shared" si="1"/>
        <v>1837.04</v>
      </c>
      <c r="L7" s="35">
        <f t="shared" si="1"/>
        <v>1821.74</v>
      </c>
      <c r="M7" s="35">
        <f t="shared" si="1"/>
        <v>1840.3399999999997</v>
      </c>
      <c r="N7" s="35">
        <f>N91</f>
        <v>1792.3400000000001</v>
      </c>
      <c r="O7" s="35">
        <f t="shared" si="1"/>
        <v>1752.2400000000002</v>
      </c>
      <c r="P7" s="35">
        <f t="shared" si="1"/>
        <v>1756.9400000000003</v>
      </c>
      <c r="Q7" s="35">
        <f t="shared" si="1"/>
        <v>1713.44</v>
      </c>
      <c r="R7" s="35">
        <f t="shared" si="1"/>
        <v>1734.1399999999999</v>
      </c>
      <c r="S7" s="35">
        <f t="shared" si="1"/>
        <v>1765.2399999999998</v>
      </c>
      <c r="T7" s="35">
        <f t="shared" si="1"/>
        <v>1768.54</v>
      </c>
      <c r="U7" s="35">
        <f t="shared" si="1"/>
        <v>1756.04</v>
      </c>
      <c r="V7" s="35">
        <f t="shared" si="1"/>
        <v>1738.34</v>
      </c>
      <c r="W7" s="35">
        <f t="shared" si="1"/>
        <v>1725.9399999999998</v>
      </c>
      <c r="X7" s="35">
        <f t="shared" si="1"/>
        <v>1763.24</v>
      </c>
      <c r="Y7" s="35">
        <f t="shared" si="1"/>
        <v>1777.04</v>
      </c>
      <c r="Z7" s="35">
        <f t="shared" si="1"/>
        <v>1819.5399999999997</v>
      </c>
      <c r="AA7" s="35">
        <f t="shared" si="1"/>
        <v>1878.6399999999999</v>
      </c>
      <c r="AB7" s="35">
        <f t="shared" si="1"/>
        <v>1973.1399999999999</v>
      </c>
      <c r="AC7" s="35">
        <f t="shared" si="1"/>
        <v>2003.04</v>
      </c>
      <c r="AD7" s="35">
        <f t="shared" si="1"/>
        <v>1954.24</v>
      </c>
      <c r="AE7" s="35">
        <f t="shared" si="1"/>
        <v>1960.54</v>
      </c>
      <c r="AF7" s="35">
        <f t="shared" si="1"/>
        <v>1881.34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60.3</v>
      </c>
      <c r="C11" s="45">
        <v>60.3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60.6</v>
      </c>
      <c r="N11" s="45">
        <v>60.6</v>
      </c>
      <c r="O11" s="45">
        <v>60.6</v>
      </c>
      <c r="P11" s="45">
        <v>60.6</v>
      </c>
      <c r="Q11" s="45">
        <v>60.6</v>
      </c>
      <c r="R11" s="45">
        <v>60.6</v>
      </c>
      <c r="S11" s="45">
        <v>60.6</v>
      </c>
      <c r="T11" s="45">
        <v>60.6</v>
      </c>
      <c r="U11" s="45">
        <v>60.6</v>
      </c>
      <c r="V11" s="45">
        <v>60.6</v>
      </c>
      <c r="W11" s="45">
        <v>60.6</v>
      </c>
      <c r="X11" s="45">
        <v>60.6</v>
      </c>
      <c r="Y11" s="45">
        <v>60.6</v>
      </c>
      <c r="Z11" s="45">
        <v>60.6</v>
      </c>
      <c r="AA11" s="45">
        <v>29.5</v>
      </c>
      <c r="AB11" s="45">
        <v>60.6</v>
      </c>
      <c r="AC11" s="45">
        <v>60.6</v>
      </c>
      <c r="AD11" s="45">
        <v>60.6</v>
      </c>
      <c r="AE11" s="45">
        <v>60.5</v>
      </c>
      <c r="AF11" s="45">
        <v>60.5</v>
      </c>
      <c r="AG11" s="46">
        <v>86</v>
      </c>
      <c r="AH11" s="47">
        <f t="shared" ref="AH11:AH76" si="2">MAX(B11:AF11)</f>
        <v>60.6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9">
        <v>54</v>
      </c>
      <c r="AH12" s="47">
        <f t="shared" si="2"/>
        <v>0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54.5</v>
      </c>
      <c r="C13" s="45">
        <v>54.5</v>
      </c>
      <c r="D13" s="45">
        <v>54.5</v>
      </c>
      <c r="E13" s="45">
        <v>54.5</v>
      </c>
      <c r="F13" s="45">
        <v>54.5</v>
      </c>
      <c r="G13" s="45">
        <v>54.5</v>
      </c>
      <c r="H13" s="45">
        <v>54.5</v>
      </c>
      <c r="I13" s="45">
        <v>54.5</v>
      </c>
      <c r="J13" s="45">
        <v>54.5</v>
      </c>
      <c r="K13" s="45">
        <v>54.5</v>
      </c>
      <c r="L13" s="45">
        <v>54.5</v>
      </c>
      <c r="M13" s="45">
        <v>54.5</v>
      </c>
      <c r="N13" s="45">
        <v>54.5</v>
      </c>
      <c r="O13" s="45">
        <v>54</v>
      </c>
      <c r="P13" s="45">
        <v>54</v>
      </c>
      <c r="Q13" s="45">
        <v>54</v>
      </c>
      <c r="R13" s="45">
        <v>53.9</v>
      </c>
      <c r="S13" s="45">
        <v>53.9</v>
      </c>
      <c r="T13" s="45">
        <v>53.9</v>
      </c>
      <c r="U13" s="45">
        <v>53.9</v>
      </c>
      <c r="V13" s="45">
        <v>53.9</v>
      </c>
      <c r="W13" s="45">
        <v>53.9</v>
      </c>
      <c r="X13" s="45">
        <v>53.9</v>
      </c>
      <c r="Y13" s="45">
        <v>53.9</v>
      </c>
      <c r="Z13" s="45">
        <v>53.9</v>
      </c>
      <c r="AA13" s="45">
        <v>53.9</v>
      </c>
      <c r="AB13" s="45">
        <v>53.9</v>
      </c>
      <c r="AC13" s="45">
        <v>53.9</v>
      </c>
      <c r="AD13" s="45">
        <v>53.9</v>
      </c>
      <c r="AE13" s="45">
        <v>53.9</v>
      </c>
      <c r="AF13" s="45">
        <v>53.9</v>
      </c>
      <c r="AG13" s="46">
        <v>52.4</v>
      </c>
      <c r="AH13" s="47">
        <f t="shared" si="2"/>
        <v>54.5</v>
      </c>
      <c r="AI13" s="48">
        <f t="shared" si="3"/>
        <v>53.9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</v>
      </c>
      <c r="C14" s="50">
        <v>50</v>
      </c>
      <c r="D14" s="50">
        <v>50</v>
      </c>
      <c r="E14" s="50">
        <v>50</v>
      </c>
      <c r="F14" s="50">
        <v>50</v>
      </c>
      <c r="G14" s="50">
        <v>50</v>
      </c>
      <c r="H14" s="50">
        <v>50</v>
      </c>
      <c r="I14" s="50">
        <v>50</v>
      </c>
      <c r="J14" s="50">
        <v>50</v>
      </c>
      <c r="K14" s="50">
        <v>50</v>
      </c>
      <c r="L14" s="50">
        <v>50</v>
      </c>
      <c r="M14" s="50">
        <v>50</v>
      </c>
      <c r="N14" s="50">
        <v>50</v>
      </c>
      <c r="O14" s="50">
        <v>50</v>
      </c>
      <c r="P14" s="50">
        <v>50</v>
      </c>
      <c r="Q14" s="50">
        <v>50</v>
      </c>
      <c r="R14" s="50">
        <v>50.2</v>
      </c>
      <c r="S14" s="50">
        <v>50.2</v>
      </c>
      <c r="T14" s="50">
        <v>50.2</v>
      </c>
      <c r="U14" s="50">
        <v>50.2</v>
      </c>
      <c r="V14" s="50">
        <v>50.2</v>
      </c>
      <c r="W14" s="50">
        <v>50.2</v>
      </c>
      <c r="X14" s="50">
        <v>50.2</v>
      </c>
      <c r="Y14" s="50">
        <v>50.2</v>
      </c>
      <c r="Z14" s="50">
        <v>50.2</v>
      </c>
      <c r="AA14" s="45">
        <v>50.2</v>
      </c>
      <c r="AB14" s="45">
        <v>50.2</v>
      </c>
      <c r="AC14" s="45">
        <v>50.2</v>
      </c>
      <c r="AD14" s="45">
        <v>50.2</v>
      </c>
      <c r="AE14" s="45">
        <v>50.2</v>
      </c>
      <c r="AF14" s="45">
        <v>50.4</v>
      </c>
      <c r="AG14" s="49">
        <v>50</v>
      </c>
      <c r="AH14" s="47">
        <f t="shared" si="2"/>
        <v>50.4</v>
      </c>
      <c r="AI14" s="48">
        <f t="shared" si="3"/>
        <v>50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</v>
      </c>
      <c r="C15" s="45">
        <v>45</v>
      </c>
      <c r="D15" s="45">
        <v>45</v>
      </c>
      <c r="E15" s="45">
        <v>45</v>
      </c>
      <c r="F15" s="45">
        <v>45</v>
      </c>
      <c r="G15" s="45">
        <v>45</v>
      </c>
      <c r="H15" s="45">
        <v>45</v>
      </c>
      <c r="I15" s="45">
        <v>45</v>
      </c>
      <c r="J15" s="45">
        <v>45</v>
      </c>
      <c r="K15" s="45">
        <v>45</v>
      </c>
      <c r="L15" s="45">
        <v>45</v>
      </c>
      <c r="M15" s="45">
        <v>36.799999999999997</v>
      </c>
      <c r="N15" s="45">
        <v>36</v>
      </c>
      <c r="O15" s="45">
        <v>36.799999999999997</v>
      </c>
      <c r="P15" s="45">
        <v>36.799999999999997</v>
      </c>
      <c r="Q15" s="45">
        <v>36.799999999999997</v>
      </c>
      <c r="R15" s="45">
        <v>37.200000000000003</v>
      </c>
      <c r="S15" s="45">
        <v>37.200000000000003</v>
      </c>
      <c r="T15" s="45">
        <v>37.200000000000003</v>
      </c>
      <c r="U15" s="45">
        <v>37.200000000000003</v>
      </c>
      <c r="V15" s="45">
        <v>37.200000000000003</v>
      </c>
      <c r="W15" s="45">
        <v>37.200000000000003</v>
      </c>
      <c r="X15" s="45">
        <v>45.8</v>
      </c>
      <c r="Y15" s="45">
        <v>45.8</v>
      </c>
      <c r="Z15" s="45">
        <v>45.8</v>
      </c>
      <c r="AA15" s="45">
        <v>45.8</v>
      </c>
      <c r="AB15" s="45">
        <v>45.8</v>
      </c>
      <c r="AC15" s="45">
        <v>45.8</v>
      </c>
      <c r="AD15" s="45">
        <v>45.8</v>
      </c>
      <c r="AE15" s="45">
        <v>45.8</v>
      </c>
      <c r="AF15" s="45">
        <v>45.8</v>
      </c>
      <c r="AG15" s="49">
        <v>45</v>
      </c>
      <c r="AH15" s="47">
        <f t="shared" si="2"/>
        <v>45.8</v>
      </c>
      <c r="AI15" s="48">
        <f t="shared" si="3"/>
        <v>36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42</v>
      </c>
      <c r="C16" s="45">
        <v>42</v>
      </c>
      <c r="D16" s="45">
        <v>42</v>
      </c>
      <c r="E16" s="45">
        <v>42</v>
      </c>
      <c r="F16" s="45">
        <v>42</v>
      </c>
      <c r="G16" s="45">
        <v>42</v>
      </c>
      <c r="H16" s="45">
        <v>42</v>
      </c>
      <c r="I16" s="45">
        <v>42</v>
      </c>
      <c r="J16" s="45">
        <v>42</v>
      </c>
      <c r="K16" s="45">
        <v>42</v>
      </c>
      <c r="L16" s="45">
        <v>42</v>
      </c>
      <c r="M16" s="45">
        <v>42</v>
      </c>
      <c r="N16" s="45">
        <v>42</v>
      </c>
      <c r="O16" s="45">
        <v>42</v>
      </c>
      <c r="P16" s="45">
        <v>42</v>
      </c>
      <c r="Q16" s="45">
        <v>42</v>
      </c>
      <c r="R16" s="45">
        <v>42</v>
      </c>
      <c r="S16" s="45">
        <v>42</v>
      </c>
      <c r="T16" s="45">
        <v>42</v>
      </c>
      <c r="U16" s="45">
        <v>42</v>
      </c>
      <c r="V16" s="45">
        <v>42</v>
      </c>
      <c r="W16" s="45">
        <v>42</v>
      </c>
      <c r="X16" s="45">
        <v>42</v>
      </c>
      <c r="Y16" s="45">
        <v>42</v>
      </c>
      <c r="Z16" s="45">
        <v>42</v>
      </c>
      <c r="AA16" s="45">
        <v>42</v>
      </c>
      <c r="AB16" s="45">
        <v>42</v>
      </c>
      <c r="AC16" s="45">
        <v>42</v>
      </c>
      <c r="AD16" s="45">
        <v>42</v>
      </c>
      <c r="AE16" s="45">
        <v>40</v>
      </c>
      <c r="AF16" s="45">
        <v>44</v>
      </c>
      <c r="AG16" s="49">
        <v>44</v>
      </c>
      <c r="AH16" s="47">
        <f>MAX(B16:AG16)</f>
        <v>44</v>
      </c>
      <c r="AI16" s="48">
        <f>MIN(B16:AG16)</f>
        <v>40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36</v>
      </c>
      <c r="C17" s="45">
        <v>36</v>
      </c>
      <c r="D17" s="45">
        <v>36</v>
      </c>
      <c r="E17" s="45">
        <v>30</v>
      </c>
      <c r="F17" s="45">
        <v>30</v>
      </c>
      <c r="G17" s="45">
        <v>30</v>
      </c>
      <c r="H17" s="45">
        <v>30</v>
      </c>
      <c r="I17" s="45">
        <v>30</v>
      </c>
      <c r="J17" s="45">
        <v>30</v>
      </c>
      <c r="K17" s="45">
        <v>35</v>
      </c>
      <c r="L17" s="45">
        <v>35</v>
      </c>
      <c r="M17" s="45">
        <v>35</v>
      </c>
      <c r="N17" s="45">
        <v>35</v>
      </c>
      <c r="O17" s="45">
        <v>36</v>
      </c>
      <c r="P17" s="45">
        <v>36</v>
      </c>
      <c r="Q17" s="45">
        <v>36</v>
      </c>
      <c r="R17" s="45">
        <v>33</v>
      </c>
      <c r="S17" s="45">
        <v>33</v>
      </c>
      <c r="T17" s="45">
        <v>34</v>
      </c>
      <c r="U17" s="45">
        <v>31</v>
      </c>
      <c r="V17" s="45">
        <v>29</v>
      </c>
      <c r="W17" s="45">
        <v>29</v>
      </c>
      <c r="X17" s="45">
        <v>29</v>
      </c>
      <c r="Y17" s="45">
        <v>31</v>
      </c>
      <c r="Z17" s="45">
        <v>38</v>
      </c>
      <c r="AA17" s="45">
        <v>42</v>
      </c>
      <c r="AB17" s="45">
        <v>35</v>
      </c>
      <c r="AC17" s="45">
        <v>35</v>
      </c>
      <c r="AD17" s="45">
        <v>35</v>
      </c>
      <c r="AE17" s="45">
        <v>35</v>
      </c>
      <c r="AF17" s="45">
        <v>28.5</v>
      </c>
      <c r="AG17" s="49">
        <v>42</v>
      </c>
      <c r="AH17" s="47">
        <f t="shared" si="2"/>
        <v>42</v>
      </c>
      <c r="AI17" s="48">
        <f t="shared" si="3"/>
        <v>28.5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32</v>
      </c>
      <c r="C19" s="45">
        <v>32</v>
      </c>
      <c r="D19" s="45">
        <v>32</v>
      </c>
      <c r="E19" s="45">
        <v>32</v>
      </c>
      <c r="F19" s="45">
        <v>32</v>
      </c>
      <c r="G19" s="45">
        <v>32</v>
      </c>
      <c r="H19" s="45">
        <v>32</v>
      </c>
      <c r="I19" s="45">
        <v>32</v>
      </c>
      <c r="J19" s="45">
        <v>32</v>
      </c>
      <c r="K19" s="45">
        <v>32</v>
      </c>
      <c r="L19" s="45">
        <v>32</v>
      </c>
      <c r="M19" s="45">
        <v>32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49">
        <v>36</v>
      </c>
      <c r="AH19" s="47">
        <f t="shared" si="2"/>
        <v>32</v>
      </c>
      <c r="AI19" s="48">
        <f t="shared" si="3"/>
        <v>25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25</v>
      </c>
      <c r="C20" s="45">
        <v>25</v>
      </c>
      <c r="D20" s="45">
        <v>25</v>
      </c>
      <c r="E20" s="45">
        <v>25</v>
      </c>
      <c r="F20" s="45">
        <v>25</v>
      </c>
      <c r="G20" s="45">
        <v>25</v>
      </c>
      <c r="H20" s="45">
        <v>25</v>
      </c>
      <c r="I20" s="45">
        <v>25</v>
      </c>
      <c r="J20" s="45">
        <v>25</v>
      </c>
      <c r="K20" s="45">
        <v>25</v>
      </c>
      <c r="L20" s="45">
        <v>25</v>
      </c>
      <c r="M20" s="45">
        <v>15</v>
      </c>
      <c r="N20" s="45">
        <v>10</v>
      </c>
      <c r="O20" s="45">
        <v>10</v>
      </c>
      <c r="P20" s="45">
        <v>10</v>
      </c>
      <c r="Q20" s="45">
        <v>10</v>
      </c>
      <c r="R20" s="45">
        <v>6</v>
      </c>
      <c r="S20" s="45">
        <v>6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4</v>
      </c>
      <c r="Z20" s="45">
        <v>15</v>
      </c>
      <c r="AA20" s="45">
        <v>30</v>
      </c>
      <c r="AB20" s="45">
        <v>30</v>
      </c>
      <c r="AC20" s="45">
        <v>29.3</v>
      </c>
      <c r="AD20" s="45">
        <v>29.3</v>
      </c>
      <c r="AE20" s="45">
        <v>29.3</v>
      </c>
      <c r="AF20" s="45">
        <v>15</v>
      </c>
      <c r="AG20" s="51">
        <v>30</v>
      </c>
      <c r="AH20" s="47">
        <f t="shared" si="2"/>
        <v>30</v>
      </c>
      <c r="AI20" s="48">
        <f t="shared" si="3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25.2</v>
      </c>
      <c r="C21" s="45">
        <v>25.2</v>
      </c>
      <c r="D21" s="45">
        <v>25.2</v>
      </c>
      <c r="E21" s="45">
        <v>25.2</v>
      </c>
      <c r="F21" s="45">
        <v>25.2</v>
      </c>
      <c r="G21" s="45">
        <v>25.2</v>
      </c>
      <c r="H21" s="45">
        <v>25.2</v>
      </c>
      <c r="I21" s="45">
        <v>25.2</v>
      </c>
      <c r="J21" s="45">
        <v>25.2</v>
      </c>
      <c r="K21" s="45">
        <v>25.2</v>
      </c>
      <c r="L21" s="45">
        <v>25.2</v>
      </c>
      <c r="M21" s="45">
        <v>18.7</v>
      </c>
      <c r="N21" s="45">
        <v>18.7</v>
      </c>
      <c r="O21" s="45">
        <v>18.7</v>
      </c>
      <c r="P21" s="45">
        <v>18.7</v>
      </c>
      <c r="Q21" s="45">
        <v>18.7</v>
      </c>
      <c r="R21" s="45">
        <v>18.7</v>
      </c>
      <c r="S21" s="45">
        <v>18.7</v>
      </c>
      <c r="T21" s="45">
        <v>18.7</v>
      </c>
      <c r="U21" s="45">
        <v>19.600000000000001</v>
      </c>
      <c r="V21" s="45">
        <v>19.600000000000001</v>
      </c>
      <c r="W21" s="45">
        <v>19.600000000000001</v>
      </c>
      <c r="X21" s="45">
        <v>19.600000000000001</v>
      </c>
      <c r="Y21" s="45">
        <v>19.600000000000001</v>
      </c>
      <c r="Z21" s="45">
        <v>19.600000000000001</v>
      </c>
      <c r="AA21" s="45">
        <v>19.600000000000001</v>
      </c>
      <c r="AB21" s="45">
        <v>19.600000000000001</v>
      </c>
      <c r="AC21" s="45">
        <v>25.9</v>
      </c>
      <c r="AD21" s="45">
        <v>25.9</v>
      </c>
      <c r="AE21" s="45">
        <v>25.9</v>
      </c>
      <c r="AF21" s="45">
        <v>20.8</v>
      </c>
      <c r="AG21" s="49">
        <v>24.2</v>
      </c>
      <c r="AH21" s="47">
        <f t="shared" si="2"/>
        <v>25.9</v>
      </c>
      <c r="AI21" s="48">
        <f t="shared" si="3"/>
        <v>18.7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29</v>
      </c>
      <c r="C22" s="45">
        <v>29</v>
      </c>
      <c r="D22" s="45">
        <v>29</v>
      </c>
      <c r="E22" s="45">
        <v>29</v>
      </c>
      <c r="F22" s="45">
        <v>29</v>
      </c>
      <c r="G22" s="45">
        <v>29</v>
      </c>
      <c r="H22" s="45">
        <v>29</v>
      </c>
      <c r="I22" s="45">
        <v>29</v>
      </c>
      <c r="J22" s="45">
        <v>29</v>
      </c>
      <c r="K22" s="45">
        <v>29</v>
      </c>
      <c r="L22" s="45">
        <v>29</v>
      </c>
      <c r="M22" s="45">
        <v>18</v>
      </c>
      <c r="N22" s="45">
        <v>18</v>
      </c>
      <c r="O22" s="45">
        <v>18</v>
      </c>
      <c r="P22" s="45">
        <v>18</v>
      </c>
      <c r="Q22" s="45">
        <v>18</v>
      </c>
      <c r="R22" s="45">
        <v>18</v>
      </c>
      <c r="S22" s="45">
        <v>18</v>
      </c>
      <c r="T22" s="45">
        <v>18</v>
      </c>
      <c r="U22" s="45">
        <v>18</v>
      </c>
      <c r="V22" s="45">
        <v>18</v>
      </c>
      <c r="W22" s="45">
        <v>18</v>
      </c>
      <c r="X22" s="45">
        <v>18</v>
      </c>
      <c r="Y22" s="45">
        <v>18</v>
      </c>
      <c r="Z22" s="45">
        <v>18</v>
      </c>
      <c r="AA22" s="45">
        <v>18</v>
      </c>
      <c r="AB22" s="45">
        <v>18</v>
      </c>
      <c r="AC22" s="45">
        <v>25</v>
      </c>
      <c r="AD22" s="45">
        <v>20</v>
      </c>
      <c r="AE22" s="45">
        <v>20</v>
      </c>
      <c r="AF22" s="45">
        <v>20</v>
      </c>
      <c r="AG22" s="49">
        <v>28</v>
      </c>
      <c r="AH22" s="47">
        <f t="shared" si="2"/>
        <v>29</v>
      </c>
      <c r="AI22" s="48">
        <f t="shared" si="3"/>
        <v>18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5</v>
      </c>
      <c r="C23" s="45">
        <v>5</v>
      </c>
      <c r="D23" s="45">
        <v>5</v>
      </c>
      <c r="E23" s="45">
        <v>5</v>
      </c>
      <c r="F23" s="45">
        <v>5</v>
      </c>
      <c r="G23" s="45">
        <v>5</v>
      </c>
      <c r="H23" s="45">
        <v>5</v>
      </c>
      <c r="I23" s="45">
        <v>5</v>
      </c>
      <c r="J23" s="45">
        <v>5</v>
      </c>
      <c r="K23" s="45">
        <v>5</v>
      </c>
      <c r="L23" s="45">
        <v>5</v>
      </c>
      <c r="M23" s="45">
        <v>5</v>
      </c>
      <c r="N23" s="45">
        <v>5</v>
      </c>
      <c r="O23" s="45">
        <v>9</v>
      </c>
      <c r="P23" s="45">
        <v>9</v>
      </c>
      <c r="Q23" s="45">
        <v>9</v>
      </c>
      <c r="R23" s="45">
        <v>5</v>
      </c>
      <c r="S23" s="45">
        <v>5</v>
      </c>
      <c r="T23" s="45">
        <v>5</v>
      </c>
      <c r="U23" s="45">
        <v>5</v>
      </c>
      <c r="V23" s="45">
        <v>0</v>
      </c>
      <c r="W23" s="45">
        <v>0</v>
      </c>
      <c r="X23" s="45">
        <v>0</v>
      </c>
      <c r="Y23" s="45">
        <v>4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26.2</v>
      </c>
      <c r="C24" s="45">
        <v>26.2</v>
      </c>
      <c r="D24" s="45">
        <v>26.2</v>
      </c>
      <c r="E24" s="45">
        <v>26.2</v>
      </c>
      <c r="F24" s="45">
        <v>26.2</v>
      </c>
      <c r="G24" s="45">
        <v>26.2</v>
      </c>
      <c r="H24" s="45">
        <v>26.2</v>
      </c>
      <c r="I24" s="45">
        <v>26.2</v>
      </c>
      <c r="J24" s="45">
        <v>26.2</v>
      </c>
      <c r="K24" s="45">
        <v>26.2</v>
      </c>
      <c r="L24" s="45">
        <v>26.2</v>
      </c>
      <c r="M24" s="45">
        <v>26.2</v>
      </c>
      <c r="N24" s="45">
        <v>26.2</v>
      </c>
      <c r="O24" s="45">
        <v>26.2</v>
      </c>
      <c r="P24" s="45">
        <v>26.2</v>
      </c>
      <c r="Q24" s="45">
        <v>26.2</v>
      </c>
      <c r="R24" s="45">
        <v>26.2</v>
      </c>
      <c r="S24" s="45">
        <v>26.2</v>
      </c>
      <c r="T24" s="45">
        <v>26.2</v>
      </c>
      <c r="U24" s="45">
        <v>26.2</v>
      </c>
      <c r="V24" s="45">
        <v>26.2</v>
      </c>
      <c r="W24" s="45">
        <v>26.2</v>
      </c>
      <c r="X24" s="45">
        <v>26.2</v>
      </c>
      <c r="Y24" s="45">
        <v>26.2</v>
      </c>
      <c r="Z24" s="45">
        <v>26.2</v>
      </c>
      <c r="AA24" s="45">
        <v>26.2</v>
      </c>
      <c r="AB24" s="45">
        <v>26.2</v>
      </c>
      <c r="AC24" s="45">
        <v>26.2</v>
      </c>
      <c r="AD24" s="45">
        <v>26.2</v>
      </c>
      <c r="AE24" s="45">
        <v>26.2</v>
      </c>
      <c r="AF24" s="45">
        <v>26.2</v>
      </c>
      <c r="AG24" s="49">
        <v>25</v>
      </c>
      <c r="AH24" s="47">
        <f t="shared" si="2"/>
        <v>26.2</v>
      </c>
      <c r="AI24" s="48">
        <f t="shared" si="3"/>
        <v>26.2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15</v>
      </c>
      <c r="C26" s="45">
        <v>15</v>
      </c>
      <c r="D26" s="45">
        <v>15</v>
      </c>
      <c r="E26" s="45">
        <v>15</v>
      </c>
      <c r="F26" s="45">
        <v>15</v>
      </c>
      <c r="G26" s="45">
        <v>15</v>
      </c>
      <c r="H26" s="45">
        <v>15</v>
      </c>
      <c r="I26" s="45">
        <v>15</v>
      </c>
      <c r="J26" s="45">
        <v>15</v>
      </c>
      <c r="K26" s="45">
        <v>15</v>
      </c>
      <c r="L26" s="45">
        <v>15</v>
      </c>
      <c r="M26" s="45">
        <v>15</v>
      </c>
      <c r="N26" s="45">
        <v>15</v>
      </c>
      <c r="O26" s="45">
        <v>15</v>
      </c>
      <c r="P26" s="45">
        <v>15</v>
      </c>
      <c r="Q26" s="45">
        <v>15</v>
      </c>
      <c r="R26" s="45">
        <v>15</v>
      </c>
      <c r="S26" s="45">
        <v>15</v>
      </c>
      <c r="T26" s="45">
        <v>15</v>
      </c>
      <c r="U26" s="45">
        <v>15</v>
      </c>
      <c r="V26" s="45">
        <v>15</v>
      </c>
      <c r="W26" s="45">
        <v>15</v>
      </c>
      <c r="X26" s="45">
        <v>15</v>
      </c>
      <c r="Y26" s="45">
        <v>15</v>
      </c>
      <c r="Z26" s="45">
        <v>15</v>
      </c>
      <c r="AA26" s="45">
        <v>15</v>
      </c>
      <c r="AB26" s="45">
        <v>15</v>
      </c>
      <c r="AC26" s="45">
        <v>15</v>
      </c>
      <c r="AD26" s="45">
        <v>15</v>
      </c>
      <c r="AE26" s="45">
        <v>15</v>
      </c>
      <c r="AF26" s="45">
        <v>15</v>
      </c>
      <c r="AG26" s="49">
        <v>25</v>
      </c>
      <c r="AH26" s="47">
        <f t="shared" si="2"/>
        <v>15</v>
      </c>
      <c r="AI26" s="48">
        <f t="shared" si="3"/>
        <v>15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13</v>
      </c>
      <c r="C27" s="45">
        <v>13</v>
      </c>
      <c r="D27" s="45">
        <v>13</v>
      </c>
      <c r="E27" s="45">
        <v>13</v>
      </c>
      <c r="F27" s="45">
        <v>13</v>
      </c>
      <c r="G27" s="45">
        <v>13</v>
      </c>
      <c r="H27" s="45">
        <v>13</v>
      </c>
      <c r="I27" s="45">
        <v>13</v>
      </c>
      <c r="J27" s="45">
        <v>13</v>
      </c>
      <c r="K27" s="45">
        <v>13</v>
      </c>
      <c r="L27" s="45">
        <v>13</v>
      </c>
      <c r="M27" s="45">
        <v>13</v>
      </c>
      <c r="N27" s="45">
        <v>13</v>
      </c>
      <c r="O27" s="45">
        <v>8</v>
      </c>
      <c r="P27" s="45">
        <v>8</v>
      </c>
      <c r="Q27" s="45">
        <v>8</v>
      </c>
      <c r="R27" s="45">
        <v>5</v>
      </c>
      <c r="S27" s="45">
        <v>5</v>
      </c>
      <c r="T27" s="45">
        <v>5</v>
      </c>
      <c r="U27" s="45">
        <v>5</v>
      </c>
      <c r="V27" s="45">
        <v>0</v>
      </c>
      <c r="W27" s="45">
        <v>0</v>
      </c>
      <c r="X27" s="45">
        <v>0</v>
      </c>
      <c r="Y27" s="45">
        <v>4</v>
      </c>
      <c r="Z27" s="45">
        <v>13</v>
      </c>
      <c r="AA27" s="45">
        <v>25</v>
      </c>
      <c r="AB27" s="45">
        <v>25</v>
      </c>
      <c r="AC27" s="45">
        <v>25</v>
      </c>
      <c r="AD27" s="45">
        <v>25</v>
      </c>
      <c r="AE27" s="45">
        <v>25</v>
      </c>
      <c r="AF27" s="45">
        <v>25</v>
      </c>
      <c r="AG27" s="49">
        <v>25</v>
      </c>
      <c r="AH27" s="47">
        <f t="shared" si="2"/>
        <v>25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17.5</v>
      </c>
      <c r="C28" s="45">
        <v>17.5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5">
        <v>0</v>
      </c>
      <c r="K28" s="45">
        <v>0</v>
      </c>
      <c r="L28" s="45">
        <v>0</v>
      </c>
      <c r="M28" s="45">
        <v>23</v>
      </c>
      <c r="N28" s="45">
        <v>23</v>
      </c>
      <c r="O28" s="45">
        <v>23.7</v>
      </c>
      <c r="P28" s="45">
        <v>23.7</v>
      </c>
      <c r="Q28" s="45">
        <v>23.7</v>
      </c>
      <c r="R28" s="45">
        <v>24</v>
      </c>
      <c r="S28" s="45">
        <v>24</v>
      </c>
      <c r="T28" s="45">
        <v>24</v>
      </c>
      <c r="U28" s="45">
        <v>24</v>
      </c>
      <c r="V28" s="45">
        <v>24</v>
      </c>
      <c r="W28" s="45">
        <v>24</v>
      </c>
      <c r="X28" s="45">
        <v>24</v>
      </c>
      <c r="Y28" s="45">
        <v>24</v>
      </c>
      <c r="Z28" s="45">
        <v>24</v>
      </c>
      <c r="AA28" s="45">
        <v>24</v>
      </c>
      <c r="AB28" s="45">
        <v>16</v>
      </c>
      <c r="AC28" s="45">
        <v>16.2</v>
      </c>
      <c r="AD28" s="45">
        <v>16.2</v>
      </c>
      <c r="AE28" s="45">
        <v>16.2</v>
      </c>
      <c r="AF28" s="45">
        <v>16.2</v>
      </c>
      <c r="AG28" s="49">
        <v>23.5</v>
      </c>
      <c r="AH28" s="47">
        <f t="shared" si="2"/>
        <v>24</v>
      </c>
      <c r="AI28" s="48">
        <f t="shared" si="3"/>
        <v>0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14</v>
      </c>
      <c r="C29" s="45">
        <v>14</v>
      </c>
      <c r="D29" s="45">
        <v>14</v>
      </c>
      <c r="E29" s="45">
        <v>14</v>
      </c>
      <c r="F29" s="45">
        <v>14</v>
      </c>
      <c r="G29" s="45">
        <v>14</v>
      </c>
      <c r="H29" s="45">
        <v>14</v>
      </c>
      <c r="I29" s="45">
        <v>14</v>
      </c>
      <c r="J29" s="45">
        <v>14</v>
      </c>
      <c r="K29" s="45">
        <v>14</v>
      </c>
      <c r="L29" s="45">
        <v>14</v>
      </c>
      <c r="M29" s="45">
        <v>14</v>
      </c>
      <c r="N29" s="45">
        <v>14</v>
      </c>
      <c r="O29" s="45">
        <v>14</v>
      </c>
      <c r="P29" s="45">
        <v>14</v>
      </c>
      <c r="Q29" s="45">
        <v>14</v>
      </c>
      <c r="R29" s="45">
        <v>14</v>
      </c>
      <c r="S29" s="45">
        <v>14</v>
      </c>
      <c r="T29" s="45">
        <v>14</v>
      </c>
      <c r="U29" s="45">
        <v>14</v>
      </c>
      <c r="V29" s="45">
        <v>14</v>
      </c>
      <c r="W29" s="45">
        <v>14</v>
      </c>
      <c r="X29" s="45">
        <v>14</v>
      </c>
      <c r="Y29" s="45">
        <v>14</v>
      </c>
      <c r="Z29" s="45">
        <v>14</v>
      </c>
      <c r="AA29" s="45">
        <v>14</v>
      </c>
      <c r="AB29" s="45">
        <v>14</v>
      </c>
      <c r="AC29" s="45">
        <v>14</v>
      </c>
      <c r="AD29" s="45">
        <v>14</v>
      </c>
      <c r="AE29" s="45">
        <v>14</v>
      </c>
      <c r="AF29" s="45">
        <v>14</v>
      </c>
      <c r="AG29" s="49">
        <v>22.2</v>
      </c>
      <c r="AH29" s="47">
        <f t="shared" si="2"/>
        <v>14</v>
      </c>
      <c r="AI29" s="48">
        <f t="shared" si="3"/>
        <v>14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16</v>
      </c>
      <c r="N32" s="45">
        <v>16</v>
      </c>
      <c r="O32" s="45">
        <v>16</v>
      </c>
      <c r="P32" s="45">
        <v>16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24</v>
      </c>
      <c r="AB32" s="45">
        <v>22</v>
      </c>
      <c r="AC32" s="45">
        <v>22</v>
      </c>
      <c r="AD32" s="45">
        <v>22</v>
      </c>
      <c r="AE32" s="45">
        <v>22</v>
      </c>
      <c r="AF32" s="45">
        <v>24</v>
      </c>
      <c r="AG32" s="49">
        <v>22</v>
      </c>
      <c r="AH32" s="47">
        <f t="shared" si="2"/>
        <v>24</v>
      </c>
      <c r="AI32" s="48">
        <f t="shared" si="3"/>
        <v>0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3</v>
      </c>
      <c r="C33" s="45">
        <v>3</v>
      </c>
      <c r="D33" s="45">
        <v>3</v>
      </c>
      <c r="E33" s="45">
        <v>3</v>
      </c>
      <c r="F33" s="45">
        <v>3</v>
      </c>
      <c r="G33" s="45">
        <v>3</v>
      </c>
      <c r="H33" s="45">
        <v>3</v>
      </c>
      <c r="I33" s="45">
        <v>3</v>
      </c>
      <c r="J33" s="45">
        <v>3</v>
      </c>
      <c r="K33" s="45">
        <v>3</v>
      </c>
      <c r="L33" s="45">
        <v>3</v>
      </c>
      <c r="M33" s="45">
        <v>5</v>
      </c>
      <c r="N33" s="45">
        <v>4</v>
      </c>
      <c r="O33" s="45">
        <v>4</v>
      </c>
      <c r="P33" s="45">
        <v>4</v>
      </c>
      <c r="Q33" s="45">
        <v>4</v>
      </c>
      <c r="R33" s="45">
        <v>4</v>
      </c>
      <c r="S33" s="45">
        <v>4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49">
        <v>20</v>
      </c>
      <c r="AH33" s="47">
        <f t="shared" si="2"/>
        <v>8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12</v>
      </c>
      <c r="C34" s="45">
        <v>12</v>
      </c>
      <c r="D34" s="45">
        <v>12</v>
      </c>
      <c r="E34" s="45">
        <v>12</v>
      </c>
      <c r="F34" s="45">
        <v>12</v>
      </c>
      <c r="G34" s="45">
        <v>12</v>
      </c>
      <c r="H34" s="45">
        <v>12</v>
      </c>
      <c r="I34" s="45">
        <v>12</v>
      </c>
      <c r="J34" s="45">
        <v>12</v>
      </c>
      <c r="K34" s="45">
        <v>12</v>
      </c>
      <c r="L34" s="45">
        <v>12</v>
      </c>
      <c r="M34" s="45">
        <v>12</v>
      </c>
      <c r="N34" s="45">
        <v>12</v>
      </c>
      <c r="O34" s="45">
        <v>12</v>
      </c>
      <c r="P34" s="45">
        <v>12</v>
      </c>
      <c r="Q34" s="45">
        <v>12</v>
      </c>
      <c r="R34" s="45">
        <v>3</v>
      </c>
      <c r="S34" s="45">
        <v>3</v>
      </c>
      <c r="T34" s="45">
        <v>3</v>
      </c>
      <c r="U34" s="45">
        <v>3</v>
      </c>
      <c r="V34" s="45">
        <v>5</v>
      </c>
      <c r="W34" s="45">
        <v>0</v>
      </c>
      <c r="X34" s="45">
        <v>0</v>
      </c>
      <c r="Y34" s="45">
        <v>0</v>
      </c>
      <c r="Z34" s="45">
        <v>8</v>
      </c>
      <c r="AA34" s="45">
        <v>8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9">
        <v>18</v>
      </c>
      <c r="AH34" s="47">
        <f t="shared" si="2"/>
        <v>12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14</v>
      </c>
      <c r="C35" s="45">
        <v>14</v>
      </c>
      <c r="D35" s="45">
        <v>14</v>
      </c>
      <c r="E35" s="45">
        <v>14</v>
      </c>
      <c r="F35" s="45">
        <v>14</v>
      </c>
      <c r="G35" s="45">
        <v>14</v>
      </c>
      <c r="H35" s="45">
        <v>14</v>
      </c>
      <c r="I35" s="45">
        <v>14</v>
      </c>
      <c r="J35" s="45">
        <v>14</v>
      </c>
      <c r="K35" s="45">
        <v>14</v>
      </c>
      <c r="L35" s="45">
        <v>14</v>
      </c>
      <c r="M35" s="45">
        <v>0</v>
      </c>
      <c r="N35" s="45">
        <v>0</v>
      </c>
      <c r="O35" s="45">
        <v>14</v>
      </c>
      <c r="P35" s="45">
        <v>14</v>
      </c>
      <c r="Q35" s="45">
        <v>14</v>
      </c>
      <c r="R35" s="45">
        <v>14</v>
      </c>
      <c r="S35" s="45">
        <v>14</v>
      </c>
      <c r="T35" s="45">
        <v>14</v>
      </c>
      <c r="U35" s="45">
        <v>14</v>
      </c>
      <c r="V35" s="45">
        <v>14</v>
      </c>
      <c r="W35" s="45">
        <v>14</v>
      </c>
      <c r="X35" s="45">
        <v>14</v>
      </c>
      <c r="Y35" s="45">
        <v>14</v>
      </c>
      <c r="Z35" s="45">
        <v>14</v>
      </c>
      <c r="AA35" s="45">
        <v>14</v>
      </c>
      <c r="AB35" s="45">
        <v>14</v>
      </c>
      <c r="AC35" s="45">
        <v>14</v>
      </c>
      <c r="AD35" s="45">
        <v>14</v>
      </c>
      <c r="AE35" s="45">
        <v>14</v>
      </c>
      <c r="AF35" s="45">
        <v>14</v>
      </c>
      <c r="AG35" s="49">
        <v>14.9</v>
      </c>
      <c r="AH35" s="47">
        <f t="shared" si="2"/>
        <v>14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4</v>
      </c>
      <c r="V37" s="45">
        <v>4</v>
      </c>
      <c r="W37" s="45">
        <v>4</v>
      </c>
      <c r="X37" s="45">
        <v>4</v>
      </c>
      <c r="Y37" s="45">
        <v>4</v>
      </c>
      <c r="Z37" s="45">
        <v>4</v>
      </c>
      <c r="AA37" s="45">
        <v>4</v>
      </c>
      <c r="AB37" s="45">
        <v>4</v>
      </c>
      <c r="AC37" s="45">
        <v>4</v>
      </c>
      <c r="AD37" s="45">
        <v>4</v>
      </c>
      <c r="AE37" s="45">
        <v>4</v>
      </c>
      <c r="AF37" s="45">
        <v>4</v>
      </c>
      <c r="AG37" s="49">
        <v>13.6</v>
      </c>
      <c r="AH37" s="47">
        <f t="shared" si="2"/>
        <v>4</v>
      </c>
      <c r="AI37" s="48">
        <f t="shared" si="3"/>
        <v>4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6</v>
      </c>
      <c r="C38" s="45">
        <v>6</v>
      </c>
      <c r="D38" s="45">
        <v>6</v>
      </c>
      <c r="E38" s="45">
        <v>6</v>
      </c>
      <c r="F38" s="45">
        <v>6</v>
      </c>
      <c r="G38" s="45">
        <v>6</v>
      </c>
      <c r="H38" s="45">
        <v>6</v>
      </c>
      <c r="I38" s="45">
        <v>6</v>
      </c>
      <c r="J38" s="45">
        <v>6</v>
      </c>
      <c r="K38" s="45">
        <v>6</v>
      </c>
      <c r="L38" s="45">
        <v>6</v>
      </c>
      <c r="M38" s="45">
        <v>6</v>
      </c>
      <c r="N38" s="45">
        <v>6</v>
      </c>
      <c r="O38" s="45">
        <v>6</v>
      </c>
      <c r="P38" s="45">
        <v>6</v>
      </c>
      <c r="Q38" s="45">
        <v>6</v>
      </c>
      <c r="R38" s="45">
        <v>6</v>
      </c>
      <c r="S38" s="45">
        <v>6</v>
      </c>
      <c r="T38" s="45">
        <v>6</v>
      </c>
      <c r="U38" s="45">
        <v>6</v>
      </c>
      <c r="V38" s="45">
        <v>6</v>
      </c>
      <c r="W38" s="45">
        <v>6</v>
      </c>
      <c r="X38" s="45">
        <v>6</v>
      </c>
      <c r="Y38" s="45">
        <v>6</v>
      </c>
      <c r="Z38" s="45">
        <v>6</v>
      </c>
      <c r="AA38" s="45">
        <v>6</v>
      </c>
      <c r="AB38" s="45">
        <v>6</v>
      </c>
      <c r="AC38" s="45">
        <v>6</v>
      </c>
      <c r="AD38" s="45">
        <v>6</v>
      </c>
      <c r="AE38" s="45">
        <v>6</v>
      </c>
      <c r="AF38" s="45">
        <v>6</v>
      </c>
      <c r="AG38" s="49">
        <v>13</v>
      </c>
      <c r="AH38" s="47">
        <f t="shared" si="2"/>
        <v>6</v>
      </c>
      <c r="AI38" s="48">
        <f t="shared" si="3"/>
        <v>6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6</v>
      </c>
      <c r="C39" s="45">
        <v>6</v>
      </c>
      <c r="D39" s="45">
        <v>6</v>
      </c>
      <c r="E39" s="45">
        <v>6</v>
      </c>
      <c r="F39" s="45">
        <v>6</v>
      </c>
      <c r="G39" s="45">
        <v>6</v>
      </c>
      <c r="H39" s="45">
        <v>6</v>
      </c>
      <c r="I39" s="45">
        <v>6</v>
      </c>
      <c r="J39" s="45">
        <v>6</v>
      </c>
      <c r="K39" s="45">
        <v>6</v>
      </c>
      <c r="L39" s="45">
        <v>6</v>
      </c>
      <c r="M39" s="45">
        <v>6</v>
      </c>
      <c r="N39" s="45">
        <v>6</v>
      </c>
      <c r="O39" s="45">
        <v>4</v>
      </c>
      <c r="P39" s="45">
        <v>4</v>
      </c>
      <c r="Q39" s="45">
        <v>4</v>
      </c>
      <c r="R39" s="45">
        <v>4</v>
      </c>
      <c r="S39" s="45">
        <v>0</v>
      </c>
      <c r="T39" s="45">
        <v>0</v>
      </c>
      <c r="U39" s="45">
        <v>2.5</v>
      </c>
      <c r="V39" s="45">
        <v>0</v>
      </c>
      <c r="W39" s="45">
        <v>0</v>
      </c>
      <c r="X39" s="45">
        <v>0</v>
      </c>
      <c r="Y39" s="45">
        <v>2</v>
      </c>
      <c r="Z39" s="45">
        <v>6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12</v>
      </c>
      <c r="AG39" s="49">
        <v>12</v>
      </c>
      <c r="AH39" s="47">
        <f t="shared" si="2"/>
        <v>12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8</v>
      </c>
      <c r="C40" s="45">
        <v>8</v>
      </c>
      <c r="D40" s="45">
        <v>8</v>
      </c>
      <c r="E40" s="45">
        <v>8</v>
      </c>
      <c r="F40" s="45">
        <v>8</v>
      </c>
      <c r="G40" s="45">
        <v>8</v>
      </c>
      <c r="H40" s="45">
        <v>8</v>
      </c>
      <c r="I40" s="45">
        <v>8</v>
      </c>
      <c r="J40" s="45">
        <v>8</v>
      </c>
      <c r="K40" s="45">
        <v>8</v>
      </c>
      <c r="L40" s="45">
        <v>8</v>
      </c>
      <c r="M40" s="45">
        <v>8</v>
      </c>
      <c r="N40" s="45">
        <v>8</v>
      </c>
      <c r="O40" s="45">
        <v>8</v>
      </c>
      <c r="P40" s="45">
        <v>8</v>
      </c>
      <c r="Q40" s="45">
        <v>8</v>
      </c>
      <c r="R40" s="45">
        <v>9</v>
      </c>
      <c r="S40" s="45">
        <v>9</v>
      </c>
      <c r="T40" s="45">
        <v>9</v>
      </c>
      <c r="U40" s="45">
        <v>9</v>
      </c>
      <c r="V40" s="45">
        <v>9</v>
      </c>
      <c r="W40" s="45">
        <v>9</v>
      </c>
      <c r="X40" s="45">
        <v>9</v>
      </c>
      <c r="Y40" s="45">
        <v>9</v>
      </c>
      <c r="Z40" s="45">
        <v>9</v>
      </c>
      <c r="AA40" s="45">
        <v>9</v>
      </c>
      <c r="AB40" s="45">
        <v>9</v>
      </c>
      <c r="AC40" s="45">
        <v>9</v>
      </c>
      <c r="AD40" s="45">
        <v>9</v>
      </c>
      <c r="AE40" s="45">
        <v>9</v>
      </c>
      <c r="AF40" s="45">
        <v>9</v>
      </c>
      <c r="AG40" s="49">
        <v>12</v>
      </c>
      <c r="AH40" s="47">
        <f t="shared" si="2"/>
        <v>9</v>
      </c>
      <c r="AI40" s="48">
        <f t="shared" si="3"/>
        <v>8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8</v>
      </c>
      <c r="C41" s="45">
        <v>8</v>
      </c>
      <c r="D41" s="45">
        <v>8</v>
      </c>
      <c r="E41" s="45">
        <v>8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8</v>
      </c>
      <c r="L41" s="45">
        <v>8</v>
      </c>
      <c r="M41" s="45">
        <v>8</v>
      </c>
      <c r="N41" s="45">
        <v>8</v>
      </c>
      <c r="O41" s="45">
        <v>8</v>
      </c>
      <c r="P41" s="45">
        <v>8</v>
      </c>
      <c r="Q41" s="45">
        <v>8</v>
      </c>
      <c r="R41" s="45">
        <v>5</v>
      </c>
      <c r="S41" s="45">
        <v>5</v>
      </c>
      <c r="T41" s="45">
        <v>5</v>
      </c>
      <c r="U41" s="45">
        <v>5</v>
      </c>
      <c r="V41" s="45">
        <v>5</v>
      </c>
      <c r="W41" s="45">
        <v>5</v>
      </c>
      <c r="X41" s="45">
        <v>5</v>
      </c>
      <c r="Y41" s="45">
        <v>5</v>
      </c>
      <c r="Z41" s="45">
        <v>5</v>
      </c>
      <c r="AA41" s="45">
        <v>5</v>
      </c>
      <c r="AB41" s="45">
        <v>5</v>
      </c>
      <c r="AC41" s="45">
        <v>5</v>
      </c>
      <c r="AD41" s="45">
        <v>5</v>
      </c>
      <c r="AE41" s="45">
        <v>5</v>
      </c>
      <c r="AF41" s="45">
        <v>5</v>
      </c>
      <c r="AG41" s="49">
        <v>12</v>
      </c>
      <c r="AH41" s="47">
        <f t="shared" si="2"/>
        <v>8</v>
      </c>
      <c r="AI41" s="48">
        <f t="shared" si="3"/>
        <v>5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4</v>
      </c>
      <c r="C42" s="45">
        <v>4</v>
      </c>
      <c r="D42" s="45">
        <v>4</v>
      </c>
      <c r="E42" s="45">
        <v>4</v>
      </c>
      <c r="F42" s="45">
        <v>4</v>
      </c>
      <c r="G42" s="45">
        <v>4</v>
      </c>
      <c r="H42" s="45">
        <v>4</v>
      </c>
      <c r="I42" s="45">
        <v>4</v>
      </c>
      <c r="J42" s="45">
        <v>4</v>
      </c>
      <c r="K42" s="45">
        <v>4</v>
      </c>
      <c r="L42" s="45">
        <v>4</v>
      </c>
      <c r="M42" s="45">
        <v>4</v>
      </c>
      <c r="N42" s="45">
        <v>4</v>
      </c>
      <c r="O42" s="45">
        <v>4</v>
      </c>
      <c r="P42" s="45">
        <v>4</v>
      </c>
      <c r="Q42" s="45">
        <v>4</v>
      </c>
      <c r="R42" s="45">
        <v>4</v>
      </c>
      <c r="S42" s="45">
        <v>4</v>
      </c>
      <c r="T42" s="45">
        <v>4</v>
      </c>
      <c r="U42" s="45">
        <v>4</v>
      </c>
      <c r="V42" s="45">
        <v>4</v>
      </c>
      <c r="W42" s="45">
        <v>4</v>
      </c>
      <c r="X42" s="45">
        <v>4</v>
      </c>
      <c r="Y42" s="45">
        <v>4</v>
      </c>
      <c r="Z42" s="45">
        <v>4</v>
      </c>
      <c r="AA42" s="45">
        <v>4</v>
      </c>
      <c r="AB42" s="45">
        <v>4</v>
      </c>
      <c r="AC42" s="45">
        <v>4</v>
      </c>
      <c r="AD42" s="45">
        <v>4</v>
      </c>
      <c r="AE42" s="45">
        <v>4</v>
      </c>
      <c r="AF42" s="45">
        <v>4</v>
      </c>
      <c r="AG42" s="52">
        <v>22</v>
      </c>
      <c r="AH42" s="47">
        <f t="shared" si="2"/>
        <v>4</v>
      </c>
      <c r="AI42" s="48">
        <f t="shared" si="3"/>
        <v>4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7.5</v>
      </c>
      <c r="C43" s="45">
        <v>7.5</v>
      </c>
      <c r="D43" s="45">
        <v>7.5</v>
      </c>
      <c r="E43" s="45">
        <v>7.5</v>
      </c>
      <c r="F43" s="45">
        <v>7.5</v>
      </c>
      <c r="G43" s="45">
        <v>7.5</v>
      </c>
      <c r="H43" s="45">
        <v>7.5</v>
      </c>
      <c r="I43" s="45">
        <v>7.5</v>
      </c>
      <c r="J43" s="45">
        <v>7.5</v>
      </c>
      <c r="K43" s="45">
        <v>7.5</v>
      </c>
      <c r="L43" s="45">
        <v>7.5</v>
      </c>
      <c r="M43" s="45">
        <v>7.5</v>
      </c>
      <c r="N43" s="45">
        <v>7.5</v>
      </c>
      <c r="O43" s="45">
        <v>7.5</v>
      </c>
      <c r="P43" s="45">
        <v>7.5</v>
      </c>
      <c r="Q43" s="45">
        <v>7.5</v>
      </c>
      <c r="R43" s="45">
        <v>7.5</v>
      </c>
      <c r="S43" s="45">
        <v>7.5</v>
      </c>
      <c r="T43" s="45">
        <v>7.5</v>
      </c>
      <c r="U43" s="45">
        <v>7.5</v>
      </c>
      <c r="V43" s="45">
        <v>7.5</v>
      </c>
      <c r="W43" s="45">
        <v>7.5</v>
      </c>
      <c r="X43" s="45">
        <v>7.5</v>
      </c>
      <c r="Y43" s="45">
        <v>7.5</v>
      </c>
      <c r="Z43" s="45">
        <v>7.5</v>
      </c>
      <c r="AA43" s="45">
        <v>7.5</v>
      </c>
      <c r="AB43" s="45">
        <v>7.5</v>
      </c>
      <c r="AC43" s="45">
        <v>7.5</v>
      </c>
      <c r="AD43" s="45">
        <v>7.5</v>
      </c>
      <c r="AE43" s="45">
        <v>7.5</v>
      </c>
      <c r="AF43" s="45">
        <v>7.5</v>
      </c>
      <c r="AG43" s="51">
        <v>11.88</v>
      </c>
      <c r="AH43" s="47">
        <f t="shared" si="2"/>
        <v>7.5</v>
      </c>
      <c r="AI43" s="48">
        <f t="shared" si="3"/>
        <v>7.5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7</v>
      </c>
      <c r="V44" s="45">
        <v>7</v>
      </c>
      <c r="W44" s="45">
        <v>7</v>
      </c>
      <c r="X44" s="45">
        <v>7</v>
      </c>
      <c r="Y44" s="45">
        <v>7</v>
      </c>
      <c r="Z44" s="45">
        <v>7</v>
      </c>
      <c r="AA44" s="45">
        <v>7</v>
      </c>
      <c r="AB44" s="45">
        <v>7</v>
      </c>
      <c r="AC44" s="45">
        <v>7</v>
      </c>
      <c r="AD44" s="45">
        <v>7</v>
      </c>
      <c r="AE44" s="45">
        <v>7</v>
      </c>
      <c r="AF44" s="45">
        <v>7</v>
      </c>
      <c r="AG44" s="54">
        <v>11</v>
      </c>
      <c r="AH44" s="47">
        <f t="shared" si="2"/>
        <v>7</v>
      </c>
      <c r="AI44" s="48">
        <f t="shared" si="3"/>
        <v>7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0</v>
      </c>
      <c r="AG45" s="54">
        <v>10</v>
      </c>
      <c r="AH45" s="47">
        <f t="shared" si="2"/>
        <v>10</v>
      </c>
      <c r="AI45" s="48">
        <f t="shared" si="3"/>
        <v>0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v>948.2</v>
      </c>
      <c r="C50" s="59">
        <f t="shared" ref="C50:AF50" si="4">SUM(C11:C48)</f>
        <v>921.2</v>
      </c>
      <c r="D50" s="59">
        <f t="shared" si="4"/>
        <v>843.4</v>
      </c>
      <c r="E50" s="59">
        <f t="shared" si="4"/>
        <v>837.4</v>
      </c>
      <c r="F50" s="59">
        <f t="shared" si="4"/>
        <v>837.4</v>
      </c>
      <c r="G50" s="59">
        <f t="shared" ref="G50:J50" si="5">SUM(G11:G48)</f>
        <v>837.4</v>
      </c>
      <c r="H50" s="59">
        <f t="shared" si="5"/>
        <v>837.4</v>
      </c>
      <c r="I50" s="59">
        <f t="shared" si="5"/>
        <v>837.4</v>
      </c>
      <c r="J50" s="59">
        <f t="shared" si="5"/>
        <v>837.4</v>
      </c>
      <c r="K50" s="59">
        <f t="shared" si="4"/>
        <v>842.4</v>
      </c>
      <c r="L50" s="59">
        <f t="shared" si="4"/>
        <v>842.4</v>
      </c>
      <c r="M50" s="59">
        <f t="shared" si="4"/>
        <v>862.3</v>
      </c>
      <c r="N50" s="59">
        <f t="shared" si="4"/>
        <v>848.5</v>
      </c>
      <c r="O50" s="59">
        <f t="shared" si="4"/>
        <v>861.5</v>
      </c>
      <c r="P50" s="59">
        <f t="shared" si="4"/>
        <v>861.5</v>
      </c>
      <c r="Q50" s="59">
        <f t="shared" si="4"/>
        <v>845.5</v>
      </c>
      <c r="R50" s="59">
        <f t="shared" si="4"/>
        <v>821.3</v>
      </c>
      <c r="S50" s="59">
        <f t="shared" si="4"/>
        <v>827.3</v>
      </c>
      <c r="T50" s="59">
        <f t="shared" si="4"/>
        <v>823.3</v>
      </c>
      <c r="U50" s="59">
        <f t="shared" si="4"/>
        <v>824.7</v>
      </c>
      <c r="V50" s="59">
        <f t="shared" si="4"/>
        <v>806.2</v>
      </c>
      <c r="W50" s="59">
        <f t="shared" si="4"/>
        <v>801.2</v>
      </c>
      <c r="X50" s="59">
        <f t="shared" si="4"/>
        <v>809.8</v>
      </c>
      <c r="Y50" s="59">
        <f t="shared" si="4"/>
        <v>825.8</v>
      </c>
      <c r="Z50" s="59">
        <f t="shared" si="4"/>
        <v>877.8</v>
      </c>
      <c r="AA50" s="59">
        <f t="shared" si="4"/>
        <v>907.7</v>
      </c>
      <c r="AB50" s="59">
        <f t="shared" si="4"/>
        <v>913.8</v>
      </c>
      <c r="AC50" s="59">
        <f t="shared" si="4"/>
        <v>926.6</v>
      </c>
      <c r="AD50" s="59">
        <f t="shared" si="4"/>
        <v>921.6</v>
      </c>
      <c r="AE50" s="59">
        <f t="shared" si="4"/>
        <v>919.5</v>
      </c>
      <c r="AF50" s="59">
        <f t="shared" si="4"/>
        <v>889.8</v>
      </c>
      <c r="AG50" s="60">
        <f>SUM(AG13:AG48)</f>
        <v>922.14</v>
      </c>
      <c r="AH50" s="47">
        <f t="shared" si="2"/>
        <v>948.2</v>
      </c>
      <c r="AI50" s="48">
        <f t="shared" si="3"/>
        <v>801.2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62">
        <v>456</v>
      </c>
      <c r="P51" s="62">
        <v>456</v>
      </c>
      <c r="Q51" s="62">
        <v>456</v>
      </c>
      <c r="R51" s="62">
        <v>456</v>
      </c>
      <c r="S51" s="62">
        <v>456</v>
      </c>
      <c r="T51" s="62">
        <v>456</v>
      </c>
      <c r="U51" s="62">
        <v>456</v>
      </c>
      <c r="V51" s="62">
        <v>456</v>
      </c>
      <c r="W51" s="45">
        <v>440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440</v>
      </c>
      <c r="AK51" s="74"/>
    </row>
    <row r="52" spans="1:41" x14ac:dyDescent="0.25">
      <c r="A52" s="63" t="s">
        <v>68</v>
      </c>
      <c r="B52" s="64">
        <v>60</v>
      </c>
      <c r="C52" s="64">
        <v>60</v>
      </c>
      <c r="D52" s="64">
        <v>60</v>
      </c>
      <c r="E52" s="64">
        <v>60</v>
      </c>
      <c r="F52" s="64">
        <v>60</v>
      </c>
      <c r="G52" s="64">
        <v>60</v>
      </c>
      <c r="H52" s="64">
        <v>60</v>
      </c>
      <c r="I52" s="64">
        <v>60</v>
      </c>
      <c r="J52" s="64">
        <v>60</v>
      </c>
      <c r="K52" s="64">
        <v>60</v>
      </c>
      <c r="L52" s="64">
        <v>60</v>
      </c>
      <c r="M52" s="64">
        <v>60</v>
      </c>
      <c r="N52" s="64">
        <v>60</v>
      </c>
      <c r="O52" s="64">
        <v>60</v>
      </c>
      <c r="P52" s="64">
        <v>60</v>
      </c>
      <c r="Q52" s="64">
        <v>60</v>
      </c>
      <c r="R52" s="64">
        <v>60</v>
      </c>
      <c r="S52" s="64">
        <v>55</v>
      </c>
      <c r="T52" s="64">
        <v>55</v>
      </c>
      <c r="U52" s="64">
        <v>56</v>
      </c>
      <c r="V52" s="64">
        <v>56</v>
      </c>
      <c r="W52" s="64">
        <v>56</v>
      </c>
      <c r="X52" s="64">
        <v>56</v>
      </c>
      <c r="Y52" s="64">
        <v>56</v>
      </c>
      <c r="Z52" s="64">
        <v>56</v>
      </c>
      <c r="AA52" s="64">
        <v>56</v>
      </c>
      <c r="AB52" s="64">
        <v>60</v>
      </c>
      <c r="AC52" s="64">
        <v>60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60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22.4</v>
      </c>
      <c r="C53" s="66">
        <v>22.4</v>
      </c>
      <c r="D53" s="66">
        <v>22.4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22.4</v>
      </c>
      <c r="M53" s="66">
        <v>22.4</v>
      </c>
      <c r="N53" s="66">
        <v>22.4</v>
      </c>
      <c r="O53" s="66">
        <v>22.4</v>
      </c>
      <c r="P53" s="66">
        <v>22.4</v>
      </c>
      <c r="Q53" s="66">
        <v>22.4</v>
      </c>
      <c r="R53" s="66">
        <v>22.4</v>
      </c>
      <c r="S53" s="66">
        <v>22.4</v>
      </c>
      <c r="T53" s="66">
        <v>22.4</v>
      </c>
      <c r="U53" s="66">
        <v>22.4</v>
      </c>
      <c r="V53" s="66">
        <v>22.4</v>
      </c>
      <c r="W53" s="66">
        <v>22.4</v>
      </c>
      <c r="X53" s="66">
        <v>22.4</v>
      </c>
      <c r="Y53" s="66">
        <v>22.4</v>
      </c>
      <c r="Z53" s="66">
        <v>22.4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22.5</v>
      </c>
      <c r="AF53" s="66">
        <v>22.4</v>
      </c>
      <c r="AG53" s="67">
        <v>22.1</v>
      </c>
      <c r="AH53" s="47">
        <f t="shared" si="2"/>
        <v>22.5</v>
      </c>
      <c r="AI53" s="48">
        <f t="shared" si="3"/>
        <v>22.4</v>
      </c>
      <c r="AK53" s="74"/>
    </row>
    <row r="54" spans="1:41" ht="15.75" thickBot="1" x14ac:dyDescent="0.3">
      <c r="A54" s="68" t="s">
        <v>70</v>
      </c>
      <c r="B54" s="59">
        <v>538.4</v>
      </c>
      <c r="C54" s="59">
        <f t="shared" ref="C54:AG54" si="6">SUM(C51:C53)</f>
        <v>538.4</v>
      </c>
      <c r="D54" s="59">
        <f t="shared" si="6"/>
        <v>538.4</v>
      </c>
      <c r="E54" s="59">
        <f t="shared" si="6"/>
        <v>538.4</v>
      </c>
      <c r="F54" s="59">
        <f t="shared" si="6"/>
        <v>538.4</v>
      </c>
      <c r="G54" s="59">
        <f t="shared" ref="G54:J54" si="7">SUM(G51:G53)</f>
        <v>538.4</v>
      </c>
      <c r="H54" s="59">
        <f t="shared" si="7"/>
        <v>538.4</v>
      </c>
      <c r="I54" s="59">
        <f t="shared" si="7"/>
        <v>538.4</v>
      </c>
      <c r="J54" s="59">
        <f t="shared" si="7"/>
        <v>538.4</v>
      </c>
      <c r="K54" s="59">
        <f t="shared" si="6"/>
        <v>538.4</v>
      </c>
      <c r="L54" s="59">
        <f t="shared" si="6"/>
        <v>538.4</v>
      </c>
      <c r="M54" s="59">
        <f t="shared" si="6"/>
        <v>538.4</v>
      </c>
      <c r="N54" s="59">
        <f t="shared" si="6"/>
        <v>538.4</v>
      </c>
      <c r="O54" s="59">
        <f t="shared" si="6"/>
        <v>538.4</v>
      </c>
      <c r="P54" s="59">
        <f t="shared" si="6"/>
        <v>538.4</v>
      </c>
      <c r="Q54" s="59">
        <f t="shared" si="6"/>
        <v>538.4</v>
      </c>
      <c r="R54" s="59">
        <f t="shared" si="6"/>
        <v>538.4</v>
      </c>
      <c r="S54" s="59">
        <f t="shared" si="6"/>
        <v>533.4</v>
      </c>
      <c r="T54" s="59">
        <f t="shared" si="6"/>
        <v>533.4</v>
      </c>
      <c r="U54" s="59">
        <f t="shared" si="6"/>
        <v>534.4</v>
      </c>
      <c r="V54" s="59">
        <f t="shared" si="6"/>
        <v>534.4</v>
      </c>
      <c r="W54" s="59">
        <f t="shared" si="6"/>
        <v>518.4</v>
      </c>
      <c r="X54" s="59">
        <f t="shared" si="6"/>
        <v>534.4</v>
      </c>
      <c r="Y54" s="59">
        <f t="shared" si="6"/>
        <v>534.4</v>
      </c>
      <c r="Z54" s="59">
        <f t="shared" si="6"/>
        <v>534.4</v>
      </c>
      <c r="AA54" s="59">
        <f t="shared" si="6"/>
        <v>534.4</v>
      </c>
      <c r="AB54" s="59">
        <f t="shared" si="6"/>
        <v>538.4</v>
      </c>
      <c r="AC54" s="59">
        <f t="shared" si="6"/>
        <v>538.4</v>
      </c>
      <c r="AD54" s="59">
        <f t="shared" si="6"/>
        <v>533.4</v>
      </c>
      <c r="AE54" s="59">
        <f t="shared" si="6"/>
        <v>533.5</v>
      </c>
      <c r="AF54" s="59">
        <f t="shared" si="6"/>
        <v>533.4</v>
      </c>
      <c r="AG54" s="60">
        <f t="shared" si="6"/>
        <v>538.1</v>
      </c>
      <c r="AH54" s="47">
        <f t="shared" si="2"/>
        <v>538.4</v>
      </c>
      <c r="AI54" s="48">
        <f t="shared" si="3"/>
        <v>518.4</v>
      </c>
      <c r="AK54" s="74"/>
    </row>
    <row r="55" spans="1:41" x14ac:dyDescent="0.25">
      <c r="A55" s="44" t="s">
        <v>71</v>
      </c>
      <c r="B55" s="45">
        <v>96.9</v>
      </c>
      <c r="C55" s="45">
        <v>96.9</v>
      </c>
      <c r="D55" s="45">
        <v>96.9</v>
      </c>
      <c r="E55" s="45">
        <v>96.9</v>
      </c>
      <c r="F55" s="45">
        <v>96.9</v>
      </c>
      <c r="G55" s="45">
        <v>96.9</v>
      </c>
      <c r="H55" s="45">
        <v>96.9</v>
      </c>
      <c r="I55" s="45">
        <v>96.9</v>
      </c>
      <c r="J55" s="45">
        <v>96.9</v>
      </c>
      <c r="K55" s="45">
        <v>96.9</v>
      </c>
      <c r="L55" s="45">
        <v>96.9</v>
      </c>
      <c r="M55" s="45">
        <v>94.9</v>
      </c>
      <c r="N55" s="45">
        <v>94.9</v>
      </c>
      <c r="O55" s="45">
        <v>95</v>
      </c>
      <c r="P55" s="45">
        <v>94.9</v>
      </c>
      <c r="Q55" s="45">
        <v>95</v>
      </c>
      <c r="R55" s="45">
        <v>94.8</v>
      </c>
      <c r="S55" s="45">
        <v>95.1</v>
      </c>
      <c r="T55" s="45">
        <v>95.1</v>
      </c>
      <c r="U55" s="45">
        <v>95.1</v>
      </c>
      <c r="V55" s="45">
        <v>90</v>
      </c>
      <c r="W55" s="45">
        <v>97</v>
      </c>
      <c r="X55" s="45">
        <v>97</v>
      </c>
      <c r="Y55" s="45">
        <v>97</v>
      </c>
      <c r="Z55" s="45">
        <v>97</v>
      </c>
      <c r="AA55" s="45">
        <v>97</v>
      </c>
      <c r="AB55" s="45">
        <v>97</v>
      </c>
      <c r="AC55" s="45">
        <v>97</v>
      </c>
      <c r="AD55" s="45">
        <v>97</v>
      </c>
      <c r="AE55" s="45">
        <v>97</v>
      </c>
      <c r="AF55" s="45">
        <v>97</v>
      </c>
      <c r="AG55" s="51">
        <v>144</v>
      </c>
      <c r="AH55" s="47">
        <f t="shared" si="2"/>
        <v>97</v>
      </c>
      <c r="AI55" s="48">
        <f t="shared" si="3"/>
        <v>90</v>
      </c>
      <c r="AK55" s="74"/>
    </row>
    <row r="56" spans="1:41" x14ac:dyDescent="0.25">
      <c r="A56" s="53" t="s">
        <v>72</v>
      </c>
      <c r="B56" s="64">
        <v>70.7</v>
      </c>
      <c r="C56" s="64">
        <v>70.7</v>
      </c>
      <c r="D56" s="64">
        <v>70.7</v>
      </c>
      <c r="E56" s="64">
        <v>70.7</v>
      </c>
      <c r="F56" s="64">
        <v>60</v>
      </c>
      <c r="G56" s="64">
        <v>60</v>
      </c>
      <c r="H56" s="64">
        <v>60</v>
      </c>
      <c r="I56" s="64">
        <v>60</v>
      </c>
      <c r="J56" s="64">
        <v>70</v>
      </c>
      <c r="K56" s="64">
        <v>70</v>
      </c>
      <c r="L56" s="64">
        <v>70</v>
      </c>
      <c r="M56" s="64">
        <v>69.3</v>
      </c>
      <c r="N56" s="64">
        <v>69.3</v>
      </c>
      <c r="O56" s="64">
        <v>69.3</v>
      </c>
      <c r="P56" s="64">
        <v>69.3</v>
      </c>
      <c r="Q56" s="64">
        <v>71.7</v>
      </c>
      <c r="R56" s="64">
        <v>60.3</v>
      </c>
      <c r="S56" s="45">
        <v>60.1</v>
      </c>
      <c r="T56" s="45">
        <v>71</v>
      </c>
      <c r="U56" s="45">
        <v>71</v>
      </c>
      <c r="V56" s="45">
        <v>70</v>
      </c>
      <c r="W56" s="45">
        <v>70.8</v>
      </c>
      <c r="X56" s="45">
        <v>70.8</v>
      </c>
      <c r="Y56" s="45">
        <v>70.8</v>
      </c>
      <c r="Z56" s="45">
        <v>63</v>
      </c>
      <c r="AA56" s="45">
        <v>69</v>
      </c>
      <c r="AB56" s="45">
        <v>69</v>
      </c>
      <c r="AC56" s="45">
        <v>70.599999999999994</v>
      </c>
      <c r="AD56" s="45">
        <v>70.599999999999994</v>
      </c>
      <c r="AE56" s="45">
        <v>70.599999999999994</v>
      </c>
      <c r="AF56" s="45">
        <v>69.5</v>
      </c>
      <c r="AG56" s="54">
        <v>70</v>
      </c>
      <c r="AH56" s="47">
        <f t="shared" si="2"/>
        <v>71.7</v>
      </c>
      <c r="AI56" s="48">
        <f t="shared" si="3"/>
        <v>60</v>
      </c>
      <c r="AK56" s="74"/>
    </row>
    <row r="57" spans="1:41" x14ac:dyDescent="0.25">
      <c r="A57" s="53" t="s">
        <v>73</v>
      </c>
      <c r="B57" s="64">
        <v>68.900000000000006</v>
      </c>
      <c r="C57" s="64">
        <v>68.900000000000006</v>
      </c>
      <c r="D57" s="64">
        <v>68.900000000000006</v>
      </c>
      <c r="E57" s="64">
        <v>68.900000000000006</v>
      </c>
      <c r="F57" s="64">
        <v>50.8</v>
      </c>
      <c r="G57" s="64">
        <v>50.8</v>
      </c>
      <c r="H57" s="64">
        <v>50.8</v>
      </c>
      <c r="I57" s="64">
        <v>50.8</v>
      </c>
      <c r="J57" s="64">
        <v>50.8</v>
      </c>
      <c r="K57" s="64">
        <v>50.8</v>
      </c>
      <c r="L57" s="64">
        <v>50.8</v>
      </c>
      <c r="M57" s="64">
        <v>67.8</v>
      </c>
      <c r="N57" s="64">
        <v>67.8</v>
      </c>
      <c r="O57" s="64">
        <v>67.8</v>
      </c>
      <c r="P57" s="64">
        <v>68.400000000000006</v>
      </c>
      <c r="Q57" s="64">
        <v>44.8</v>
      </c>
      <c r="R57" s="64">
        <v>44.4</v>
      </c>
      <c r="S57" s="45">
        <v>68.5</v>
      </c>
      <c r="T57" s="45">
        <v>68.5</v>
      </c>
      <c r="U57" s="45">
        <v>68.5</v>
      </c>
      <c r="V57" s="45">
        <v>64.2</v>
      </c>
      <c r="W57" s="45">
        <v>64.400000000000006</v>
      </c>
      <c r="X57" s="45">
        <v>69</v>
      </c>
      <c r="Y57" s="45">
        <v>69</v>
      </c>
      <c r="Z57" s="45">
        <v>69</v>
      </c>
      <c r="AA57" s="45">
        <v>69</v>
      </c>
      <c r="AB57" s="45">
        <v>69</v>
      </c>
      <c r="AC57" s="45">
        <v>67.599999999999994</v>
      </c>
      <c r="AD57" s="45">
        <v>67.599999999999994</v>
      </c>
      <c r="AE57" s="45">
        <v>67.599999999999994</v>
      </c>
      <c r="AF57" s="45">
        <v>68.2</v>
      </c>
      <c r="AG57" s="54">
        <v>69</v>
      </c>
      <c r="AH57" s="47">
        <f t="shared" si="2"/>
        <v>69</v>
      </c>
      <c r="AI57" s="48">
        <f t="shared" si="3"/>
        <v>44.4</v>
      </c>
      <c r="AK57" s="74"/>
    </row>
    <row r="58" spans="1:41" x14ac:dyDescent="0.25">
      <c r="A58" s="53" t="s">
        <v>74</v>
      </c>
      <c r="B58" s="64">
        <v>60.4</v>
      </c>
      <c r="C58" s="64">
        <v>60.4</v>
      </c>
      <c r="D58" s="64">
        <v>60.4</v>
      </c>
      <c r="E58" s="64">
        <v>60.4</v>
      </c>
      <c r="F58" s="64">
        <v>60.4</v>
      </c>
      <c r="G58" s="64">
        <v>60.4</v>
      </c>
      <c r="H58" s="64">
        <v>60.4</v>
      </c>
      <c r="I58" s="64">
        <v>60.4</v>
      </c>
      <c r="J58" s="64">
        <v>60.4</v>
      </c>
      <c r="K58" s="64">
        <v>60.4</v>
      </c>
      <c r="L58" s="64">
        <v>60.4</v>
      </c>
      <c r="M58" s="64">
        <v>61.2</v>
      </c>
      <c r="N58" s="64">
        <v>61.2</v>
      </c>
      <c r="O58" s="64">
        <v>0</v>
      </c>
      <c r="P58" s="64">
        <v>0</v>
      </c>
      <c r="Q58" s="64">
        <v>0</v>
      </c>
      <c r="R58" s="64">
        <v>50.6</v>
      </c>
      <c r="S58" s="45">
        <v>49.9</v>
      </c>
      <c r="T58" s="45">
        <v>61.4</v>
      </c>
      <c r="U58" s="45">
        <v>61.4</v>
      </c>
      <c r="V58" s="45">
        <v>50.6</v>
      </c>
      <c r="W58" s="45">
        <v>61.4</v>
      </c>
      <c r="X58" s="45">
        <v>61.4</v>
      </c>
      <c r="Y58" s="45">
        <v>61.4</v>
      </c>
      <c r="Z58" s="45">
        <v>61.4</v>
      </c>
      <c r="AA58" s="45">
        <v>61.4</v>
      </c>
      <c r="AB58" s="45">
        <v>61.4</v>
      </c>
      <c r="AC58" s="45">
        <v>62</v>
      </c>
      <c r="AD58" s="45">
        <v>62</v>
      </c>
      <c r="AE58" s="45">
        <v>62</v>
      </c>
      <c r="AF58" s="45">
        <v>60.4</v>
      </c>
      <c r="AG58" s="54">
        <v>60</v>
      </c>
      <c r="AH58" s="47">
        <f t="shared" si="2"/>
        <v>62</v>
      </c>
      <c r="AI58" s="48">
        <f t="shared" si="3"/>
        <v>0</v>
      </c>
      <c r="AK58" s="74"/>
    </row>
    <row r="59" spans="1:41" x14ac:dyDescent="0.25">
      <c r="A59" s="53" t="s">
        <v>75</v>
      </c>
      <c r="B59" s="64">
        <v>30</v>
      </c>
      <c r="C59" s="64">
        <v>30</v>
      </c>
      <c r="D59" s="64">
        <v>30</v>
      </c>
      <c r="E59" s="64">
        <v>30</v>
      </c>
      <c r="F59" s="64">
        <v>30</v>
      </c>
      <c r="G59" s="64">
        <v>30</v>
      </c>
      <c r="H59" s="64">
        <v>30</v>
      </c>
      <c r="I59" s="64">
        <v>30</v>
      </c>
      <c r="J59" s="64">
        <v>30</v>
      </c>
      <c r="K59" s="64">
        <v>30</v>
      </c>
      <c r="L59" s="64">
        <v>30</v>
      </c>
      <c r="M59" s="64">
        <v>30</v>
      </c>
      <c r="N59" s="64">
        <v>30</v>
      </c>
      <c r="O59" s="64">
        <v>30</v>
      </c>
      <c r="P59" s="64">
        <v>30</v>
      </c>
      <c r="Q59" s="64">
        <v>30</v>
      </c>
      <c r="R59" s="64">
        <v>30</v>
      </c>
      <c r="S59" s="45">
        <v>30</v>
      </c>
      <c r="T59" s="45">
        <v>30</v>
      </c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30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2</v>
      </c>
      <c r="N60" s="64">
        <v>8</v>
      </c>
      <c r="O60" s="64">
        <v>15</v>
      </c>
      <c r="P60" s="64">
        <v>19.899999999999999</v>
      </c>
      <c r="Q60" s="64">
        <v>19.899999999999999</v>
      </c>
      <c r="R60" s="64">
        <v>14</v>
      </c>
      <c r="S60" s="45">
        <v>16.8</v>
      </c>
      <c r="T60" s="45">
        <v>11</v>
      </c>
      <c r="U60" s="45">
        <v>7.4</v>
      </c>
      <c r="V60" s="45">
        <v>2.4</v>
      </c>
      <c r="W60" s="45">
        <v>0.9</v>
      </c>
      <c r="X60" s="45">
        <v>0.8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19.899999999999999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74"/>
    </row>
    <row r="62" spans="1:41" x14ac:dyDescent="0.25">
      <c r="A62" s="53" t="s">
        <v>78</v>
      </c>
      <c r="B62" s="64">
        <v>3.8</v>
      </c>
      <c r="C62" s="64">
        <v>3.8</v>
      </c>
      <c r="D62" s="64">
        <v>3.8</v>
      </c>
      <c r="E62" s="64">
        <v>3.8</v>
      </c>
      <c r="F62" s="64">
        <v>3.8</v>
      </c>
      <c r="G62" s="64">
        <v>3.8</v>
      </c>
      <c r="H62" s="64">
        <v>3.8</v>
      </c>
      <c r="I62" s="64">
        <v>3.8</v>
      </c>
      <c r="J62" s="64">
        <v>3.8</v>
      </c>
      <c r="K62" s="64">
        <v>3.8</v>
      </c>
      <c r="L62" s="64">
        <v>3.8</v>
      </c>
      <c r="M62" s="64">
        <v>3.8</v>
      </c>
      <c r="N62" s="64">
        <v>3.8</v>
      </c>
      <c r="O62" s="64">
        <v>3.8</v>
      </c>
      <c r="P62" s="64">
        <v>3.8</v>
      </c>
      <c r="Q62" s="64">
        <v>3.8</v>
      </c>
      <c r="R62" s="64">
        <v>3.8</v>
      </c>
      <c r="S62" s="64">
        <v>3.8</v>
      </c>
      <c r="T62" s="64">
        <v>3.8</v>
      </c>
      <c r="U62" s="64">
        <v>3.8</v>
      </c>
      <c r="V62" s="64">
        <v>3.8</v>
      </c>
      <c r="W62" s="64">
        <v>3.8</v>
      </c>
      <c r="X62" s="64">
        <v>3.8</v>
      </c>
      <c r="Y62" s="64">
        <v>3.8</v>
      </c>
      <c r="Z62" s="64">
        <v>3.8</v>
      </c>
      <c r="AA62" s="64">
        <v>3.8</v>
      </c>
      <c r="AB62" s="64">
        <v>3.8</v>
      </c>
      <c r="AC62" s="64">
        <v>3.8</v>
      </c>
      <c r="AD62" s="64">
        <v>3.8</v>
      </c>
      <c r="AE62" s="64">
        <v>3.8</v>
      </c>
      <c r="AF62" s="64">
        <v>3.8</v>
      </c>
      <c r="AG62" s="54">
        <v>15</v>
      </c>
      <c r="AH62" s="47">
        <f t="shared" si="2"/>
        <v>3.8</v>
      </c>
      <c r="AI62" s="48">
        <f t="shared" si="3"/>
        <v>3.8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7.2</v>
      </c>
      <c r="C63" s="64">
        <v>7.2</v>
      </c>
      <c r="D63" s="64">
        <v>7.2</v>
      </c>
      <c r="E63" s="64">
        <v>7.2</v>
      </c>
      <c r="F63" s="64">
        <v>7.2</v>
      </c>
      <c r="G63" s="64">
        <v>7.2</v>
      </c>
      <c r="H63" s="64">
        <v>7.2</v>
      </c>
      <c r="I63" s="64">
        <v>7.2</v>
      </c>
      <c r="J63" s="64">
        <v>7.2</v>
      </c>
      <c r="K63" s="64">
        <v>7.2</v>
      </c>
      <c r="L63" s="64">
        <v>7.2</v>
      </c>
      <c r="M63" s="64">
        <v>13.3</v>
      </c>
      <c r="N63" s="64">
        <v>13.3</v>
      </c>
      <c r="O63" s="64">
        <v>13.3</v>
      </c>
      <c r="P63" s="64">
        <v>13.3</v>
      </c>
      <c r="Q63" s="64">
        <v>13.3</v>
      </c>
      <c r="R63" s="64">
        <v>13.3</v>
      </c>
      <c r="S63" s="64">
        <v>13.3</v>
      </c>
      <c r="T63" s="64">
        <v>13.3</v>
      </c>
      <c r="U63" s="64">
        <v>13.3</v>
      </c>
      <c r="V63" s="64">
        <v>13.3</v>
      </c>
      <c r="W63" s="64">
        <v>13.3</v>
      </c>
      <c r="X63" s="64">
        <v>13.3</v>
      </c>
      <c r="Y63" s="64">
        <v>13.3</v>
      </c>
      <c r="Z63" s="64">
        <v>11.9</v>
      </c>
      <c r="AA63" s="64">
        <v>11.9</v>
      </c>
      <c r="AB63" s="64">
        <v>11.9</v>
      </c>
      <c r="AC63" s="64">
        <v>11.9</v>
      </c>
      <c r="AD63" s="64">
        <v>11.9</v>
      </c>
      <c r="AE63" s="64">
        <v>11.9</v>
      </c>
      <c r="AF63" s="64">
        <v>11.9</v>
      </c>
      <c r="AG63" s="54">
        <v>14.1</v>
      </c>
      <c r="AH63" s="47">
        <f t="shared" si="2"/>
        <v>13.3</v>
      </c>
      <c r="AI63" s="48">
        <f t="shared" si="3"/>
        <v>7.2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14.3</v>
      </c>
      <c r="C64" s="64">
        <v>14.3</v>
      </c>
      <c r="D64" s="64">
        <v>14.3</v>
      </c>
      <c r="E64" s="64">
        <v>14.3</v>
      </c>
      <c r="F64" s="64">
        <v>14.3</v>
      </c>
      <c r="G64" s="64">
        <v>14.3</v>
      </c>
      <c r="H64" s="64">
        <v>14.3</v>
      </c>
      <c r="I64" s="64">
        <v>14.3</v>
      </c>
      <c r="J64" s="64">
        <v>14.3</v>
      </c>
      <c r="K64" s="64">
        <v>14.3</v>
      </c>
      <c r="L64" s="64">
        <v>14.3</v>
      </c>
      <c r="M64" s="64">
        <v>14.2</v>
      </c>
      <c r="N64" s="64">
        <v>14.2</v>
      </c>
      <c r="O64" s="64">
        <v>14.2</v>
      </c>
      <c r="P64" s="64">
        <v>14.2</v>
      </c>
      <c r="Q64" s="64">
        <v>14.2</v>
      </c>
      <c r="R64" s="64">
        <v>14.2</v>
      </c>
      <c r="S64" s="64">
        <v>14.2</v>
      </c>
      <c r="T64" s="64">
        <v>14.2</v>
      </c>
      <c r="U64" s="64">
        <v>14.2</v>
      </c>
      <c r="V64" s="64">
        <v>10.9</v>
      </c>
      <c r="W64" s="64">
        <v>10.9</v>
      </c>
      <c r="X64" s="64">
        <v>14.2</v>
      </c>
      <c r="Y64" s="64">
        <v>14</v>
      </c>
      <c r="Z64" s="64">
        <v>7.5</v>
      </c>
      <c r="AA64" s="64">
        <v>10.9</v>
      </c>
      <c r="AB64" s="64">
        <v>10.9</v>
      </c>
      <c r="AC64" s="64">
        <v>10.9</v>
      </c>
      <c r="AD64" s="64">
        <v>10.9</v>
      </c>
      <c r="AE64" s="64">
        <v>10.9</v>
      </c>
      <c r="AF64" s="64">
        <v>2.2999999999999998</v>
      </c>
      <c r="AG64" s="54">
        <v>14</v>
      </c>
      <c r="AH64" s="47">
        <f t="shared" si="2"/>
        <v>14.3</v>
      </c>
      <c r="AI64" s="48">
        <f t="shared" si="3"/>
        <v>2.2999999999999998</v>
      </c>
      <c r="AK64" s="74"/>
    </row>
    <row r="65" spans="1:40" x14ac:dyDescent="0.25">
      <c r="A65" s="53" t="s">
        <v>81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>
        <v>9</v>
      </c>
      <c r="H65" s="64">
        <v>9</v>
      </c>
      <c r="I65" s="64">
        <v>9</v>
      </c>
      <c r="J65" s="64">
        <v>9</v>
      </c>
      <c r="K65" s="64">
        <v>9</v>
      </c>
      <c r="L65" s="64">
        <v>9</v>
      </c>
      <c r="M65" s="64">
        <v>9</v>
      </c>
      <c r="N65" s="64">
        <v>9</v>
      </c>
      <c r="O65" s="64">
        <v>9</v>
      </c>
      <c r="P65" s="64">
        <v>9</v>
      </c>
      <c r="Q65" s="64">
        <v>9</v>
      </c>
      <c r="R65" s="64">
        <v>9</v>
      </c>
      <c r="S65" s="64">
        <v>9</v>
      </c>
      <c r="T65" s="64">
        <v>9</v>
      </c>
      <c r="U65" s="64">
        <v>9</v>
      </c>
      <c r="V65" s="64">
        <v>9</v>
      </c>
      <c r="W65" s="64">
        <v>9</v>
      </c>
      <c r="X65" s="64">
        <v>9</v>
      </c>
      <c r="Y65" s="64">
        <v>9</v>
      </c>
      <c r="Z65" s="64">
        <v>9</v>
      </c>
      <c r="AA65" s="64">
        <v>9</v>
      </c>
      <c r="AB65" s="64">
        <v>9</v>
      </c>
      <c r="AC65" s="64">
        <v>9</v>
      </c>
      <c r="AD65" s="64">
        <v>9</v>
      </c>
      <c r="AE65" s="64">
        <v>9</v>
      </c>
      <c r="AF65" s="64">
        <v>9</v>
      </c>
      <c r="AG65" s="54">
        <v>10.050000000000001</v>
      </c>
      <c r="AH65" s="47">
        <f t="shared" si="2"/>
        <v>9</v>
      </c>
      <c r="AI65" s="48">
        <f t="shared" si="3"/>
        <v>9</v>
      </c>
      <c r="AK65" s="74"/>
    </row>
    <row r="66" spans="1:40" x14ac:dyDescent="0.25">
      <c r="A66" s="53" t="s">
        <v>82</v>
      </c>
      <c r="B66" s="64">
        <v>3</v>
      </c>
      <c r="C66" s="64">
        <v>3</v>
      </c>
      <c r="D66" s="64">
        <v>3</v>
      </c>
      <c r="E66" s="64">
        <v>3</v>
      </c>
      <c r="F66" s="64">
        <v>3</v>
      </c>
      <c r="G66" s="64">
        <v>3</v>
      </c>
      <c r="H66" s="64">
        <v>3</v>
      </c>
      <c r="I66" s="64">
        <v>3</v>
      </c>
      <c r="J66" s="64">
        <v>3</v>
      </c>
      <c r="K66" s="64">
        <v>3</v>
      </c>
      <c r="L66" s="64">
        <v>3</v>
      </c>
      <c r="M66" s="64">
        <v>3</v>
      </c>
      <c r="N66" s="64">
        <v>3</v>
      </c>
      <c r="O66" s="64">
        <v>3</v>
      </c>
      <c r="P66" s="64">
        <v>3</v>
      </c>
      <c r="Q66" s="64">
        <v>3</v>
      </c>
      <c r="R66" s="64">
        <v>3</v>
      </c>
      <c r="S66" s="64">
        <v>3</v>
      </c>
      <c r="T66" s="64">
        <v>3</v>
      </c>
      <c r="U66" s="64">
        <v>3</v>
      </c>
      <c r="V66" s="64">
        <v>3</v>
      </c>
      <c r="W66" s="64">
        <v>3</v>
      </c>
      <c r="X66" s="64">
        <v>3</v>
      </c>
      <c r="Y66" s="64">
        <v>3</v>
      </c>
      <c r="Z66" s="64">
        <v>3</v>
      </c>
      <c r="AA66" s="64">
        <v>3</v>
      </c>
      <c r="AB66" s="64">
        <v>3</v>
      </c>
      <c r="AC66" s="64">
        <v>3</v>
      </c>
      <c r="AD66" s="64">
        <v>3</v>
      </c>
      <c r="AE66" s="64">
        <v>3</v>
      </c>
      <c r="AF66" s="64">
        <v>3</v>
      </c>
      <c r="AG66" s="54">
        <v>6.2</v>
      </c>
      <c r="AH66" s="47">
        <f t="shared" si="2"/>
        <v>3</v>
      </c>
      <c r="AI66" s="48">
        <f t="shared" si="3"/>
        <v>3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v>382.74000000000007</v>
      </c>
      <c r="C68" s="59">
        <f t="shared" ref="C68:AG68" si="8">SUM(C55:C67)</f>
        <v>382.74000000000007</v>
      </c>
      <c r="D68" s="59">
        <f t="shared" si="8"/>
        <v>382.74000000000007</v>
      </c>
      <c r="E68" s="59">
        <f t="shared" si="8"/>
        <v>382.74000000000007</v>
      </c>
      <c r="F68" s="59">
        <f t="shared" si="8"/>
        <v>353.94</v>
      </c>
      <c r="G68" s="59">
        <f t="shared" si="8"/>
        <v>353.94</v>
      </c>
      <c r="H68" s="59">
        <f t="shared" si="8"/>
        <v>353.94</v>
      </c>
      <c r="I68" s="59">
        <f t="shared" si="8"/>
        <v>353.94</v>
      </c>
      <c r="J68" s="59">
        <f t="shared" si="8"/>
        <v>363.94</v>
      </c>
      <c r="K68" s="59">
        <f t="shared" si="8"/>
        <v>363.94</v>
      </c>
      <c r="L68" s="59">
        <f t="shared" si="8"/>
        <v>363.94</v>
      </c>
      <c r="M68" s="59">
        <f t="shared" si="8"/>
        <v>387.04</v>
      </c>
      <c r="N68" s="59">
        <f t="shared" si="8"/>
        <v>393.04</v>
      </c>
      <c r="O68" s="59">
        <f t="shared" si="8"/>
        <v>338.94000000000005</v>
      </c>
      <c r="P68" s="59">
        <f t="shared" si="8"/>
        <v>344.34000000000003</v>
      </c>
      <c r="Q68" s="59">
        <f t="shared" si="8"/>
        <v>323.24</v>
      </c>
      <c r="R68" s="59">
        <f t="shared" si="8"/>
        <v>355.94000000000005</v>
      </c>
      <c r="S68" s="59">
        <f t="shared" si="8"/>
        <v>382.24</v>
      </c>
      <c r="T68" s="59">
        <f t="shared" si="8"/>
        <v>398.84000000000003</v>
      </c>
      <c r="U68" s="59">
        <f t="shared" si="8"/>
        <v>395.24</v>
      </c>
      <c r="V68" s="59">
        <f t="shared" si="8"/>
        <v>365.74</v>
      </c>
      <c r="W68" s="59">
        <f t="shared" si="8"/>
        <v>383.04</v>
      </c>
      <c r="X68" s="59">
        <f t="shared" si="8"/>
        <v>390.84000000000003</v>
      </c>
      <c r="Y68" s="59">
        <f t="shared" si="8"/>
        <v>389.84000000000003</v>
      </c>
      <c r="Z68" s="59">
        <f t="shared" si="8"/>
        <v>374.14</v>
      </c>
      <c r="AA68" s="59">
        <f t="shared" si="8"/>
        <v>383.53999999999996</v>
      </c>
      <c r="AB68" s="59">
        <f t="shared" si="8"/>
        <v>383.53999999999996</v>
      </c>
      <c r="AC68" s="59">
        <f t="shared" si="8"/>
        <v>384.34</v>
      </c>
      <c r="AD68" s="59">
        <f t="shared" si="8"/>
        <v>384.34</v>
      </c>
      <c r="AE68" s="59">
        <f t="shared" si="8"/>
        <v>384.34</v>
      </c>
      <c r="AF68" s="59">
        <f t="shared" si="8"/>
        <v>373.64</v>
      </c>
      <c r="AG68" s="60">
        <f t="shared" si="8"/>
        <v>489.91</v>
      </c>
      <c r="AH68" s="47">
        <f t="shared" si="2"/>
        <v>398.84000000000003</v>
      </c>
      <c r="AI68" s="48">
        <f t="shared" si="3"/>
        <v>323.24</v>
      </c>
      <c r="AK68" s="74"/>
    </row>
    <row r="69" spans="1:40" x14ac:dyDescent="0.25">
      <c r="A69" s="44" t="s">
        <v>85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44.3</v>
      </c>
      <c r="AC69" s="45">
        <v>45</v>
      </c>
      <c r="AD69" s="45">
        <v>30</v>
      </c>
      <c r="AE69" s="45">
        <v>43.8</v>
      </c>
      <c r="AF69" s="45">
        <v>14</v>
      </c>
      <c r="AG69" s="51">
        <v>60</v>
      </c>
      <c r="AH69" s="47">
        <f t="shared" si="2"/>
        <v>45</v>
      </c>
      <c r="AI69" s="48">
        <f t="shared" si="3"/>
        <v>0</v>
      </c>
      <c r="AK69" s="74"/>
    </row>
    <row r="70" spans="1:40" x14ac:dyDescent="0.25">
      <c r="A70" s="53" t="s">
        <v>86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20.6</v>
      </c>
      <c r="AC70" s="64">
        <v>25.5</v>
      </c>
      <c r="AD70" s="64">
        <v>12.8</v>
      </c>
      <c r="AE70" s="64">
        <v>14.3</v>
      </c>
      <c r="AF70" s="64">
        <v>10.8</v>
      </c>
      <c r="AG70" s="54">
        <v>32</v>
      </c>
      <c r="AH70" s="47">
        <f t="shared" si="2"/>
        <v>25.5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7.5</v>
      </c>
      <c r="AC71" s="66">
        <v>9.3000000000000007</v>
      </c>
      <c r="AD71" s="66">
        <v>4.7</v>
      </c>
      <c r="AE71" s="66">
        <v>5.2</v>
      </c>
      <c r="AF71" s="66">
        <v>4</v>
      </c>
      <c r="AG71" s="67">
        <v>14</v>
      </c>
      <c r="AH71" s="47">
        <f t="shared" si="2"/>
        <v>9.3000000000000007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F72" si="9">M69+M70+M71</f>
        <v>0</v>
      </c>
      <c r="N72" s="59">
        <f t="shared" si="9"/>
        <v>0</v>
      </c>
      <c r="O72" s="59">
        <f t="shared" si="9"/>
        <v>0</v>
      </c>
      <c r="P72" s="59">
        <f t="shared" si="9"/>
        <v>0</v>
      </c>
      <c r="Q72" s="59">
        <f t="shared" si="9"/>
        <v>0</v>
      </c>
      <c r="R72" s="59">
        <f t="shared" si="9"/>
        <v>0</v>
      </c>
      <c r="S72" s="59">
        <f t="shared" si="9"/>
        <v>0</v>
      </c>
      <c r="T72" s="59">
        <f t="shared" si="9"/>
        <v>0</v>
      </c>
      <c r="U72" s="59">
        <f t="shared" si="9"/>
        <v>0</v>
      </c>
      <c r="V72" s="59">
        <f t="shared" si="9"/>
        <v>0</v>
      </c>
      <c r="W72" s="59">
        <f t="shared" si="9"/>
        <v>0</v>
      </c>
      <c r="X72" s="59">
        <f t="shared" si="9"/>
        <v>0</v>
      </c>
      <c r="Y72" s="59">
        <f t="shared" si="9"/>
        <v>0</v>
      </c>
      <c r="Z72" s="59">
        <f t="shared" si="9"/>
        <v>0</v>
      </c>
      <c r="AA72" s="59">
        <f t="shared" si="9"/>
        <v>0</v>
      </c>
      <c r="AB72" s="59">
        <f t="shared" si="9"/>
        <v>72.400000000000006</v>
      </c>
      <c r="AC72" s="59">
        <f t="shared" si="9"/>
        <v>79.8</v>
      </c>
      <c r="AD72" s="59">
        <f t="shared" si="9"/>
        <v>47.5</v>
      </c>
      <c r="AE72" s="59">
        <f t="shared" si="9"/>
        <v>63.3</v>
      </c>
      <c r="AF72" s="59">
        <f t="shared" si="9"/>
        <v>28.8</v>
      </c>
      <c r="AG72" s="60">
        <f>SUM(AG69:AG71)</f>
        <v>106</v>
      </c>
      <c r="AH72" s="47">
        <f t="shared" si="2"/>
        <v>79.8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56</v>
      </c>
      <c r="C73" s="45">
        <v>67</v>
      </c>
      <c r="D73" s="45">
        <v>72</v>
      </c>
      <c r="E73" s="45">
        <v>62</v>
      </c>
      <c r="F73" s="45">
        <v>60</v>
      </c>
      <c r="G73" s="45">
        <v>60</v>
      </c>
      <c r="H73" s="45">
        <v>60</v>
      </c>
      <c r="I73" s="45">
        <v>62.4</v>
      </c>
      <c r="J73" s="45">
        <v>65</v>
      </c>
      <c r="K73" s="45">
        <v>63.3</v>
      </c>
      <c r="L73" s="45">
        <v>50</v>
      </c>
      <c r="M73" s="45">
        <v>47.6</v>
      </c>
      <c r="N73" s="45">
        <v>12.4</v>
      </c>
      <c r="O73" s="45">
        <v>13.4</v>
      </c>
      <c r="P73" s="45">
        <v>12.7</v>
      </c>
      <c r="Q73" s="45">
        <v>6.3</v>
      </c>
      <c r="R73" s="45">
        <v>18.5</v>
      </c>
      <c r="S73" s="45">
        <v>22.3</v>
      </c>
      <c r="T73" s="45">
        <v>13</v>
      </c>
      <c r="U73" s="45">
        <v>1.7</v>
      </c>
      <c r="V73" s="45">
        <v>32</v>
      </c>
      <c r="W73" s="45">
        <v>23.3</v>
      </c>
      <c r="X73" s="45">
        <v>28.2</v>
      </c>
      <c r="Y73" s="45">
        <v>27</v>
      </c>
      <c r="Z73" s="45">
        <v>33.200000000000003</v>
      </c>
      <c r="AA73" s="45">
        <v>38</v>
      </c>
      <c r="AB73" s="45">
        <v>65</v>
      </c>
      <c r="AC73" s="45">
        <v>73.900000000000006</v>
      </c>
      <c r="AD73" s="45">
        <v>67.400000000000006</v>
      </c>
      <c r="AE73" s="45">
        <v>59.9</v>
      </c>
      <c r="AF73" s="45">
        <v>55.7</v>
      </c>
      <c r="AG73" s="51"/>
      <c r="AH73" s="47">
        <f t="shared" si="2"/>
        <v>73.900000000000006</v>
      </c>
      <c r="AI73" s="48">
        <f t="shared" si="3"/>
        <v>1.7</v>
      </c>
      <c r="AK73" s="74"/>
    </row>
    <row r="74" spans="1:40" x14ac:dyDescent="0.25">
      <c r="A74" s="53" t="s">
        <v>90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-270</v>
      </c>
      <c r="C75" s="64">
        <v>-230</v>
      </c>
      <c r="D75" s="64">
        <v>-160</v>
      </c>
      <c r="E75" s="64">
        <v>-300</v>
      </c>
      <c r="F75" s="64">
        <v>-400</v>
      </c>
      <c r="G75" s="64">
        <v>-410</v>
      </c>
      <c r="H75" s="64">
        <v>-380</v>
      </c>
      <c r="I75" s="64">
        <v>-390</v>
      </c>
      <c r="J75" s="64">
        <v>-400</v>
      </c>
      <c r="K75" s="64">
        <v>-409</v>
      </c>
      <c r="L75" s="64">
        <v>-420</v>
      </c>
      <c r="M75" s="64">
        <v>-447</v>
      </c>
      <c r="N75" s="64">
        <v>-359</v>
      </c>
      <c r="O75" s="64">
        <v>-312.8</v>
      </c>
      <c r="P75" s="64">
        <v>-274.89999999999998</v>
      </c>
      <c r="Q75" s="64">
        <v>-243</v>
      </c>
      <c r="R75" s="64">
        <v>-254.1</v>
      </c>
      <c r="S75" s="64">
        <v>-297</v>
      </c>
      <c r="T75" s="64">
        <v>-243</v>
      </c>
      <c r="U75" s="64">
        <v>-256</v>
      </c>
      <c r="V75" s="64">
        <v>-258</v>
      </c>
      <c r="W75" s="64">
        <v>-290</v>
      </c>
      <c r="X75" s="64">
        <v>-295</v>
      </c>
      <c r="Y75" s="64">
        <v>-327</v>
      </c>
      <c r="Z75" s="64">
        <v>-290</v>
      </c>
      <c r="AA75" s="64">
        <v>-177</v>
      </c>
      <c r="AB75" s="64">
        <v>-241.1</v>
      </c>
      <c r="AC75" s="64">
        <v>-247.5</v>
      </c>
      <c r="AD75" s="64">
        <v>-226</v>
      </c>
      <c r="AE75" s="64">
        <v>-201.6</v>
      </c>
      <c r="AF75" s="64">
        <v>-255</v>
      </c>
      <c r="AG75" s="75"/>
      <c r="AH75" s="47">
        <f t="shared" si="2"/>
        <v>-160</v>
      </c>
      <c r="AI75" s="48">
        <f t="shared" si="3"/>
        <v>-447</v>
      </c>
      <c r="AK75" s="74"/>
    </row>
    <row r="76" spans="1:40" x14ac:dyDescent="0.25">
      <c r="A76" s="53" t="s">
        <v>92</v>
      </c>
      <c r="B76" s="64">
        <v>10</v>
      </c>
      <c r="C76" s="64">
        <v>10</v>
      </c>
      <c r="D76" s="64">
        <v>10</v>
      </c>
      <c r="E76" s="64">
        <v>10</v>
      </c>
      <c r="F76" s="64">
        <v>10</v>
      </c>
      <c r="G76" s="64">
        <v>10</v>
      </c>
      <c r="H76" s="64">
        <v>10</v>
      </c>
      <c r="I76" s="64">
        <v>10</v>
      </c>
      <c r="J76" s="64">
        <v>10</v>
      </c>
      <c r="K76" s="76">
        <v>10</v>
      </c>
      <c r="L76" s="76">
        <v>10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64">
        <v>0</v>
      </c>
      <c r="AE76" s="76">
        <v>0</v>
      </c>
      <c r="AF76" s="76">
        <v>0</v>
      </c>
      <c r="AG76" s="75"/>
      <c r="AH76" s="47">
        <f t="shared" si="2"/>
        <v>10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30</v>
      </c>
      <c r="C77" s="45">
        <v>30</v>
      </c>
      <c r="D77" s="45">
        <v>30</v>
      </c>
      <c r="E77" s="45">
        <v>30</v>
      </c>
      <c r="F77" s="45">
        <v>30</v>
      </c>
      <c r="G77" s="45">
        <v>30</v>
      </c>
      <c r="H77" s="45">
        <v>30</v>
      </c>
      <c r="I77" s="45">
        <v>16</v>
      </c>
      <c r="J77" s="45">
        <v>14</v>
      </c>
      <c r="K77" s="45">
        <v>14</v>
      </c>
      <c r="L77" s="45">
        <v>12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15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10">MAX(B77:AF77)</f>
        <v>30</v>
      </c>
      <c r="AI77" s="48">
        <f t="shared" ref="AI77:AI120" si="11">MIN(B77:AF77)</f>
        <v>0</v>
      </c>
      <c r="AK77" s="74"/>
    </row>
    <row r="78" spans="1:40" x14ac:dyDescent="0.25">
      <c r="A78" s="53" t="s">
        <v>94</v>
      </c>
      <c r="B78" s="45">
        <v>5</v>
      </c>
      <c r="C78" s="45">
        <v>5</v>
      </c>
      <c r="D78" s="45">
        <v>5</v>
      </c>
      <c r="E78" s="45">
        <v>5</v>
      </c>
      <c r="F78" s="45">
        <v>5</v>
      </c>
      <c r="G78" s="45">
        <v>5</v>
      </c>
      <c r="H78" s="45">
        <v>5</v>
      </c>
      <c r="I78" s="45">
        <v>5</v>
      </c>
      <c r="J78" s="45">
        <v>5</v>
      </c>
      <c r="K78" s="77">
        <v>5</v>
      </c>
      <c r="L78" s="77">
        <v>5</v>
      </c>
      <c r="M78" s="77">
        <v>5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0"/>
        <v>5</v>
      </c>
      <c r="AI78" s="48">
        <f t="shared" si="11"/>
        <v>0</v>
      </c>
      <c r="AK78" s="74"/>
    </row>
    <row r="79" spans="1:40" ht="15.75" thickBot="1" x14ac:dyDescent="0.3">
      <c r="A79" s="53" t="s">
        <v>95</v>
      </c>
      <c r="B79" s="45"/>
      <c r="C79" s="45"/>
      <c r="D79" s="45"/>
      <c r="E79" s="77"/>
      <c r="F79" s="77"/>
      <c r="G79" s="77"/>
      <c r="H79" s="77"/>
      <c r="I79" s="77"/>
      <c r="J79" s="77"/>
      <c r="K79" s="77"/>
      <c r="L79" s="77"/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0"/>
        <v>0</v>
      </c>
      <c r="AI79" s="48">
        <f t="shared" si="11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/>
      <c r="C80" s="45"/>
      <c r="D80" s="45"/>
      <c r="E80" s="77"/>
      <c r="F80" s="77"/>
      <c r="G80" s="77"/>
      <c r="H80" s="77"/>
      <c r="I80" s="77"/>
      <c r="J80" s="77"/>
      <c r="K80" s="77"/>
      <c r="L80" s="77"/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10"/>
        <v>0</v>
      </c>
      <c r="AI80" s="48">
        <f t="shared" si="11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/>
      <c r="C81" s="45"/>
      <c r="D81" s="45"/>
      <c r="E81" s="77"/>
      <c r="F81" s="77"/>
      <c r="G81" s="77"/>
      <c r="H81" s="77"/>
      <c r="I81" s="77"/>
      <c r="J81" s="77"/>
      <c r="K81" s="77"/>
      <c r="L81" s="77"/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0"/>
        <v>0</v>
      </c>
      <c r="AI81" s="48">
        <f t="shared" si="11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/>
      <c r="C82" s="45"/>
      <c r="D82" s="45"/>
      <c r="E82" s="77"/>
      <c r="F82" s="77"/>
      <c r="G82" s="77"/>
      <c r="H82" s="77"/>
      <c r="I82" s="77"/>
      <c r="J82" s="77"/>
      <c r="K82" s="77"/>
      <c r="L82" s="77"/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0"/>
        <v>0</v>
      </c>
      <c r="AI82" s="48">
        <f t="shared" si="11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/>
      <c r="C83" s="45"/>
      <c r="D83" s="45"/>
      <c r="E83" s="77"/>
      <c r="F83" s="77"/>
      <c r="G83" s="77"/>
      <c r="H83" s="77"/>
      <c r="I83" s="77"/>
      <c r="J83" s="77"/>
      <c r="K83" s="77"/>
      <c r="L83" s="77"/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0"/>
        <v>0</v>
      </c>
      <c r="AI83" s="48">
        <f t="shared" si="11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v>99</v>
      </c>
      <c r="C84" s="59">
        <f t="shared" ref="C84:AF84" si="12">SUMIF(C73:C83,"&gt;0")</f>
        <v>112</v>
      </c>
      <c r="D84" s="59">
        <f t="shared" si="12"/>
        <v>117</v>
      </c>
      <c r="E84" s="59">
        <f t="shared" si="12"/>
        <v>107</v>
      </c>
      <c r="F84" s="59">
        <f t="shared" si="12"/>
        <v>105</v>
      </c>
      <c r="G84" s="59">
        <f t="shared" si="12"/>
        <v>105</v>
      </c>
      <c r="H84" s="59">
        <f t="shared" si="12"/>
        <v>105</v>
      </c>
      <c r="I84" s="59">
        <f t="shared" si="12"/>
        <v>93.4</v>
      </c>
      <c r="J84" s="59">
        <f t="shared" si="12"/>
        <v>94</v>
      </c>
      <c r="K84" s="59">
        <f t="shared" si="12"/>
        <v>92.3</v>
      </c>
      <c r="L84" s="59">
        <f t="shared" si="12"/>
        <v>77</v>
      </c>
      <c r="M84" s="59">
        <f t="shared" si="12"/>
        <v>52.6</v>
      </c>
      <c r="N84" s="59">
        <f t="shared" si="12"/>
        <v>12.4</v>
      </c>
      <c r="O84" s="59">
        <f t="shared" si="12"/>
        <v>13.4</v>
      </c>
      <c r="P84" s="59">
        <f t="shared" si="12"/>
        <v>12.7</v>
      </c>
      <c r="Q84" s="59">
        <f t="shared" si="12"/>
        <v>6.3</v>
      </c>
      <c r="R84" s="59">
        <f t="shared" si="12"/>
        <v>18.5</v>
      </c>
      <c r="S84" s="59">
        <f t="shared" si="12"/>
        <v>22.3</v>
      </c>
      <c r="T84" s="59">
        <f t="shared" si="12"/>
        <v>13</v>
      </c>
      <c r="U84" s="59">
        <f t="shared" si="12"/>
        <v>1.7</v>
      </c>
      <c r="V84" s="59">
        <f t="shared" si="12"/>
        <v>32</v>
      </c>
      <c r="W84" s="59">
        <f t="shared" si="12"/>
        <v>23.3</v>
      </c>
      <c r="X84" s="59">
        <f t="shared" si="12"/>
        <v>28.2</v>
      </c>
      <c r="Y84" s="59">
        <f t="shared" si="12"/>
        <v>27</v>
      </c>
      <c r="Z84" s="59">
        <f t="shared" si="12"/>
        <v>33.200000000000003</v>
      </c>
      <c r="AA84" s="59">
        <f t="shared" si="12"/>
        <v>53</v>
      </c>
      <c r="AB84" s="59">
        <f t="shared" si="12"/>
        <v>65</v>
      </c>
      <c r="AC84" s="59">
        <f t="shared" si="12"/>
        <v>73.900000000000006</v>
      </c>
      <c r="AD84" s="59">
        <f t="shared" si="12"/>
        <v>67.400000000000006</v>
      </c>
      <c r="AE84" s="59">
        <f t="shared" si="12"/>
        <v>59.9</v>
      </c>
      <c r="AF84" s="59">
        <f t="shared" si="12"/>
        <v>55.7</v>
      </c>
      <c r="AG84" s="88">
        <f>SUM(AG73:AG83)</f>
        <v>0</v>
      </c>
      <c r="AH84" s="47">
        <f t="shared" si="10"/>
        <v>117</v>
      </c>
      <c r="AI84" s="48">
        <f t="shared" si="11"/>
        <v>1.7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0"/>
        <v>0</v>
      </c>
      <c r="AI85" s="48">
        <f t="shared" si="11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0"/>
        <v>0</v>
      </c>
      <c r="AI86" s="48">
        <f t="shared" si="11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0"/>
        <v>0</v>
      </c>
      <c r="AI87" s="48">
        <f t="shared" si="11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10"/>
        <v>0</v>
      </c>
      <c r="AI88" s="48">
        <f t="shared" si="11"/>
        <v>0</v>
      </c>
    </row>
    <row r="89" spans="1:40" ht="15.75" thickBot="1" x14ac:dyDescent="0.3">
      <c r="A89" s="73" t="s">
        <v>108</v>
      </c>
      <c r="B89" s="95">
        <v>1968.34</v>
      </c>
      <c r="C89" s="95">
        <f t="shared" ref="C89:AG89" si="13">C50+C54+C72+C68+C84+C88</f>
        <v>1954.34</v>
      </c>
      <c r="D89" s="95">
        <f t="shared" si="13"/>
        <v>1881.54</v>
      </c>
      <c r="E89" s="95">
        <f t="shared" si="13"/>
        <v>1865.54</v>
      </c>
      <c r="F89" s="95">
        <f t="shared" si="13"/>
        <v>1834.74</v>
      </c>
      <c r="G89" s="95">
        <f t="shared" si="13"/>
        <v>1834.74</v>
      </c>
      <c r="H89" s="95">
        <f t="shared" si="13"/>
        <v>1834.74</v>
      </c>
      <c r="I89" s="95">
        <f t="shared" si="13"/>
        <v>1823.14</v>
      </c>
      <c r="J89" s="95">
        <f t="shared" si="13"/>
        <v>1833.74</v>
      </c>
      <c r="K89" s="95">
        <f t="shared" si="13"/>
        <v>1837.04</v>
      </c>
      <c r="L89" s="95">
        <f t="shared" si="13"/>
        <v>1821.74</v>
      </c>
      <c r="M89" s="95">
        <f t="shared" si="13"/>
        <v>1840.3399999999997</v>
      </c>
      <c r="N89" s="95">
        <f t="shared" si="13"/>
        <v>1792.3400000000001</v>
      </c>
      <c r="O89" s="95">
        <f t="shared" si="13"/>
        <v>1752.2400000000002</v>
      </c>
      <c r="P89" s="95">
        <f t="shared" si="13"/>
        <v>1756.9400000000003</v>
      </c>
      <c r="Q89" s="95">
        <f t="shared" si="13"/>
        <v>1713.44</v>
      </c>
      <c r="R89" s="95">
        <f t="shared" si="13"/>
        <v>1734.1399999999999</v>
      </c>
      <c r="S89" s="95">
        <f t="shared" si="13"/>
        <v>1765.2399999999998</v>
      </c>
      <c r="T89" s="95">
        <f t="shared" si="13"/>
        <v>1768.54</v>
      </c>
      <c r="U89" s="95">
        <f t="shared" si="13"/>
        <v>1756.04</v>
      </c>
      <c r="V89" s="95">
        <f t="shared" si="13"/>
        <v>1738.34</v>
      </c>
      <c r="W89" s="95">
        <f t="shared" si="13"/>
        <v>1725.9399999999998</v>
      </c>
      <c r="X89" s="95">
        <f t="shared" si="13"/>
        <v>1763.24</v>
      </c>
      <c r="Y89" s="95">
        <f t="shared" si="13"/>
        <v>1777.04</v>
      </c>
      <c r="Z89" s="95">
        <f t="shared" si="13"/>
        <v>1819.5399999999997</v>
      </c>
      <c r="AA89" s="95">
        <f t="shared" si="13"/>
        <v>1878.6399999999999</v>
      </c>
      <c r="AB89" s="95">
        <f t="shared" si="13"/>
        <v>1973.1399999999999</v>
      </c>
      <c r="AC89" s="95">
        <f t="shared" si="13"/>
        <v>2003.04</v>
      </c>
      <c r="AD89" s="95">
        <f t="shared" si="13"/>
        <v>1954.24</v>
      </c>
      <c r="AE89" s="95">
        <f t="shared" si="13"/>
        <v>1960.54</v>
      </c>
      <c r="AF89" s="95">
        <f t="shared" si="13"/>
        <v>1881.34</v>
      </c>
      <c r="AG89" s="60">
        <f t="shared" si="13"/>
        <v>2111.5500000000002</v>
      </c>
      <c r="AH89" s="47">
        <f t="shared" si="10"/>
        <v>2003.04</v>
      </c>
      <c r="AI89" s="48">
        <f t="shared" si="11"/>
        <v>1713.44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10"/>
        <v>0</v>
      </c>
      <c r="AI90" s="48">
        <f t="shared" si="11"/>
        <v>0</v>
      </c>
    </row>
    <row r="91" spans="1:40" ht="15.75" thickBot="1" x14ac:dyDescent="0.3">
      <c r="A91" s="73" t="s">
        <v>110</v>
      </c>
      <c r="B91" s="95">
        <v>1968.34</v>
      </c>
      <c r="C91" s="95">
        <f t="shared" ref="C91:AF91" si="14">C89+C90</f>
        <v>1954.34</v>
      </c>
      <c r="D91" s="95">
        <f t="shared" si="14"/>
        <v>1881.54</v>
      </c>
      <c r="E91" s="95">
        <f t="shared" si="14"/>
        <v>1865.54</v>
      </c>
      <c r="F91" s="95">
        <f t="shared" si="14"/>
        <v>1834.74</v>
      </c>
      <c r="G91" s="95">
        <f t="shared" si="14"/>
        <v>1834.74</v>
      </c>
      <c r="H91" s="95">
        <f t="shared" si="14"/>
        <v>1834.74</v>
      </c>
      <c r="I91" s="95">
        <f t="shared" si="14"/>
        <v>1823.14</v>
      </c>
      <c r="J91" s="95">
        <f t="shared" si="14"/>
        <v>1833.74</v>
      </c>
      <c r="K91" s="95">
        <f t="shared" si="14"/>
        <v>1837.04</v>
      </c>
      <c r="L91" s="95">
        <f t="shared" si="14"/>
        <v>1821.74</v>
      </c>
      <c r="M91" s="95">
        <f t="shared" si="14"/>
        <v>1840.3399999999997</v>
      </c>
      <c r="N91" s="95">
        <f t="shared" si="14"/>
        <v>1792.3400000000001</v>
      </c>
      <c r="O91" s="95">
        <f t="shared" si="14"/>
        <v>1752.2400000000002</v>
      </c>
      <c r="P91" s="95">
        <f t="shared" si="14"/>
        <v>1756.9400000000003</v>
      </c>
      <c r="Q91" s="95">
        <f t="shared" si="14"/>
        <v>1713.44</v>
      </c>
      <c r="R91" s="95">
        <f t="shared" si="14"/>
        <v>1734.1399999999999</v>
      </c>
      <c r="S91" s="95">
        <f t="shared" si="14"/>
        <v>1765.2399999999998</v>
      </c>
      <c r="T91" s="95">
        <f t="shared" si="14"/>
        <v>1768.54</v>
      </c>
      <c r="U91" s="95">
        <f t="shared" si="14"/>
        <v>1756.04</v>
      </c>
      <c r="V91" s="95">
        <f t="shared" si="14"/>
        <v>1738.34</v>
      </c>
      <c r="W91" s="95">
        <f t="shared" si="14"/>
        <v>1725.9399999999998</v>
      </c>
      <c r="X91" s="95">
        <f t="shared" si="14"/>
        <v>1763.24</v>
      </c>
      <c r="Y91" s="95">
        <f t="shared" si="14"/>
        <v>1777.04</v>
      </c>
      <c r="Z91" s="95">
        <f t="shared" si="14"/>
        <v>1819.5399999999997</v>
      </c>
      <c r="AA91" s="95">
        <f t="shared" si="14"/>
        <v>1878.6399999999999</v>
      </c>
      <c r="AB91" s="95">
        <f t="shared" si="14"/>
        <v>1973.1399999999999</v>
      </c>
      <c r="AC91" s="95">
        <f t="shared" si="14"/>
        <v>2003.04</v>
      </c>
      <c r="AD91" s="95">
        <f t="shared" si="14"/>
        <v>1954.24</v>
      </c>
      <c r="AE91" s="95">
        <f t="shared" si="14"/>
        <v>1960.54</v>
      </c>
      <c r="AF91" s="95">
        <f t="shared" si="14"/>
        <v>1881.34</v>
      </c>
      <c r="AG91" s="88">
        <f>AG88+AG84+AG72+AG68+AG50+AG90</f>
        <v>1573.45</v>
      </c>
      <c r="AH91" s="47">
        <f t="shared" si="10"/>
        <v>2003.04</v>
      </c>
      <c r="AI91" s="48">
        <f t="shared" si="11"/>
        <v>1713.44</v>
      </c>
    </row>
    <row r="92" spans="1:40" ht="15.75" thickBot="1" x14ac:dyDescent="0.3">
      <c r="A92" s="73" t="s">
        <v>111</v>
      </c>
      <c r="B92" s="95">
        <v>1968.34</v>
      </c>
      <c r="C92" s="95">
        <f t="shared" ref="C92:AF92" si="15">C91-C99</f>
        <v>1954.34</v>
      </c>
      <c r="D92" s="95">
        <f t="shared" si="15"/>
        <v>1881.54</v>
      </c>
      <c r="E92" s="95">
        <f t="shared" si="15"/>
        <v>1865.54</v>
      </c>
      <c r="F92" s="95">
        <f t="shared" si="15"/>
        <v>1834.74</v>
      </c>
      <c r="G92" s="95">
        <f t="shared" si="15"/>
        <v>1834.74</v>
      </c>
      <c r="H92" s="95">
        <f t="shared" si="15"/>
        <v>1834.74</v>
      </c>
      <c r="I92" s="95">
        <f t="shared" si="15"/>
        <v>1823.14</v>
      </c>
      <c r="J92" s="95">
        <f t="shared" si="15"/>
        <v>1833.74</v>
      </c>
      <c r="K92" s="95">
        <f t="shared" si="15"/>
        <v>1837.04</v>
      </c>
      <c r="L92" s="95">
        <f t="shared" si="15"/>
        <v>1821.74</v>
      </c>
      <c r="M92" s="95">
        <f t="shared" si="15"/>
        <v>1840.3399999999997</v>
      </c>
      <c r="N92" s="95">
        <f t="shared" si="15"/>
        <v>1792.3400000000001</v>
      </c>
      <c r="O92" s="95">
        <f t="shared" si="15"/>
        <v>1752.2400000000002</v>
      </c>
      <c r="P92" s="95">
        <f t="shared" si="15"/>
        <v>1756.9400000000003</v>
      </c>
      <c r="Q92" s="95">
        <f t="shared" si="15"/>
        <v>1713.44</v>
      </c>
      <c r="R92" s="95">
        <f t="shared" si="15"/>
        <v>1734.1399999999999</v>
      </c>
      <c r="S92" s="95">
        <f t="shared" si="15"/>
        <v>1765.2399999999998</v>
      </c>
      <c r="T92" s="95">
        <f t="shared" si="15"/>
        <v>1768.54</v>
      </c>
      <c r="U92" s="95">
        <f t="shared" si="15"/>
        <v>1756.04</v>
      </c>
      <c r="V92" s="95">
        <f t="shared" si="15"/>
        <v>1738.34</v>
      </c>
      <c r="W92" s="95">
        <f t="shared" si="15"/>
        <v>1725.9399999999998</v>
      </c>
      <c r="X92" s="95">
        <f t="shared" si="15"/>
        <v>1763.24</v>
      </c>
      <c r="Y92" s="95">
        <f t="shared" si="15"/>
        <v>1777.04</v>
      </c>
      <c r="Z92" s="95">
        <f t="shared" si="15"/>
        <v>1819.5399999999997</v>
      </c>
      <c r="AA92" s="95">
        <f t="shared" si="15"/>
        <v>1878.6399999999999</v>
      </c>
      <c r="AB92" s="95">
        <f t="shared" si="15"/>
        <v>1973.1399999999999</v>
      </c>
      <c r="AC92" s="95">
        <f t="shared" si="15"/>
        <v>2003.04</v>
      </c>
      <c r="AD92" s="95">
        <f t="shared" si="15"/>
        <v>1954.24</v>
      </c>
      <c r="AE92" s="95">
        <f t="shared" si="15"/>
        <v>1960.54</v>
      </c>
      <c r="AF92" s="95">
        <f t="shared" si="15"/>
        <v>1881.34</v>
      </c>
      <c r="AG92" s="88"/>
      <c r="AH92" s="47">
        <f t="shared" si="10"/>
        <v>2003.04</v>
      </c>
      <c r="AI92" s="48">
        <f t="shared" si="11"/>
        <v>1713.44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0"/>
        <v>0</v>
      </c>
      <c r="AI93" s="48">
        <f t="shared" si="11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0"/>
        <v>0</v>
      </c>
      <c r="AI94" s="48">
        <f t="shared" si="11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0"/>
        <v>0</v>
      </c>
      <c r="AI95" s="48">
        <f t="shared" si="11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0"/>
        <v>0</v>
      </c>
      <c r="AI96" s="48">
        <f t="shared" si="11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0"/>
        <v>0</v>
      </c>
      <c r="AI97" s="48">
        <f t="shared" si="11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0"/>
        <v>0</v>
      </c>
      <c r="AI98" s="48">
        <f t="shared" si="11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10"/>
        <v>0</v>
      </c>
      <c r="AI99" s="48">
        <f t="shared" si="11"/>
        <v>0</v>
      </c>
      <c r="AK99" s="74"/>
    </row>
    <row r="100" spans="1:37" ht="15.75" thickBot="1" x14ac:dyDescent="0.3">
      <c r="A100" s="73" t="s">
        <v>116</v>
      </c>
      <c r="B100" s="59">
        <v>99</v>
      </c>
      <c r="C100" s="59">
        <f t="shared" ref="C100:AF100" si="16">C84-C99</f>
        <v>112</v>
      </c>
      <c r="D100" s="59">
        <f t="shared" si="16"/>
        <v>117</v>
      </c>
      <c r="E100" s="59">
        <f t="shared" si="16"/>
        <v>107</v>
      </c>
      <c r="F100" s="59">
        <f t="shared" si="16"/>
        <v>105</v>
      </c>
      <c r="G100" s="59">
        <f t="shared" si="16"/>
        <v>105</v>
      </c>
      <c r="H100" s="59">
        <f t="shared" si="16"/>
        <v>105</v>
      </c>
      <c r="I100" s="59">
        <f t="shared" si="16"/>
        <v>93.4</v>
      </c>
      <c r="J100" s="59">
        <f t="shared" si="16"/>
        <v>94</v>
      </c>
      <c r="K100" s="59">
        <f t="shared" si="16"/>
        <v>92.3</v>
      </c>
      <c r="L100" s="59">
        <f t="shared" si="16"/>
        <v>77</v>
      </c>
      <c r="M100" s="59">
        <f t="shared" si="16"/>
        <v>52.6</v>
      </c>
      <c r="N100" s="59">
        <f t="shared" si="16"/>
        <v>12.4</v>
      </c>
      <c r="O100" s="59">
        <f t="shared" si="16"/>
        <v>13.4</v>
      </c>
      <c r="P100" s="59">
        <f t="shared" si="16"/>
        <v>12.7</v>
      </c>
      <c r="Q100" s="59">
        <f t="shared" si="16"/>
        <v>6.3</v>
      </c>
      <c r="R100" s="59">
        <f t="shared" si="16"/>
        <v>18.5</v>
      </c>
      <c r="S100" s="59">
        <f t="shared" si="16"/>
        <v>22.3</v>
      </c>
      <c r="T100" s="59">
        <f t="shared" si="16"/>
        <v>13</v>
      </c>
      <c r="U100" s="59">
        <f t="shared" si="16"/>
        <v>1.7</v>
      </c>
      <c r="V100" s="59">
        <f t="shared" si="16"/>
        <v>32</v>
      </c>
      <c r="W100" s="59">
        <f t="shared" si="16"/>
        <v>23.3</v>
      </c>
      <c r="X100" s="59">
        <f t="shared" si="16"/>
        <v>28.2</v>
      </c>
      <c r="Y100" s="59">
        <f t="shared" si="16"/>
        <v>27</v>
      </c>
      <c r="Z100" s="59">
        <f t="shared" si="16"/>
        <v>33.200000000000003</v>
      </c>
      <c r="AA100" s="59">
        <f t="shared" si="16"/>
        <v>53</v>
      </c>
      <c r="AB100" s="59">
        <f t="shared" si="16"/>
        <v>65</v>
      </c>
      <c r="AC100" s="59">
        <f t="shared" si="16"/>
        <v>73.900000000000006</v>
      </c>
      <c r="AD100" s="59">
        <f t="shared" si="16"/>
        <v>67.400000000000006</v>
      </c>
      <c r="AE100" s="59">
        <f t="shared" si="16"/>
        <v>59.9</v>
      </c>
      <c r="AF100" s="59">
        <f t="shared" si="16"/>
        <v>55.7</v>
      </c>
      <c r="AG100" s="88"/>
      <c r="AH100" s="47">
        <f t="shared" si="10"/>
        <v>117</v>
      </c>
      <c r="AI100" s="48">
        <f t="shared" si="11"/>
        <v>1.7</v>
      </c>
    </row>
    <row r="101" spans="1:37" x14ac:dyDescent="0.25">
      <c r="A101" s="100" t="s">
        <v>117</v>
      </c>
      <c r="B101" s="101">
        <v>50.067</v>
      </c>
      <c r="C101" s="101">
        <v>50.06</v>
      </c>
      <c r="D101" s="101">
        <v>50.03</v>
      </c>
      <c r="E101" s="101">
        <v>49.97</v>
      </c>
      <c r="F101" s="101">
        <v>50.05</v>
      </c>
      <c r="G101" s="101">
        <v>50.01</v>
      </c>
      <c r="H101" s="101">
        <v>50.05</v>
      </c>
      <c r="I101" s="101">
        <v>50.06</v>
      </c>
      <c r="J101" s="101">
        <v>49.96</v>
      </c>
      <c r="K101" s="101">
        <v>50.02</v>
      </c>
      <c r="L101" s="101">
        <v>49.93</v>
      </c>
      <c r="M101" s="101">
        <v>49.936</v>
      </c>
      <c r="N101" s="101">
        <v>50.002000000000002</v>
      </c>
      <c r="O101" s="101">
        <v>50.058</v>
      </c>
      <c r="P101" s="101">
        <v>50.021000000000001</v>
      </c>
      <c r="Q101" s="101">
        <v>50.012</v>
      </c>
      <c r="R101" s="101">
        <v>49.948999999999998</v>
      </c>
      <c r="S101" s="101">
        <v>49.970999999999997</v>
      </c>
      <c r="T101" s="101">
        <v>49.941000000000003</v>
      </c>
      <c r="U101" s="101">
        <v>49.959000000000003</v>
      </c>
      <c r="V101" s="101">
        <v>50.029000000000003</v>
      </c>
      <c r="W101" s="101">
        <v>49.984999999999999</v>
      </c>
      <c r="X101" s="101">
        <v>49.911000000000001</v>
      </c>
      <c r="Y101" s="101">
        <v>49.984000000000002</v>
      </c>
      <c r="Z101" s="101">
        <v>50.021000000000001</v>
      </c>
      <c r="AA101" s="101">
        <v>50.015999999999998</v>
      </c>
      <c r="AB101" s="101">
        <v>50.070999999999998</v>
      </c>
      <c r="AC101" s="101">
        <v>49.996000000000002</v>
      </c>
      <c r="AD101" s="101">
        <v>49.942999999999998</v>
      </c>
      <c r="AE101" s="101">
        <v>49.98</v>
      </c>
      <c r="AF101" s="101">
        <v>50.03</v>
      </c>
      <c r="AG101" s="102"/>
      <c r="AH101" s="47">
        <f t="shared" si="10"/>
        <v>50.070999999999998</v>
      </c>
      <c r="AI101" s="48">
        <f t="shared" si="11"/>
        <v>49.911000000000001</v>
      </c>
    </row>
    <row r="102" spans="1:37" x14ac:dyDescent="0.25">
      <c r="A102" s="103" t="s">
        <v>118</v>
      </c>
      <c r="B102" s="64">
        <v>122</v>
      </c>
      <c r="C102" s="64">
        <v>122</v>
      </c>
      <c r="D102" s="64">
        <v>122</v>
      </c>
      <c r="E102" s="64">
        <v>123</v>
      </c>
      <c r="F102" s="64">
        <v>123.2</v>
      </c>
      <c r="G102" s="64">
        <v>123.2</v>
      </c>
      <c r="H102" s="64">
        <v>123.2</v>
      </c>
      <c r="I102" s="64">
        <v>123.2</v>
      </c>
      <c r="J102" s="64">
        <v>123.2</v>
      </c>
      <c r="K102" s="64">
        <v>125.6</v>
      </c>
      <c r="L102" s="64">
        <v>125.2</v>
      </c>
      <c r="M102" s="64">
        <v>125</v>
      </c>
      <c r="N102" s="64">
        <v>125.5</v>
      </c>
      <c r="O102" s="64">
        <v>121.2</v>
      </c>
      <c r="P102" s="64">
        <v>122.9</v>
      </c>
      <c r="Q102" s="64">
        <v>121.7</v>
      </c>
      <c r="R102" s="64">
        <v>123.2</v>
      </c>
      <c r="S102" s="64">
        <v>123</v>
      </c>
      <c r="T102" s="64">
        <v>122.1</v>
      </c>
      <c r="U102" s="64">
        <v>123</v>
      </c>
      <c r="V102" s="64">
        <v>123.9</v>
      </c>
      <c r="W102" s="64">
        <v>125</v>
      </c>
      <c r="X102" s="64">
        <v>125.6</v>
      </c>
      <c r="Y102" s="64">
        <v>125.8</v>
      </c>
      <c r="Z102" s="64">
        <v>126.1</v>
      </c>
      <c r="AA102" s="64">
        <v>124.7</v>
      </c>
      <c r="AB102" s="64">
        <v>125.4</v>
      </c>
      <c r="AC102" s="64">
        <v>124.7</v>
      </c>
      <c r="AD102" s="64">
        <v>125.5</v>
      </c>
      <c r="AE102" s="64">
        <v>124.1</v>
      </c>
      <c r="AF102" s="64">
        <v>124</v>
      </c>
      <c r="AG102" s="104"/>
      <c r="AH102" s="47">
        <f t="shared" si="10"/>
        <v>126.1</v>
      </c>
      <c r="AI102" s="48">
        <f t="shared" si="11"/>
        <v>121.2</v>
      </c>
    </row>
    <row r="103" spans="1:37" x14ac:dyDescent="0.25">
      <c r="A103" s="103" t="s">
        <v>119</v>
      </c>
      <c r="B103" s="64">
        <v>128</v>
      </c>
      <c r="C103" s="64">
        <v>128</v>
      </c>
      <c r="D103" s="64">
        <v>128</v>
      </c>
      <c r="E103" s="64">
        <v>128</v>
      </c>
      <c r="F103" s="64">
        <v>128.80000000000001</v>
      </c>
      <c r="G103" s="64">
        <v>128.80000000000001</v>
      </c>
      <c r="H103" s="64">
        <v>128.80000000000001</v>
      </c>
      <c r="I103" s="64">
        <v>128.80000000000001</v>
      </c>
      <c r="J103" s="64">
        <v>128.80000000000001</v>
      </c>
      <c r="K103" s="64">
        <v>129.4</v>
      </c>
      <c r="L103" s="64">
        <v>128.69999999999999</v>
      </c>
      <c r="M103" s="64">
        <v>129.19999999999999</v>
      </c>
      <c r="N103" s="64">
        <v>129.19999999999999</v>
      </c>
      <c r="O103" s="64">
        <v>125.4</v>
      </c>
      <c r="P103" s="64">
        <v>126.6</v>
      </c>
      <c r="Q103" s="64">
        <v>126</v>
      </c>
      <c r="R103" s="64">
        <v>127.8</v>
      </c>
      <c r="S103" s="64">
        <v>127.7</v>
      </c>
      <c r="T103" s="64">
        <v>126.8</v>
      </c>
      <c r="U103" s="64">
        <v>127.3</v>
      </c>
      <c r="V103" s="64">
        <v>128</v>
      </c>
      <c r="W103" s="64">
        <v>129.1</v>
      </c>
      <c r="X103" s="64">
        <v>129.19999999999999</v>
      </c>
      <c r="Y103" s="64">
        <v>129</v>
      </c>
      <c r="Z103" s="64">
        <v>129.1</v>
      </c>
      <c r="AA103" s="64">
        <v>127.4</v>
      </c>
      <c r="AB103" s="64">
        <v>129.30000000000001</v>
      </c>
      <c r="AC103" s="64">
        <v>129.19999999999999</v>
      </c>
      <c r="AD103" s="64">
        <v>129.6</v>
      </c>
      <c r="AE103" s="64">
        <v>129.69999999999999</v>
      </c>
      <c r="AF103" s="64">
        <v>129.6</v>
      </c>
      <c r="AG103" s="104"/>
      <c r="AH103" s="47">
        <f t="shared" si="10"/>
        <v>129.69999999999999</v>
      </c>
      <c r="AI103" s="48">
        <f t="shared" si="11"/>
        <v>125.4</v>
      </c>
    </row>
    <row r="104" spans="1:37" x14ac:dyDescent="0.25">
      <c r="A104" s="103" t="s">
        <v>120</v>
      </c>
      <c r="B104" s="64">
        <v>127</v>
      </c>
      <c r="C104" s="64">
        <v>127</v>
      </c>
      <c r="D104" s="64">
        <v>127</v>
      </c>
      <c r="E104" s="64">
        <v>127</v>
      </c>
      <c r="F104" s="64">
        <v>129.19999999999999</v>
      </c>
      <c r="G104" s="64">
        <v>129.19999999999999</v>
      </c>
      <c r="H104" s="64">
        <v>129.19999999999999</v>
      </c>
      <c r="I104" s="64">
        <v>129.19999999999999</v>
      </c>
      <c r="J104" s="64">
        <v>129.19999999999999</v>
      </c>
      <c r="K104" s="64">
        <v>127.5</v>
      </c>
      <c r="L104" s="64">
        <v>128.5</v>
      </c>
      <c r="M104" s="64">
        <v>127.6</v>
      </c>
      <c r="N104" s="64">
        <v>127.6</v>
      </c>
      <c r="O104" s="64">
        <v>126.1</v>
      </c>
      <c r="P104" s="64">
        <v>124.5</v>
      </c>
      <c r="Q104" s="64">
        <v>126.5</v>
      </c>
      <c r="R104" s="64">
        <v>127.7</v>
      </c>
      <c r="S104" s="64">
        <v>127.1</v>
      </c>
      <c r="T104" s="64">
        <v>125.8</v>
      </c>
      <c r="U104" s="64">
        <v>126.1</v>
      </c>
      <c r="V104" s="64">
        <v>126.6</v>
      </c>
      <c r="W104" s="64">
        <v>125.4</v>
      </c>
      <c r="X104" s="64">
        <v>125.9</v>
      </c>
      <c r="Y104" s="64">
        <v>123.9</v>
      </c>
      <c r="Z104" s="64">
        <v>124.6</v>
      </c>
      <c r="AA104" s="64">
        <v>126.3</v>
      </c>
      <c r="AB104" s="64">
        <v>126.1</v>
      </c>
      <c r="AC104" s="64">
        <v>125.9</v>
      </c>
      <c r="AD104" s="64">
        <v>124.2</v>
      </c>
      <c r="AE104" s="64">
        <v>127</v>
      </c>
      <c r="AF104" s="64">
        <v>129.30000000000001</v>
      </c>
      <c r="AG104" s="104"/>
      <c r="AH104" s="47">
        <f t="shared" si="10"/>
        <v>129.30000000000001</v>
      </c>
      <c r="AI104" s="48">
        <f t="shared" si="11"/>
        <v>123.9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0"/>
        <v>0</v>
      </c>
      <c r="AI105" s="48">
        <f t="shared" si="11"/>
        <v>0</v>
      </c>
    </row>
    <row r="106" spans="1:37" x14ac:dyDescent="0.25">
      <c r="A106" s="105" t="s">
        <v>122</v>
      </c>
      <c r="B106" s="106">
        <v>133</v>
      </c>
      <c r="C106" s="106">
        <v>133</v>
      </c>
      <c r="D106" s="106">
        <v>133</v>
      </c>
      <c r="E106" s="106">
        <v>133</v>
      </c>
      <c r="F106" s="106">
        <v>131.1</v>
      </c>
      <c r="G106" s="106">
        <v>131.1</v>
      </c>
      <c r="H106" s="106">
        <v>131.1</v>
      </c>
      <c r="I106" s="106">
        <v>131.1</v>
      </c>
      <c r="J106" s="106">
        <v>131.1</v>
      </c>
      <c r="K106" s="106">
        <v>129.6</v>
      </c>
      <c r="L106" s="106">
        <v>130.4</v>
      </c>
      <c r="M106" s="106">
        <v>132.5</v>
      </c>
      <c r="N106" s="106">
        <v>131.9</v>
      </c>
      <c r="O106" s="106">
        <v>130.4</v>
      </c>
      <c r="P106" s="106">
        <v>129.69999999999999</v>
      </c>
      <c r="Q106" s="106">
        <v>128.1</v>
      </c>
      <c r="R106" s="106">
        <v>130.9</v>
      </c>
      <c r="S106" s="106">
        <v>128.69999999999999</v>
      </c>
      <c r="T106" s="106">
        <v>127.3</v>
      </c>
      <c r="U106" s="106">
        <v>129.4</v>
      </c>
      <c r="V106" s="106">
        <v>130.5</v>
      </c>
      <c r="W106" s="106">
        <v>134.69999999999999</v>
      </c>
      <c r="X106" s="106">
        <v>131.69999999999999</v>
      </c>
      <c r="Y106" s="106">
        <v>132.9</v>
      </c>
      <c r="Z106" s="106">
        <v>130.9</v>
      </c>
      <c r="AA106" s="106">
        <v>128.9</v>
      </c>
      <c r="AB106" s="106">
        <v>131.5</v>
      </c>
      <c r="AC106" s="106">
        <v>131.80000000000001</v>
      </c>
      <c r="AD106" s="106">
        <v>130.30000000000001</v>
      </c>
      <c r="AE106" s="106">
        <v>131</v>
      </c>
      <c r="AF106" s="106">
        <v>132.6</v>
      </c>
      <c r="AG106" s="107"/>
      <c r="AH106" s="47">
        <f t="shared" si="10"/>
        <v>134.69999999999999</v>
      </c>
      <c r="AI106" s="48">
        <f t="shared" si="11"/>
        <v>127.3</v>
      </c>
    </row>
    <row r="107" spans="1:37" x14ac:dyDescent="0.25">
      <c r="A107" s="103" t="s">
        <v>123</v>
      </c>
      <c r="B107" s="64">
        <v>125</v>
      </c>
      <c r="C107" s="64">
        <v>125</v>
      </c>
      <c r="D107" s="64">
        <v>125</v>
      </c>
      <c r="E107" s="64">
        <v>125</v>
      </c>
      <c r="F107" s="64">
        <v>127.7</v>
      </c>
      <c r="G107" s="64">
        <v>127.7</v>
      </c>
      <c r="H107" s="64">
        <v>127.7</v>
      </c>
      <c r="I107" s="64">
        <v>127.7</v>
      </c>
      <c r="J107" s="64">
        <v>127.7</v>
      </c>
      <c r="K107" s="64">
        <v>127.4</v>
      </c>
      <c r="L107" s="64">
        <v>128.80000000000001</v>
      </c>
      <c r="M107" s="64">
        <v>132.5</v>
      </c>
      <c r="N107" s="64">
        <v>129.30000000000001</v>
      </c>
      <c r="O107" s="64">
        <v>130.19999999999999</v>
      </c>
      <c r="P107" s="64">
        <v>127.7</v>
      </c>
      <c r="Q107" s="64">
        <v>124.3</v>
      </c>
      <c r="R107" s="64">
        <v>130.69999999999999</v>
      </c>
      <c r="S107" s="64">
        <v>129.1</v>
      </c>
      <c r="T107" s="64">
        <v>124.5</v>
      </c>
      <c r="U107" s="64">
        <v>127.7</v>
      </c>
      <c r="V107" s="64">
        <v>132.80000000000001</v>
      </c>
      <c r="W107" s="64">
        <v>135.19999999999999</v>
      </c>
      <c r="X107" s="64">
        <v>132.6</v>
      </c>
      <c r="Y107" s="64">
        <v>134.5</v>
      </c>
      <c r="Z107" s="64">
        <v>132.1</v>
      </c>
      <c r="AA107" s="64">
        <v>131.9</v>
      </c>
      <c r="AB107" s="64">
        <v>126.2</v>
      </c>
      <c r="AC107" s="64">
        <v>123.7</v>
      </c>
      <c r="AD107" s="64">
        <v>126.7</v>
      </c>
      <c r="AE107" s="64">
        <v>130.6</v>
      </c>
      <c r="AF107" s="64">
        <v>131.6</v>
      </c>
      <c r="AG107" s="104"/>
      <c r="AH107" s="47">
        <f t="shared" si="10"/>
        <v>135.19999999999999</v>
      </c>
      <c r="AI107" s="48">
        <f t="shared" si="11"/>
        <v>123.7</v>
      </c>
    </row>
    <row r="108" spans="1:37" ht="15.75" thickBot="1" x14ac:dyDescent="0.3">
      <c r="A108" s="103" t="s">
        <v>124</v>
      </c>
      <c r="B108" s="92">
        <v>64.3</v>
      </c>
      <c r="C108" s="92">
        <v>64.3</v>
      </c>
      <c r="D108" s="92">
        <v>64.3</v>
      </c>
      <c r="E108" s="92">
        <v>64.3</v>
      </c>
      <c r="F108" s="92">
        <v>64.900000000000006</v>
      </c>
      <c r="G108" s="92">
        <v>64.900000000000006</v>
      </c>
      <c r="H108" s="92">
        <v>64.900000000000006</v>
      </c>
      <c r="I108" s="92">
        <v>64.900000000000006</v>
      </c>
      <c r="J108" s="92">
        <v>64.900000000000006</v>
      </c>
      <c r="K108" s="92">
        <v>64.900000000000006</v>
      </c>
      <c r="L108" s="92">
        <v>64.400000000000006</v>
      </c>
      <c r="M108" s="92">
        <v>64.5</v>
      </c>
      <c r="N108" s="92">
        <v>64.5</v>
      </c>
      <c r="O108" s="92">
        <v>62.9</v>
      </c>
      <c r="P108" s="92">
        <v>63.3</v>
      </c>
      <c r="Q108" s="92">
        <v>63.4</v>
      </c>
      <c r="R108" s="92">
        <v>64.2</v>
      </c>
      <c r="S108" s="92">
        <v>64.2</v>
      </c>
      <c r="T108" s="92">
        <v>63.9</v>
      </c>
      <c r="U108" s="92">
        <v>64.099999999999994</v>
      </c>
      <c r="V108" s="92">
        <v>64.099999999999994</v>
      </c>
      <c r="W108" s="92">
        <v>64.8</v>
      </c>
      <c r="X108" s="92">
        <v>64.8</v>
      </c>
      <c r="Y108" s="92">
        <v>64.599999999999994</v>
      </c>
      <c r="Z108" s="92">
        <v>64.7</v>
      </c>
      <c r="AA108" s="92">
        <v>64</v>
      </c>
      <c r="AB108" s="92">
        <v>65.099999999999994</v>
      </c>
      <c r="AC108" s="92">
        <v>65.2</v>
      </c>
      <c r="AD108" s="92">
        <v>65.3</v>
      </c>
      <c r="AE108" s="92">
        <v>65.2</v>
      </c>
      <c r="AF108" s="92">
        <v>65.099999999999994</v>
      </c>
      <c r="AG108" s="108"/>
      <c r="AH108" s="47">
        <f t="shared" si="10"/>
        <v>65.3</v>
      </c>
      <c r="AI108" s="48">
        <f t="shared" si="11"/>
        <v>62.9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0"/>
        <v>0</v>
      </c>
      <c r="AI109" s="48">
        <f t="shared" si="11"/>
        <v>0</v>
      </c>
    </row>
    <row r="110" spans="1:37" ht="15.75" thickBot="1" x14ac:dyDescent="0.3">
      <c r="A110" s="110" t="s">
        <v>126</v>
      </c>
      <c r="B110" s="111">
        <v>117.1</v>
      </c>
      <c r="C110" s="111">
        <f t="shared" ref="C110:O110" si="17">SUM(C20,C26,C29:C30,C58,C60:C61,C63,C65,C111:C115,C138,C144,C150,C159,C161,C173,C180,C183:C184,C191,C193,C195,C199:C201,C203:C205,C210,C216:C217,C219:C221,C229,C234)</f>
        <v>113.03999999999999</v>
      </c>
      <c r="D110" s="111">
        <f t="shared" si="17"/>
        <v>107.53999999999999</v>
      </c>
      <c r="E110" s="111">
        <f t="shared" si="17"/>
        <v>136.94</v>
      </c>
      <c r="F110" s="111">
        <f t="shared" si="17"/>
        <v>61.04</v>
      </c>
      <c r="G110" s="111">
        <f t="shared" ref="G110:H110" si="18">SUM(G20,G26,G29:G30,G58,G60:G61,G63,G65,G111:G115,G138,G144,G150,G159,G161,G173,G180,G183:G184,G191,G193,G195,G199:G201,G203:G205,G210,G216:G217,G219:G221,G229,G234)</f>
        <v>31.440000000000005</v>
      </c>
      <c r="H110" s="111">
        <f t="shared" si="18"/>
        <v>102.44</v>
      </c>
      <c r="I110" s="111">
        <f t="shared" si="17"/>
        <v>114.63999999999999</v>
      </c>
      <c r="J110" s="111">
        <f t="shared" si="17"/>
        <v>114.13999999999999</v>
      </c>
      <c r="K110" s="111">
        <f t="shared" si="17"/>
        <v>121.43999999999998</v>
      </c>
      <c r="L110" s="111">
        <f t="shared" si="17"/>
        <v>133.44</v>
      </c>
      <c r="M110" s="111">
        <f t="shared" si="17"/>
        <v>157.34</v>
      </c>
      <c r="N110" s="111">
        <f t="shared" si="17"/>
        <v>179.34</v>
      </c>
      <c r="O110" s="111">
        <f t="shared" si="17"/>
        <v>183.54000000000002</v>
      </c>
      <c r="P110" s="111">
        <v>42</v>
      </c>
      <c r="Q110" s="111">
        <f t="shared" ref="Q110:AF110" si="19">SUM(Q20,Q26,Q29:Q30,Q58,Q60:Q61,Q63,Q65,Q111:Q115,Q138,Q144,Q150,Q159,Q161,Q173,Q180,Q183:Q184,Q191,Q193,Q195,Q199:Q201,Q203:Q205,Q210,Q216:Q217,Q219:Q221,Q229,Q234)</f>
        <v>169.5</v>
      </c>
      <c r="R110" s="111">
        <f t="shared" si="19"/>
        <v>117.09999999999997</v>
      </c>
      <c r="S110" s="111">
        <f t="shared" si="19"/>
        <v>113.8</v>
      </c>
      <c r="T110" s="111">
        <f t="shared" si="19"/>
        <v>115.20000000000003</v>
      </c>
      <c r="U110" s="111">
        <f t="shared" si="19"/>
        <v>123.00000000000003</v>
      </c>
      <c r="V110" s="111">
        <f t="shared" si="19"/>
        <v>109.9</v>
      </c>
      <c r="W110" s="111">
        <f t="shared" si="19"/>
        <v>117.90000000000003</v>
      </c>
      <c r="X110" s="111">
        <f t="shared" si="19"/>
        <v>113.49999999999997</v>
      </c>
      <c r="Y110" s="111">
        <f t="shared" si="19"/>
        <v>122.4</v>
      </c>
      <c r="Z110" s="111">
        <f t="shared" si="19"/>
        <v>171.7</v>
      </c>
      <c r="AA110" s="111">
        <f t="shared" si="19"/>
        <v>222.3</v>
      </c>
      <c r="AB110" s="111">
        <f t="shared" si="19"/>
        <v>187.59999999999997</v>
      </c>
      <c r="AC110" s="111">
        <f t="shared" si="19"/>
        <v>165.8</v>
      </c>
      <c r="AD110" s="111"/>
      <c r="AE110" s="111">
        <f t="shared" si="19"/>
        <v>108.80000000000003</v>
      </c>
      <c r="AF110" s="111">
        <f t="shared" si="19"/>
        <v>193.4</v>
      </c>
      <c r="AG110" s="112"/>
      <c r="AH110" s="47">
        <f t="shared" si="10"/>
        <v>222.3</v>
      </c>
      <c r="AI110" s="48">
        <f t="shared" si="11"/>
        <v>31.440000000000005</v>
      </c>
    </row>
    <row r="111" spans="1:37" x14ac:dyDescent="0.25">
      <c r="A111" s="100" t="s">
        <v>127</v>
      </c>
      <c r="B111" s="113">
        <v>56</v>
      </c>
      <c r="C111" s="113">
        <v>56</v>
      </c>
      <c r="D111" s="113">
        <v>47</v>
      </c>
      <c r="E111" s="113">
        <v>36</v>
      </c>
      <c r="F111" s="113">
        <v>34.200000000000003</v>
      </c>
      <c r="G111" s="113">
        <v>34.200000000000003</v>
      </c>
      <c r="H111" s="113">
        <v>34.200000000000003</v>
      </c>
      <c r="I111" s="113">
        <v>27.5</v>
      </c>
      <c r="J111" s="113">
        <v>27</v>
      </c>
      <c r="K111" s="113">
        <v>26</v>
      </c>
      <c r="L111" s="113">
        <v>33.700000000000003</v>
      </c>
      <c r="M111" s="113">
        <v>40.5</v>
      </c>
      <c r="N111" s="113">
        <v>30.6</v>
      </c>
      <c r="O111" s="113">
        <v>27</v>
      </c>
      <c r="P111" s="113">
        <v>23.5</v>
      </c>
      <c r="Q111" s="113">
        <v>19.600000000000001</v>
      </c>
      <c r="R111" s="113">
        <v>6.9</v>
      </c>
      <c r="S111" s="113">
        <v>11.2</v>
      </c>
      <c r="T111" s="113">
        <v>16.3</v>
      </c>
      <c r="U111" s="113">
        <v>20</v>
      </c>
      <c r="V111" s="113">
        <v>16</v>
      </c>
      <c r="W111" s="113">
        <v>20.5</v>
      </c>
      <c r="X111" s="113">
        <v>22.1</v>
      </c>
      <c r="Y111" s="113">
        <v>27.8</v>
      </c>
      <c r="Z111" s="113">
        <v>34.5</v>
      </c>
      <c r="AA111" s="113">
        <v>42</v>
      </c>
      <c r="AB111" s="113">
        <v>48.2</v>
      </c>
      <c r="AC111" s="113">
        <v>46.8</v>
      </c>
      <c r="AD111" s="113">
        <v>31.5</v>
      </c>
      <c r="AE111" s="113">
        <v>14.3</v>
      </c>
      <c r="AF111" s="113">
        <v>41.2</v>
      </c>
      <c r="AG111" s="114">
        <v>75</v>
      </c>
      <c r="AH111" s="47">
        <f t="shared" si="10"/>
        <v>56</v>
      </c>
      <c r="AI111" s="48">
        <f t="shared" si="11"/>
        <v>6.9</v>
      </c>
    </row>
    <row r="112" spans="1:37" x14ac:dyDescent="0.25">
      <c r="A112" s="103" t="s">
        <v>128</v>
      </c>
      <c r="B112" s="115">
        <v>33.5</v>
      </c>
      <c r="C112" s="115">
        <v>33.5</v>
      </c>
      <c r="D112" s="115">
        <v>27</v>
      </c>
      <c r="E112" s="115">
        <v>27</v>
      </c>
      <c r="F112" s="115">
        <v>-5.4</v>
      </c>
      <c r="G112" s="115">
        <v>-35</v>
      </c>
      <c r="H112" s="115">
        <v>36</v>
      </c>
      <c r="I112" s="115">
        <v>49</v>
      </c>
      <c r="J112" s="115">
        <v>49</v>
      </c>
      <c r="K112" s="115">
        <v>47.1</v>
      </c>
      <c r="L112" s="115">
        <v>56.8</v>
      </c>
      <c r="M112" s="115">
        <v>62.9</v>
      </c>
      <c r="N112" s="115">
        <v>48</v>
      </c>
      <c r="O112" s="115">
        <v>43</v>
      </c>
      <c r="P112" s="115">
        <v>38.5</v>
      </c>
      <c r="Q112" s="115">
        <v>35.1</v>
      </c>
      <c r="R112" s="115">
        <v>20.6</v>
      </c>
      <c r="S112" s="115">
        <v>21.1</v>
      </c>
      <c r="T112" s="115">
        <v>28.5</v>
      </c>
      <c r="U112" s="115">
        <v>33.799999999999997</v>
      </c>
      <c r="V112" s="115">
        <v>27.6</v>
      </c>
      <c r="W112" s="115">
        <v>33.9</v>
      </c>
      <c r="X112" s="115">
        <v>36.299999999999997</v>
      </c>
      <c r="Y112" s="115">
        <v>38.299999999999997</v>
      </c>
      <c r="Z112" s="115">
        <v>49</v>
      </c>
      <c r="AA112" s="115">
        <v>62</v>
      </c>
      <c r="AB112" s="115">
        <v>76.400000000000006</v>
      </c>
      <c r="AC112" s="115">
        <v>73.3</v>
      </c>
      <c r="AD112" s="115">
        <v>52</v>
      </c>
      <c r="AE112" s="115">
        <v>25.9</v>
      </c>
      <c r="AF112" s="115">
        <v>68</v>
      </c>
      <c r="AG112" s="114">
        <v>240</v>
      </c>
      <c r="AH112" s="47">
        <f t="shared" si="10"/>
        <v>76.400000000000006</v>
      </c>
      <c r="AI112" s="48">
        <f t="shared" si="11"/>
        <v>-35</v>
      </c>
    </row>
    <row r="113" spans="1:37" x14ac:dyDescent="0.25">
      <c r="A113" s="103" t="s">
        <v>129</v>
      </c>
      <c r="B113" s="115">
        <v>-164</v>
      </c>
      <c r="C113" s="115">
        <v>-164</v>
      </c>
      <c r="D113" s="115">
        <v>-140</v>
      </c>
      <c r="E113" s="115">
        <f>-47.2-50.4</f>
        <v>-97.6</v>
      </c>
      <c r="F113" s="115">
        <f>-59-63.4</f>
        <v>-122.4</v>
      </c>
      <c r="G113" s="115">
        <f t="shared" ref="G113:H113" si="20">-59-63.4</f>
        <v>-122.4</v>
      </c>
      <c r="H113" s="115">
        <f t="shared" si="20"/>
        <v>-122.4</v>
      </c>
      <c r="I113" s="115">
        <f>-62-60.2</f>
        <v>-122.2</v>
      </c>
      <c r="J113" s="115">
        <f t="shared" ref="J113" si="21">-62-60.2</f>
        <v>-122.2</v>
      </c>
      <c r="K113" s="115">
        <f>-57.7-55.8</f>
        <v>-113.5</v>
      </c>
      <c r="L113" s="115">
        <f>-46.9-50</f>
        <v>-96.9</v>
      </c>
      <c r="M113" s="115">
        <v>-107</v>
      </c>
      <c r="N113" s="115">
        <v>-96</v>
      </c>
      <c r="O113" s="115">
        <v>-66</v>
      </c>
      <c r="P113" s="115">
        <v>-73</v>
      </c>
      <c r="Q113" s="115">
        <v>-67</v>
      </c>
      <c r="R113" s="115">
        <v>-98</v>
      </c>
      <c r="S113" s="115">
        <f>-32.1-35.5</f>
        <v>-67.599999999999994</v>
      </c>
      <c r="T113" s="115">
        <v>-83</v>
      </c>
      <c r="U113" s="115">
        <v>-78</v>
      </c>
      <c r="V113" s="115">
        <v>-63</v>
      </c>
      <c r="W113" s="115">
        <f>-35.2-38.3</f>
        <v>-73.5</v>
      </c>
      <c r="X113" s="115">
        <v>-83</v>
      </c>
      <c r="Y113" s="115">
        <v>-90</v>
      </c>
      <c r="Z113" s="115">
        <v>-74</v>
      </c>
      <c r="AA113" s="115">
        <v>-67</v>
      </c>
      <c r="AB113" s="115">
        <v>-165</v>
      </c>
      <c r="AC113" s="115">
        <v>-176.4</v>
      </c>
      <c r="AD113" s="115">
        <v>-140</v>
      </c>
      <c r="AE113" s="115">
        <v>-132.80000000000001</v>
      </c>
      <c r="AF113" s="115">
        <f>-44.8-51.4</f>
        <v>-96.199999999999989</v>
      </c>
      <c r="AG113" s="114">
        <v>240</v>
      </c>
      <c r="AH113" s="47">
        <f t="shared" si="10"/>
        <v>-63</v>
      </c>
      <c r="AI113" s="48">
        <f t="shared" si="11"/>
        <v>-176.4</v>
      </c>
    </row>
    <row r="114" spans="1:37" x14ac:dyDescent="0.25">
      <c r="A114" s="103" t="s">
        <v>130</v>
      </c>
      <c r="B114" s="115">
        <v>-20</v>
      </c>
      <c r="C114" s="115">
        <v>-20</v>
      </c>
      <c r="D114" s="115">
        <v>-19</v>
      </c>
      <c r="E114" s="115">
        <v>-20</v>
      </c>
      <c r="F114" s="115">
        <v>-14.8</v>
      </c>
      <c r="G114" s="115">
        <v>-14.8</v>
      </c>
      <c r="H114" s="115">
        <v>-14.8</v>
      </c>
      <c r="I114" s="115">
        <v>-5.9</v>
      </c>
      <c r="J114" s="115">
        <v>-5.9</v>
      </c>
      <c r="K114" s="115">
        <v>-4.4000000000000004</v>
      </c>
      <c r="L114" s="115">
        <v>-4.8</v>
      </c>
      <c r="M114" s="115">
        <v>-4.9000000000000004</v>
      </c>
      <c r="N114" s="115">
        <v>-3.8</v>
      </c>
      <c r="O114" s="115">
        <v>0.9</v>
      </c>
      <c r="P114" s="115">
        <v>4.3</v>
      </c>
      <c r="Q114" s="115">
        <v>-7.8</v>
      </c>
      <c r="R114" s="115">
        <v>-12.7</v>
      </c>
      <c r="S114" s="115">
        <v>4.9000000000000004</v>
      </c>
      <c r="T114" s="115">
        <v>2.5</v>
      </c>
      <c r="U114" s="115">
        <v>0</v>
      </c>
      <c r="V114" s="115">
        <v>3.7</v>
      </c>
      <c r="W114" s="115">
        <v>1.9</v>
      </c>
      <c r="X114" s="115">
        <v>2.1</v>
      </c>
      <c r="Y114" s="115">
        <v>-0.7</v>
      </c>
      <c r="Z114" s="115">
        <v>5.7</v>
      </c>
      <c r="AA114" s="115">
        <v>11</v>
      </c>
      <c r="AB114" s="115">
        <v>25.6</v>
      </c>
      <c r="AC114" s="115">
        <v>24.7</v>
      </c>
      <c r="AD114" s="115">
        <v>19.8</v>
      </c>
      <c r="AE114" s="115">
        <v>25.7</v>
      </c>
      <c r="AF114" s="115">
        <v>20.100000000000001</v>
      </c>
      <c r="AG114" s="114">
        <v>60</v>
      </c>
      <c r="AH114" s="47">
        <f t="shared" si="10"/>
        <v>25.7</v>
      </c>
      <c r="AI114" s="48">
        <f t="shared" si="11"/>
        <v>-20</v>
      </c>
    </row>
    <row r="115" spans="1:37" x14ac:dyDescent="0.25">
      <c r="A115" s="116" t="s">
        <v>131</v>
      </c>
      <c r="B115" s="117">
        <v>61</v>
      </c>
      <c r="C115" s="117">
        <v>61</v>
      </c>
      <c r="D115" s="117">
        <v>46</v>
      </c>
      <c r="E115" s="117">
        <v>45</v>
      </c>
      <c r="F115" s="117">
        <v>22.9</v>
      </c>
      <c r="G115" s="117">
        <v>22.9</v>
      </c>
      <c r="H115" s="117">
        <v>22.9</v>
      </c>
      <c r="I115" s="117">
        <v>19.7</v>
      </c>
      <c r="J115" s="117">
        <v>19.7</v>
      </c>
      <c r="K115" s="117">
        <v>19.7</v>
      </c>
      <c r="L115" s="117">
        <v>-1.9</v>
      </c>
      <c r="M115" s="117">
        <v>20.399999999999999</v>
      </c>
      <c r="N115" s="117">
        <v>54.1</v>
      </c>
      <c r="O115" s="117">
        <v>86.4</v>
      </c>
      <c r="P115" s="117">
        <v>86.1</v>
      </c>
      <c r="Q115" s="117">
        <v>93.4</v>
      </c>
      <c r="R115" s="117">
        <v>63.4</v>
      </c>
      <c r="S115" s="117">
        <v>5.2</v>
      </c>
      <c r="T115" s="117">
        <v>7.2</v>
      </c>
      <c r="U115" s="117">
        <v>6.1</v>
      </c>
      <c r="V115" s="117">
        <v>6.3</v>
      </c>
      <c r="W115" s="117">
        <v>6.5</v>
      </c>
      <c r="X115" s="117">
        <v>7.5</v>
      </c>
      <c r="Y115" s="117">
        <v>15.3</v>
      </c>
      <c r="Z115" s="117">
        <v>15.2</v>
      </c>
      <c r="AA115" s="117">
        <v>18</v>
      </c>
      <c r="AB115" s="117">
        <v>46.1</v>
      </c>
      <c r="AC115" s="117">
        <v>41.2</v>
      </c>
      <c r="AD115" s="117">
        <v>40.700000000000003</v>
      </c>
      <c r="AE115" s="117">
        <v>19.5</v>
      </c>
      <c r="AF115" s="117">
        <v>20</v>
      </c>
      <c r="AG115" s="118">
        <v>120</v>
      </c>
      <c r="AH115" s="47">
        <f t="shared" si="10"/>
        <v>93.4</v>
      </c>
      <c r="AI115" s="48">
        <f t="shared" si="11"/>
        <v>-1.9</v>
      </c>
    </row>
    <row r="116" spans="1:37" x14ac:dyDescent="0.25">
      <c r="A116" s="116" t="s">
        <v>132</v>
      </c>
      <c r="B116" s="117">
        <v>56</v>
      </c>
      <c r="C116" s="117">
        <v>56</v>
      </c>
      <c r="D116" s="117">
        <v>38</v>
      </c>
      <c r="E116" s="117">
        <v>38</v>
      </c>
      <c r="F116" s="117">
        <v>40</v>
      </c>
      <c r="G116" s="117">
        <v>40</v>
      </c>
      <c r="H116" s="117">
        <v>40</v>
      </c>
      <c r="I116" s="117">
        <v>3.3</v>
      </c>
      <c r="J116" s="117">
        <v>3.3</v>
      </c>
      <c r="K116" s="117">
        <v>3.3</v>
      </c>
      <c r="L116" s="117">
        <v>15.4</v>
      </c>
      <c r="M116" s="117">
        <v>12.2</v>
      </c>
      <c r="N116" s="117">
        <v>39.799999999999997</v>
      </c>
      <c r="O116" s="117">
        <v>58.2</v>
      </c>
      <c r="P116" s="117">
        <v>62.8</v>
      </c>
      <c r="Q116" s="117">
        <v>84.2</v>
      </c>
      <c r="R116" s="117">
        <v>78.3</v>
      </c>
      <c r="S116" s="117">
        <v>87.4</v>
      </c>
      <c r="T116" s="117">
        <v>93</v>
      </c>
      <c r="U116" s="117">
        <v>85</v>
      </c>
      <c r="V116" s="117">
        <v>93</v>
      </c>
      <c r="W116" s="117">
        <v>82.6</v>
      </c>
      <c r="X116" s="117">
        <v>62.1</v>
      </c>
      <c r="Y116" s="117">
        <v>58</v>
      </c>
      <c r="Z116" s="117">
        <v>61</v>
      </c>
      <c r="AA116" s="117">
        <v>71</v>
      </c>
      <c r="AB116" s="117">
        <v>35.9</v>
      </c>
      <c r="AC116" s="117">
        <v>38.299999999999997</v>
      </c>
      <c r="AD116" s="117">
        <v>40.5</v>
      </c>
      <c r="AE116" s="117">
        <v>71.400000000000006</v>
      </c>
      <c r="AF116" s="117">
        <v>75.099999999999994</v>
      </c>
      <c r="AG116" s="118"/>
      <c r="AH116" s="47">
        <f t="shared" si="10"/>
        <v>93</v>
      </c>
      <c r="AI116" s="48">
        <f t="shared" si="11"/>
        <v>3.3</v>
      </c>
    </row>
    <row r="117" spans="1:37" x14ac:dyDescent="0.25">
      <c r="A117" s="116" t="s">
        <v>133</v>
      </c>
      <c r="B117" s="117">
        <v>50</v>
      </c>
      <c r="C117" s="117">
        <v>50</v>
      </c>
      <c r="D117" s="117">
        <v>16.52</v>
      </c>
      <c r="E117" s="117">
        <v>16.52</v>
      </c>
      <c r="F117" s="117">
        <v>24.9</v>
      </c>
      <c r="G117" s="117">
        <v>24.9</v>
      </c>
      <c r="H117" s="117">
        <v>24.9</v>
      </c>
      <c r="I117" s="117">
        <v>18.399999999999999</v>
      </c>
      <c r="J117" s="117">
        <v>18.399999999999999</v>
      </c>
      <c r="K117" s="117">
        <v>18.7</v>
      </c>
      <c r="L117" s="117">
        <v>11.7</v>
      </c>
      <c r="M117" s="117">
        <v>17.3</v>
      </c>
      <c r="N117" s="117">
        <v>31.7</v>
      </c>
      <c r="O117" s="117">
        <v>27.5</v>
      </c>
      <c r="P117" s="117">
        <v>35.9</v>
      </c>
      <c r="Q117" s="117">
        <v>34.200000000000003</v>
      </c>
      <c r="R117" s="117">
        <v>30</v>
      </c>
      <c r="S117" s="117">
        <v>34.700000000000003</v>
      </c>
      <c r="T117" s="117">
        <v>37</v>
      </c>
      <c r="U117" s="117">
        <v>28</v>
      </c>
      <c r="V117" s="117">
        <v>21</v>
      </c>
      <c r="W117" s="117">
        <v>12.1</v>
      </c>
      <c r="X117" s="117">
        <v>8.4</v>
      </c>
      <c r="Y117" s="117">
        <v>10.199999999999999</v>
      </c>
      <c r="Z117" s="117">
        <v>14</v>
      </c>
      <c r="AA117" s="117">
        <v>25</v>
      </c>
      <c r="AB117" s="117">
        <v>35.200000000000003</v>
      </c>
      <c r="AC117" s="117">
        <v>36.299999999999997</v>
      </c>
      <c r="AD117" s="117">
        <v>35.5</v>
      </c>
      <c r="AE117" s="117">
        <v>59.4</v>
      </c>
      <c r="AF117" s="117">
        <v>41.9</v>
      </c>
      <c r="AG117" s="119"/>
      <c r="AH117" s="47">
        <f t="shared" si="10"/>
        <v>59.4</v>
      </c>
      <c r="AI117" s="48">
        <f t="shared" si="11"/>
        <v>8.4</v>
      </c>
    </row>
    <row r="118" spans="1:37" x14ac:dyDescent="0.25">
      <c r="A118" s="120" t="s">
        <v>134</v>
      </c>
      <c r="B118" s="106">
        <v>34</v>
      </c>
      <c r="C118" s="106">
        <v>34</v>
      </c>
      <c r="D118" s="106">
        <v>41</v>
      </c>
      <c r="E118" s="106">
        <v>41</v>
      </c>
      <c r="F118" s="106">
        <v>46.4</v>
      </c>
      <c r="G118" s="106">
        <v>46.4</v>
      </c>
      <c r="H118" s="106">
        <v>46.4</v>
      </c>
      <c r="I118" s="106">
        <v>29.2</v>
      </c>
      <c r="J118" s="106">
        <v>29.2</v>
      </c>
      <c r="K118" s="106">
        <v>28.6</v>
      </c>
      <c r="L118" s="106">
        <v>24.9</v>
      </c>
      <c r="M118" s="106">
        <v>24.5</v>
      </c>
      <c r="N118" s="106">
        <v>23.4</v>
      </c>
      <c r="O118" s="106">
        <v>25</v>
      </c>
      <c r="P118" s="106">
        <v>24.4</v>
      </c>
      <c r="Q118" s="106">
        <v>21.2</v>
      </c>
      <c r="R118" s="106">
        <v>22.2</v>
      </c>
      <c r="S118" s="106">
        <v>23.5</v>
      </c>
      <c r="T118" s="106">
        <v>26</v>
      </c>
      <c r="U118" s="106">
        <v>27</v>
      </c>
      <c r="V118" s="106">
        <v>31</v>
      </c>
      <c r="W118" s="106">
        <v>32.200000000000003</v>
      </c>
      <c r="X118" s="106">
        <v>25.1</v>
      </c>
      <c r="Y118" s="106">
        <v>21</v>
      </c>
      <c r="Z118" s="106">
        <v>7.1</v>
      </c>
      <c r="AA118" s="106">
        <v>2</v>
      </c>
      <c r="AB118" s="106">
        <v>10.4</v>
      </c>
      <c r="AC118" s="106">
        <v>9.1999999999999993</v>
      </c>
      <c r="AD118" s="106">
        <v>14.7</v>
      </c>
      <c r="AE118" s="106">
        <v>17.3</v>
      </c>
      <c r="AF118" s="106">
        <v>23.8</v>
      </c>
      <c r="AG118" s="119"/>
      <c r="AH118" s="47">
        <f t="shared" si="10"/>
        <v>46.4</v>
      </c>
      <c r="AI118" s="48">
        <f t="shared" si="11"/>
        <v>2</v>
      </c>
    </row>
    <row r="119" spans="1:37" x14ac:dyDescent="0.25">
      <c r="A119" s="121" t="s">
        <v>135</v>
      </c>
      <c r="B119" s="106">
        <v>80</v>
      </c>
      <c r="C119" s="106">
        <v>85</v>
      </c>
      <c r="D119" s="106">
        <v>90</v>
      </c>
      <c r="E119" s="106">
        <v>90</v>
      </c>
      <c r="F119" s="106">
        <v>84.1</v>
      </c>
      <c r="G119" s="106">
        <v>84.1</v>
      </c>
      <c r="H119" s="106">
        <v>85</v>
      </c>
      <c r="I119" s="106">
        <v>76.900000000000006</v>
      </c>
      <c r="J119" s="106">
        <v>76.900000000000006</v>
      </c>
      <c r="K119" s="106">
        <v>73.099999999999994</v>
      </c>
      <c r="L119" s="106">
        <v>66.2</v>
      </c>
      <c r="M119" s="106">
        <v>71.400000000000006</v>
      </c>
      <c r="N119" s="106">
        <v>57.2</v>
      </c>
      <c r="O119" s="106">
        <v>39.6</v>
      </c>
      <c r="P119" s="106">
        <v>45.6</v>
      </c>
      <c r="Q119" s="106">
        <v>56.3</v>
      </c>
      <c r="R119" s="106">
        <v>91</v>
      </c>
      <c r="S119" s="106">
        <v>59.5</v>
      </c>
      <c r="T119" s="106">
        <v>69</v>
      </c>
      <c r="U119" s="106">
        <v>76</v>
      </c>
      <c r="V119" s="106">
        <v>48</v>
      </c>
      <c r="W119" s="106">
        <v>71.8</v>
      </c>
      <c r="X119" s="106">
        <v>81.3</v>
      </c>
      <c r="Y119" s="106">
        <v>86.3</v>
      </c>
      <c r="Z119" s="106">
        <v>73.599999999999994</v>
      </c>
      <c r="AA119" s="106">
        <v>67.5</v>
      </c>
      <c r="AB119" s="106">
        <v>81.3</v>
      </c>
      <c r="AC119" s="106">
        <v>86.3</v>
      </c>
      <c r="AD119" s="106">
        <v>85</v>
      </c>
      <c r="AE119" s="106">
        <v>66.099999999999994</v>
      </c>
      <c r="AF119" s="106">
        <v>98</v>
      </c>
      <c r="AG119" s="119"/>
      <c r="AH119" s="47">
        <f t="shared" si="10"/>
        <v>98</v>
      </c>
      <c r="AI119" s="48">
        <f t="shared" si="11"/>
        <v>39.6</v>
      </c>
    </row>
    <row r="120" spans="1:37" ht="15.75" thickBot="1" x14ac:dyDescent="0.3">
      <c r="A120" s="120" t="s">
        <v>136</v>
      </c>
      <c r="B120" s="106">
        <v>67</v>
      </c>
      <c r="C120" s="106">
        <v>67</v>
      </c>
      <c r="D120" s="106">
        <v>105</v>
      </c>
      <c r="E120" s="106">
        <v>75</v>
      </c>
      <c r="F120" s="106">
        <v>50</v>
      </c>
      <c r="G120" s="106">
        <v>50</v>
      </c>
      <c r="H120" s="106">
        <v>50</v>
      </c>
      <c r="I120" s="106">
        <v>38.299999999999997</v>
      </c>
      <c r="J120" s="106">
        <v>38.299999999999997</v>
      </c>
      <c r="K120" s="106">
        <v>38.9</v>
      </c>
      <c r="L120" s="106">
        <v>45.9</v>
      </c>
      <c r="M120" s="106">
        <v>20.7</v>
      </c>
      <c r="N120" s="106">
        <v>33.799999999999997</v>
      </c>
      <c r="O120" s="106">
        <v>36.799999999999997</v>
      </c>
      <c r="P120" s="106">
        <v>49</v>
      </c>
      <c r="Q120" s="106">
        <v>53.6</v>
      </c>
      <c r="R120" s="106">
        <v>55</v>
      </c>
      <c r="S120" s="106">
        <v>53</v>
      </c>
      <c r="T120" s="106">
        <v>54</v>
      </c>
      <c r="U120" s="106">
        <v>53</v>
      </c>
      <c r="V120" s="106">
        <v>38</v>
      </c>
      <c r="W120" s="106">
        <v>42.3</v>
      </c>
      <c r="X120" s="106">
        <v>56</v>
      </c>
      <c r="Y120" s="106">
        <v>42</v>
      </c>
      <c r="Z120" s="106">
        <v>67</v>
      </c>
      <c r="AA120" s="106">
        <v>102</v>
      </c>
      <c r="AB120" s="106">
        <v>84.1</v>
      </c>
      <c r="AC120" s="106">
        <v>69.2</v>
      </c>
      <c r="AD120" s="106">
        <v>83.8</v>
      </c>
      <c r="AE120" s="106">
        <v>79.599999999999994</v>
      </c>
      <c r="AF120" s="106">
        <v>79.099999999999994</v>
      </c>
      <c r="AG120" s="119"/>
      <c r="AH120" s="47">
        <f t="shared" si="10"/>
        <v>105</v>
      </c>
      <c r="AI120" s="48">
        <f t="shared" si="11"/>
        <v>20.7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22">SUM(B122:B226)</f>
        <v>0</v>
      </c>
      <c r="C227" s="137">
        <f t="shared" si="22"/>
        <v>0</v>
      </c>
      <c r="D227" s="137">
        <f t="shared" si="22"/>
        <v>0</v>
      </c>
      <c r="E227" s="137">
        <f t="shared" si="22"/>
        <v>0</v>
      </c>
      <c r="F227" s="137">
        <f t="shared" si="22"/>
        <v>0</v>
      </c>
      <c r="G227" s="137">
        <f t="shared" si="22"/>
        <v>0</v>
      </c>
      <c r="H227" s="137">
        <f t="shared" si="22"/>
        <v>0</v>
      </c>
      <c r="I227" s="137">
        <f t="shared" si="22"/>
        <v>0</v>
      </c>
      <c r="J227" s="137">
        <f t="shared" si="22"/>
        <v>0</v>
      </c>
      <c r="K227" s="137">
        <f t="shared" si="22"/>
        <v>0</v>
      </c>
      <c r="L227" s="137">
        <f t="shared" si="22"/>
        <v>0</v>
      </c>
      <c r="M227" s="137">
        <f t="shared" si="22"/>
        <v>0</v>
      </c>
      <c r="N227" s="137">
        <f t="shared" si="22"/>
        <v>0</v>
      </c>
      <c r="O227" s="137">
        <f t="shared" si="22"/>
        <v>0</v>
      </c>
      <c r="P227" s="137">
        <f t="shared" si="22"/>
        <v>0</v>
      </c>
      <c r="Q227" s="137">
        <f t="shared" si="22"/>
        <v>0</v>
      </c>
      <c r="R227" s="137">
        <f t="shared" si="22"/>
        <v>0</v>
      </c>
      <c r="S227" s="137">
        <f t="shared" si="22"/>
        <v>0</v>
      </c>
      <c r="T227" s="137">
        <f t="shared" si="22"/>
        <v>0</v>
      </c>
      <c r="U227" s="137">
        <f t="shared" si="22"/>
        <v>0</v>
      </c>
      <c r="V227" s="137">
        <f t="shared" si="22"/>
        <v>0</v>
      </c>
      <c r="W227" s="137">
        <f t="shared" si="22"/>
        <v>0</v>
      </c>
      <c r="X227" s="137">
        <f t="shared" si="22"/>
        <v>0</v>
      </c>
      <c r="Y227" s="137">
        <f t="shared" si="22"/>
        <v>0</v>
      </c>
      <c r="Z227" s="137">
        <f t="shared" si="22"/>
        <v>0</v>
      </c>
      <c r="AA227" s="137">
        <f t="shared" si="22"/>
        <v>0</v>
      </c>
      <c r="AB227" s="137">
        <f t="shared" si="22"/>
        <v>0</v>
      </c>
      <c r="AC227" s="137">
        <f t="shared" si="22"/>
        <v>0</v>
      </c>
      <c r="AD227" s="137">
        <f t="shared" si="22"/>
        <v>0</v>
      </c>
      <c r="AE227" s="137">
        <f t="shared" si="22"/>
        <v>0</v>
      </c>
      <c r="AF227" s="138">
        <f t="shared" si="22"/>
        <v>0</v>
      </c>
      <c r="AG227" s="139">
        <f t="shared" si="22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23">AF229</f>
        <v>0</v>
      </c>
      <c r="C229" s="141">
        <v>0.3</v>
      </c>
      <c r="D229" s="141">
        <f t="shared" ref="D229:P234" si="24">C229</f>
        <v>0.3</v>
      </c>
      <c r="E229" s="141">
        <f t="shared" si="24"/>
        <v>0.3</v>
      </c>
      <c r="F229" s="141">
        <f t="shared" si="24"/>
        <v>0.3</v>
      </c>
      <c r="G229" s="141">
        <f t="shared" si="24"/>
        <v>0.3</v>
      </c>
      <c r="H229" s="141">
        <f t="shared" si="24"/>
        <v>0.3</v>
      </c>
      <c r="I229" s="141">
        <f t="shared" si="24"/>
        <v>0.3</v>
      </c>
      <c r="J229" s="141">
        <f t="shared" si="24"/>
        <v>0.3</v>
      </c>
      <c r="K229" s="141">
        <f t="shared" si="24"/>
        <v>0.3</v>
      </c>
      <c r="L229" s="141">
        <f t="shared" si="24"/>
        <v>0.3</v>
      </c>
      <c r="M229" s="141">
        <f t="shared" si="24"/>
        <v>0.3</v>
      </c>
      <c r="N229" s="141">
        <f t="shared" si="24"/>
        <v>0.3</v>
      </c>
      <c r="O229" s="141">
        <f t="shared" si="24"/>
        <v>0.3</v>
      </c>
      <c r="P229" s="141">
        <f t="shared" si="24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23"/>
        <v>0</v>
      </c>
      <c r="C230" s="129">
        <v>0.4</v>
      </c>
      <c r="D230" s="129">
        <f t="shared" si="24"/>
        <v>0.4</v>
      </c>
      <c r="E230" s="129">
        <f t="shared" si="24"/>
        <v>0.4</v>
      </c>
      <c r="F230" s="129">
        <f t="shared" si="24"/>
        <v>0.4</v>
      </c>
      <c r="G230" s="129">
        <f t="shared" si="24"/>
        <v>0.4</v>
      </c>
      <c r="H230" s="129">
        <f t="shared" si="24"/>
        <v>0.4</v>
      </c>
      <c r="I230" s="129">
        <f t="shared" si="24"/>
        <v>0.4</v>
      </c>
      <c r="J230" s="129">
        <f t="shared" si="24"/>
        <v>0.4</v>
      </c>
      <c r="K230" s="129">
        <f t="shared" si="24"/>
        <v>0.4</v>
      </c>
      <c r="L230" s="129">
        <f t="shared" si="24"/>
        <v>0.4</v>
      </c>
      <c r="M230" s="129">
        <f t="shared" si="24"/>
        <v>0.4</v>
      </c>
      <c r="N230" s="129">
        <f t="shared" si="24"/>
        <v>0.4</v>
      </c>
      <c r="O230" s="129">
        <f t="shared" si="24"/>
        <v>0.4</v>
      </c>
      <c r="P230" s="129">
        <f t="shared" si="24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23"/>
        <v>0</v>
      </c>
      <c r="C231" s="129">
        <v>1.5</v>
      </c>
      <c r="D231" s="129">
        <f t="shared" si="24"/>
        <v>1.5</v>
      </c>
      <c r="E231" s="129">
        <f t="shared" si="24"/>
        <v>1.5</v>
      </c>
      <c r="F231" s="129">
        <f t="shared" si="24"/>
        <v>1.5</v>
      </c>
      <c r="G231" s="129">
        <f t="shared" si="24"/>
        <v>1.5</v>
      </c>
      <c r="H231" s="129">
        <f t="shared" si="24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24"/>
        <v>123.21900000000009</v>
      </c>
      <c r="K231" s="129">
        <f t="shared" ca="1" si="24"/>
        <v>123.21900000000009</v>
      </c>
      <c r="L231" s="129">
        <f t="shared" ca="1" si="24"/>
        <v>123.21900000000009</v>
      </c>
      <c r="M231" s="129">
        <f t="shared" ca="1" si="24"/>
        <v>119.19900000000008</v>
      </c>
      <c r="N231" s="129">
        <f t="shared" ca="1" si="24"/>
        <v>119.19900000000008</v>
      </c>
      <c r="O231" s="129">
        <f t="shared" ca="1" si="24"/>
        <v>119.19900000000008</v>
      </c>
      <c r="P231" s="129">
        <f t="shared" ca="1" si="24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23"/>
        <v>0</v>
      </c>
      <c r="C232" s="129">
        <v>0.3</v>
      </c>
      <c r="D232" s="129">
        <f t="shared" si="24"/>
        <v>0.3</v>
      </c>
      <c r="E232" s="129">
        <f t="shared" si="24"/>
        <v>0.3</v>
      </c>
      <c r="F232" s="129">
        <f t="shared" si="24"/>
        <v>0.3</v>
      </c>
      <c r="G232" s="129">
        <f t="shared" si="24"/>
        <v>0.3</v>
      </c>
      <c r="H232" s="129">
        <f t="shared" si="24"/>
        <v>0.3</v>
      </c>
      <c r="I232" s="129">
        <f t="shared" si="24"/>
        <v>0.3</v>
      </c>
      <c r="J232" s="129">
        <f t="shared" si="24"/>
        <v>0.3</v>
      </c>
      <c r="K232" s="129">
        <f t="shared" si="24"/>
        <v>0.3</v>
      </c>
      <c r="L232" s="129">
        <f t="shared" si="24"/>
        <v>0.3</v>
      </c>
      <c r="M232" s="129">
        <f t="shared" si="24"/>
        <v>0.3</v>
      </c>
      <c r="N232" s="129">
        <f t="shared" si="24"/>
        <v>0.3</v>
      </c>
      <c r="O232" s="129">
        <f t="shared" si="24"/>
        <v>0.3</v>
      </c>
      <c r="P232" s="129">
        <f t="shared" si="24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23"/>
        <v>0</v>
      </c>
      <c r="C233" s="129">
        <v>0.4</v>
      </c>
      <c r="D233" s="129">
        <f t="shared" si="24"/>
        <v>0.4</v>
      </c>
      <c r="E233" s="129">
        <f t="shared" si="24"/>
        <v>0.4</v>
      </c>
      <c r="F233" s="129">
        <f t="shared" si="24"/>
        <v>0.4</v>
      </c>
      <c r="G233" s="129">
        <f t="shared" si="24"/>
        <v>0.4</v>
      </c>
      <c r="H233" s="129">
        <f t="shared" si="24"/>
        <v>0.4</v>
      </c>
      <c r="I233" s="129">
        <f t="shared" si="24"/>
        <v>0.4</v>
      </c>
      <c r="J233" s="129">
        <f t="shared" si="24"/>
        <v>0.4</v>
      </c>
      <c r="K233" s="129">
        <f t="shared" si="24"/>
        <v>0.4</v>
      </c>
      <c r="L233" s="129">
        <f t="shared" si="24"/>
        <v>0.4</v>
      </c>
      <c r="M233" s="129">
        <f t="shared" si="24"/>
        <v>0.4</v>
      </c>
      <c r="N233" s="129">
        <f t="shared" si="24"/>
        <v>0.4</v>
      </c>
      <c r="O233" s="129">
        <f t="shared" si="24"/>
        <v>0.4</v>
      </c>
      <c r="P233" s="129">
        <f t="shared" si="24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23"/>
        <v>0</v>
      </c>
      <c r="C234" s="133">
        <v>0.64</v>
      </c>
      <c r="D234" s="133">
        <f t="shared" si="24"/>
        <v>0.64</v>
      </c>
      <c r="E234" s="133">
        <f t="shared" si="24"/>
        <v>0.64</v>
      </c>
      <c r="F234" s="133">
        <f t="shared" si="24"/>
        <v>0.64</v>
      </c>
      <c r="G234" s="133">
        <f t="shared" si="24"/>
        <v>0.64</v>
      </c>
      <c r="H234" s="133">
        <f t="shared" si="24"/>
        <v>0.64</v>
      </c>
      <c r="I234" s="133">
        <f t="shared" si="24"/>
        <v>0.64</v>
      </c>
      <c r="J234" s="133">
        <f t="shared" si="24"/>
        <v>0.64</v>
      </c>
      <c r="K234" s="133">
        <f t="shared" si="24"/>
        <v>0.64</v>
      </c>
      <c r="L234" s="133">
        <f t="shared" si="24"/>
        <v>0.64</v>
      </c>
      <c r="M234" s="133">
        <f t="shared" si="24"/>
        <v>0.64</v>
      </c>
      <c r="N234" s="133">
        <f t="shared" si="24"/>
        <v>0.64</v>
      </c>
      <c r="O234" s="133">
        <f t="shared" si="24"/>
        <v>0.64</v>
      </c>
      <c r="P234" s="133">
        <f t="shared" si="24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5">SUM(B229:B234)</f>
        <v>0</v>
      </c>
      <c r="C235" s="137">
        <f t="shared" si="25"/>
        <v>3.54</v>
      </c>
      <c r="D235" s="137">
        <f t="shared" si="25"/>
        <v>3.54</v>
      </c>
      <c r="E235" s="137">
        <f t="shared" si="25"/>
        <v>3.54</v>
      </c>
      <c r="F235" s="137">
        <f t="shared" si="25"/>
        <v>3.54</v>
      </c>
      <c r="G235" s="137">
        <f t="shared" si="25"/>
        <v>3.54</v>
      </c>
      <c r="H235" s="137">
        <f t="shared" si="25"/>
        <v>3.54</v>
      </c>
      <c r="I235" s="137">
        <f t="shared" ca="1" si="25"/>
        <v>121.23900000000009</v>
      </c>
      <c r="J235" s="137">
        <f t="shared" ca="1" si="25"/>
        <v>121.23900000000009</v>
      </c>
      <c r="K235" s="137">
        <f t="shared" ca="1" si="25"/>
        <v>121.23900000000009</v>
      </c>
      <c r="L235" s="137">
        <f t="shared" ca="1" si="25"/>
        <v>125.2590000000001</v>
      </c>
      <c r="M235" s="137">
        <f t="shared" ca="1" si="25"/>
        <v>121.23900000000009</v>
      </c>
      <c r="N235" s="137">
        <f t="shared" ca="1" si="25"/>
        <v>121.23900000000009</v>
      </c>
      <c r="O235" s="137">
        <f t="shared" ca="1" si="25"/>
        <v>121.23900000000009</v>
      </c>
      <c r="P235" s="137">
        <f t="shared" ca="1" si="25"/>
        <v>121.23900000000009</v>
      </c>
      <c r="Q235" s="137">
        <f t="shared" si="25"/>
        <v>0</v>
      </c>
      <c r="R235" s="137">
        <f t="shared" si="25"/>
        <v>0</v>
      </c>
      <c r="S235" s="137">
        <f t="shared" si="25"/>
        <v>0</v>
      </c>
      <c r="T235" s="137">
        <f t="shared" si="25"/>
        <v>0</v>
      </c>
      <c r="U235" s="137">
        <f t="shared" si="25"/>
        <v>0</v>
      </c>
      <c r="V235" s="137">
        <f t="shared" si="25"/>
        <v>0</v>
      </c>
      <c r="W235" s="137">
        <f t="shared" si="25"/>
        <v>0</v>
      </c>
      <c r="X235" s="137">
        <f t="shared" si="25"/>
        <v>0</v>
      </c>
      <c r="Y235" s="137">
        <f t="shared" si="25"/>
        <v>0</v>
      </c>
      <c r="Z235" s="137">
        <f t="shared" si="25"/>
        <v>0</v>
      </c>
      <c r="AA235" s="137">
        <f t="shared" si="25"/>
        <v>0</v>
      </c>
      <c r="AB235" s="137">
        <f t="shared" si="25"/>
        <v>0</v>
      </c>
      <c r="AC235" s="137">
        <f t="shared" si="25"/>
        <v>0</v>
      </c>
      <c r="AD235" s="137">
        <f t="shared" si="25"/>
        <v>0</v>
      </c>
      <c r="AE235" s="137">
        <f t="shared" si="25"/>
        <v>0</v>
      </c>
      <c r="AF235" s="137">
        <f t="shared" si="25"/>
        <v>0</v>
      </c>
      <c r="AG235" s="146">
        <f t="shared" si="25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1840.3399999999997</v>
      </c>
      <c r="C244" s="162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09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2080/03/9)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2080/03/9)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6">B91</f>
        <v>1968.34</v>
      </c>
      <c r="U249" s="171">
        <f t="shared" si="26"/>
        <v>1954.34</v>
      </c>
      <c r="V249" s="171">
        <f t="shared" si="26"/>
        <v>1881.54</v>
      </c>
      <c r="W249" s="171">
        <f t="shared" si="26"/>
        <v>1865.54</v>
      </c>
      <c r="X249" s="171">
        <f t="shared" si="26"/>
        <v>1834.74</v>
      </c>
      <c r="Y249" s="171">
        <f t="shared" si="26"/>
        <v>1834.74</v>
      </c>
      <c r="Z249" s="171">
        <f t="shared" si="26"/>
        <v>1834.74</v>
      </c>
      <c r="AA249" s="171">
        <f t="shared" si="26"/>
        <v>1823.14</v>
      </c>
      <c r="AB249" s="171">
        <f t="shared" si="26"/>
        <v>1833.74</v>
      </c>
      <c r="AC249" s="171">
        <f t="shared" si="26"/>
        <v>1837.04</v>
      </c>
      <c r="AD249" s="171">
        <f t="shared" si="26"/>
        <v>1821.74</v>
      </c>
      <c r="AE249" s="171">
        <f t="shared" si="26"/>
        <v>1840.3399999999997</v>
      </c>
      <c r="AF249" s="171">
        <f t="shared" si="26"/>
        <v>1792.3400000000001</v>
      </c>
      <c r="AG249" s="171">
        <f t="shared" si="26"/>
        <v>1752.2400000000002</v>
      </c>
      <c r="AH249" s="171">
        <f t="shared" si="26"/>
        <v>1756.9400000000003</v>
      </c>
      <c r="AI249" s="171">
        <f t="shared" si="26"/>
        <v>1713.44</v>
      </c>
      <c r="AJ249" s="171">
        <f t="shared" si="26"/>
        <v>1734.1399999999999</v>
      </c>
      <c r="AK249" s="171">
        <f t="shared" si="26"/>
        <v>1765.2399999999998</v>
      </c>
      <c r="AL249" s="171">
        <f t="shared" si="26"/>
        <v>1768.54</v>
      </c>
      <c r="AM249" s="171">
        <f t="shared" si="26"/>
        <v>1756.04</v>
      </c>
      <c r="AN249" s="171">
        <f t="shared" si="26"/>
        <v>1738.34</v>
      </c>
      <c r="AO249" s="171">
        <f t="shared" si="26"/>
        <v>1725.9399999999998</v>
      </c>
      <c r="AP249" s="171">
        <f t="shared" si="26"/>
        <v>1763.24</v>
      </c>
      <c r="AQ249" s="171">
        <f t="shared" si="26"/>
        <v>1777.04</v>
      </c>
      <c r="AR249" s="171">
        <f t="shared" si="26"/>
        <v>1819.5399999999997</v>
      </c>
      <c r="AS249" s="171">
        <f t="shared" si="26"/>
        <v>1878.6399999999999</v>
      </c>
      <c r="AT249" s="171">
        <f t="shared" si="26"/>
        <v>1973.1399999999999</v>
      </c>
      <c r="AU249" s="171">
        <f t="shared" si="26"/>
        <v>2003.04</v>
      </c>
      <c r="AV249" s="171">
        <f t="shared" si="26"/>
        <v>1954.24</v>
      </c>
      <c r="AW249" s="171">
        <f t="shared" si="26"/>
        <v>1960.54</v>
      </c>
      <c r="AX249" s="171">
        <f t="shared" si="26"/>
        <v>1881.34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27">C234</f>
        <v>0.64</v>
      </c>
      <c r="C270" s="174">
        <f t="shared" si="27"/>
        <v>0.64</v>
      </c>
      <c r="D270" s="174">
        <f t="shared" si="27"/>
        <v>0.64</v>
      </c>
      <c r="E270" s="174">
        <f t="shared" si="27"/>
        <v>0.64</v>
      </c>
      <c r="F270" s="174">
        <f t="shared" si="27"/>
        <v>0.64</v>
      </c>
      <c r="G270" s="174">
        <f t="shared" si="27"/>
        <v>0.64</v>
      </c>
      <c r="H270" s="174">
        <f t="shared" si="27"/>
        <v>0.64</v>
      </c>
      <c r="I270" s="174">
        <f t="shared" si="27"/>
        <v>0.64</v>
      </c>
      <c r="J270" s="174">
        <f t="shared" si="27"/>
        <v>0.64</v>
      </c>
      <c r="K270" s="174">
        <f t="shared" si="27"/>
        <v>0.64</v>
      </c>
      <c r="L270" s="174">
        <f t="shared" si="27"/>
        <v>0.64</v>
      </c>
      <c r="M270" s="174">
        <f t="shared" si="27"/>
        <v>0.64</v>
      </c>
      <c r="N270" s="174">
        <f t="shared" si="27"/>
        <v>0.64</v>
      </c>
      <c r="O270" s="174">
        <f t="shared" si="27"/>
        <v>0.64</v>
      </c>
      <c r="P270" s="174">
        <f t="shared" si="27"/>
        <v>0</v>
      </c>
      <c r="Q270" s="174">
        <f t="shared" si="27"/>
        <v>0</v>
      </c>
      <c r="R270" s="174">
        <f t="shared" si="27"/>
        <v>0</v>
      </c>
      <c r="S270" s="174">
        <f t="shared" si="27"/>
        <v>0</v>
      </c>
      <c r="T270" s="174">
        <f t="shared" si="27"/>
        <v>0</v>
      </c>
      <c r="U270" s="174">
        <f t="shared" si="27"/>
        <v>0</v>
      </c>
      <c r="V270" s="174">
        <f t="shared" si="27"/>
        <v>0</v>
      </c>
      <c r="W270" s="174">
        <f t="shared" si="27"/>
        <v>0</v>
      </c>
      <c r="X270" s="174">
        <f t="shared" si="27"/>
        <v>0</v>
      </c>
      <c r="Y270" s="174">
        <f t="shared" si="27"/>
        <v>0</v>
      </c>
      <c r="Z270" s="174">
        <f t="shared" si="27"/>
        <v>0</v>
      </c>
      <c r="AA270" s="174">
        <f t="shared" si="27"/>
        <v>0</v>
      </c>
      <c r="AB270" s="174">
        <f t="shared" si="27"/>
        <v>0</v>
      </c>
      <c r="AC270" s="174">
        <f t="shared" si="27"/>
        <v>0</v>
      </c>
      <c r="AD270" s="174">
        <f t="shared" si="27"/>
        <v>0</v>
      </c>
      <c r="AE270" s="174">
        <f t="shared" si="27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28">IF(B238&lt;100,"",B238-520)</f>
        <v/>
      </c>
      <c r="C271" s="175" t="str">
        <f t="shared" si="28"/>
        <v/>
      </c>
      <c r="D271" s="175" t="str">
        <f t="shared" si="28"/>
        <v/>
      </c>
      <c r="E271" s="175" t="str">
        <f t="shared" si="28"/>
        <v/>
      </c>
      <c r="F271" s="175" t="str">
        <f t="shared" si="28"/>
        <v/>
      </c>
      <c r="G271" s="175" t="str">
        <f t="shared" si="28"/>
        <v/>
      </c>
      <c r="H271" s="175" t="str">
        <f t="shared" si="28"/>
        <v/>
      </c>
      <c r="I271" s="175" t="str">
        <f t="shared" si="28"/>
        <v/>
      </c>
      <c r="J271" s="175" t="str">
        <f t="shared" si="28"/>
        <v/>
      </c>
      <c r="K271" s="175" t="str">
        <f t="shared" si="28"/>
        <v/>
      </c>
      <c r="L271" s="175" t="str">
        <f t="shared" si="28"/>
        <v/>
      </c>
      <c r="M271" s="175" t="str">
        <f t="shared" si="28"/>
        <v/>
      </c>
      <c r="N271" s="175" t="str">
        <f t="shared" si="28"/>
        <v/>
      </c>
      <c r="O271" s="175" t="str">
        <f t="shared" si="28"/>
        <v/>
      </c>
      <c r="P271" s="175" t="str">
        <f t="shared" si="28"/>
        <v/>
      </c>
      <c r="Q271" s="175" t="str">
        <f t="shared" si="28"/>
        <v/>
      </c>
      <c r="R271" s="175" t="str">
        <f t="shared" si="28"/>
        <v/>
      </c>
      <c r="S271" s="175" t="str">
        <f t="shared" si="28"/>
        <v/>
      </c>
      <c r="T271" s="175" t="str">
        <f t="shared" si="28"/>
        <v/>
      </c>
      <c r="U271" s="175" t="str">
        <f t="shared" si="28"/>
        <v/>
      </c>
      <c r="V271" s="175" t="str">
        <f t="shared" si="28"/>
        <v/>
      </c>
      <c r="W271" s="175" t="str">
        <f t="shared" si="28"/>
        <v/>
      </c>
      <c r="X271" s="175" t="str">
        <f t="shared" si="28"/>
        <v/>
      </c>
      <c r="Y271" s="175" t="str">
        <f t="shared" si="28"/>
        <v/>
      </c>
      <c r="Z271" s="175" t="str">
        <f t="shared" si="28"/>
        <v/>
      </c>
      <c r="AA271" s="175" t="str">
        <f t="shared" si="28"/>
        <v/>
      </c>
      <c r="AB271" s="175" t="str">
        <f t="shared" si="28"/>
        <v/>
      </c>
      <c r="AC271" s="175" t="str">
        <f t="shared" si="28"/>
        <v/>
      </c>
      <c r="AD271" s="175" t="str">
        <f t="shared" si="28"/>
        <v/>
      </c>
      <c r="AE271" s="175" t="str">
        <f t="shared" si="28"/>
        <v/>
      </c>
      <c r="AF271" s="175" t="str">
        <f t="shared" si="28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29">IF(B239&lt;100,"",B239-620)</f>
        <v/>
      </c>
      <c r="C272" s="175" t="str">
        <f t="shared" si="29"/>
        <v/>
      </c>
      <c r="D272" s="175" t="str">
        <f t="shared" si="29"/>
        <v/>
      </c>
      <c r="E272" s="175" t="str">
        <f t="shared" si="29"/>
        <v/>
      </c>
      <c r="F272" s="175" t="str">
        <f t="shared" si="29"/>
        <v/>
      </c>
      <c r="G272" s="175" t="str">
        <f t="shared" si="29"/>
        <v/>
      </c>
      <c r="H272" s="175" t="str">
        <f t="shared" si="29"/>
        <v/>
      </c>
      <c r="I272" s="175" t="str">
        <f t="shared" si="29"/>
        <v/>
      </c>
      <c r="J272" s="175" t="str">
        <f t="shared" si="29"/>
        <v/>
      </c>
      <c r="K272" s="175" t="str">
        <f t="shared" si="29"/>
        <v/>
      </c>
      <c r="L272" s="175" t="str">
        <f t="shared" si="29"/>
        <v/>
      </c>
      <c r="M272" s="175" t="str">
        <f t="shared" si="29"/>
        <v/>
      </c>
      <c r="N272" s="175" t="str">
        <f t="shared" si="29"/>
        <v/>
      </c>
      <c r="O272" s="175" t="str">
        <f t="shared" si="29"/>
        <v/>
      </c>
      <c r="P272" s="175" t="str">
        <f t="shared" si="29"/>
        <v/>
      </c>
      <c r="Q272" s="175" t="str">
        <f t="shared" si="29"/>
        <v/>
      </c>
      <c r="R272" s="175" t="str">
        <f t="shared" si="29"/>
        <v/>
      </c>
      <c r="S272" s="175" t="str">
        <f t="shared" si="29"/>
        <v/>
      </c>
      <c r="T272" s="175" t="str">
        <f t="shared" si="29"/>
        <v/>
      </c>
      <c r="U272" s="175" t="str">
        <f t="shared" si="29"/>
        <v/>
      </c>
      <c r="V272" s="175" t="str">
        <f t="shared" si="29"/>
        <v/>
      </c>
      <c r="W272" s="175" t="str">
        <f t="shared" si="29"/>
        <v/>
      </c>
      <c r="X272" s="175" t="str">
        <f t="shared" si="29"/>
        <v/>
      </c>
      <c r="Y272" s="175" t="str">
        <f t="shared" si="29"/>
        <v/>
      </c>
      <c r="Z272" s="175" t="str">
        <f t="shared" si="29"/>
        <v/>
      </c>
      <c r="AA272" s="175" t="str">
        <f t="shared" si="29"/>
        <v/>
      </c>
      <c r="AB272" s="175" t="str">
        <f t="shared" si="29"/>
        <v/>
      </c>
      <c r="AC272" s="175" t="str">
        <f t="shared" si="29"/>
        <v/>
      </c>
      <c r="AD272" s="175" t="str">
        <f t="shared" si="29"/>
        <v/>
      </c>
      <c r="AE272" s="175" t="str">
        <f t="shared" si="29"/>
        <v/>
      </c>
      <c r="AF272" s="175" t="str">
        <f t="shared" si="29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30">IF(B240&lt;100,"",B240-330)</f>
        <v/>
      </c>
      <c r="C273" s="175" t="str">
        <f t="shared" si="30"/>
        <v/>
      </c>
      <c r="D273" s="175" t="str">
        <f t="shared" si="30"/>
        <v/>
      </c>
      <c r="E273" s="175" t="str">
        <f t="shared" si="30"/>
        <v/>
      </c>
      <c r="F273" s="175" t="str">
        <f t="shared" si="30"/>
        <v/>
      </c>
      <c r="G273" s="175" t="str">
        <f t="shared" si="30"/>
        <v/>
      </c>
      <c r="H273" s="175" t="str">
        <f t="shared" si="30"/>
        <v/>
      </c>
      <c r="I273" s="175" t="str">
        <f t="shared" si="30"/>
        <v/>
      </c>
      <c r="J273" s="175" t="str">
        <f t="shared" si="30"/>
        <v/>
      </c>
      <c r="K273" s="175" t="str">
        <f t="shared" si="30"/>
        <v/>
      </c>
      <c r="L273" s="175" t="str">
        <f t="shared" si="30"/>
        <v/>
      </c>
      <c r="M273" s="175" t="str">
        <f t="shared" si="30"/>
        <v/>
      </c>
      <c r="N273" s="175" t="str">
        <f t="shared" si="30"/>
        <v/>
      </c>
      <c r="O273" s="175" t="str">
        <f t="shared" si="30"/>
        <v/>
      </c>
      <c r="P273" s="175" t="str">
        <f t="shared" si="30"/>
        <v/>
      </c>
      <c r="Q273" s="175" t="str">
        <f t="shared" si="30"/>
        <v/>
      </c>
      <c r="R273" s="175" t="str">
        <f t="shared" si="30"/>
        <v/>
      </c>
      <c r="S273" s="175" t="str">
        <f t="shared" si="30"/>
        <v/>
      </c>
      <c r="T273" s="175" t="str">
        <f t="shared" si="30"/>
        <v/>
      </c>
      <c r="U273" s="175" t="str">
        <f t="shared" si="30"/>
        <v/>
      </c>
      <c r="V273" s="175" t="str">
        <f t="shared" si="30"/>
        <v/>
      </c>
      <c r="W273" s="175" t="str">
        <f t="shared" si="30"/>
        <v/>
      </c>
      <c r="X273" s="175" t="str">
        <f t="shared" si="30"/>
        <v/>
      </c>
      <c r="Y273" s="175" t="str">
        <f t="shared" si="30"/>
        <v/>
      </c>
      <c r="Z273" s="175" t="str">
        <f t="shared" si="30"/>
        <v/>
      </c>
      <c r="AA273" s="175" t="str">
        <f t="shared" si="30"/>
        <v/>
      </c>
      <c r="AB273" s="175" t="str">
        <f t="shared" si="30"/>
        <v/>
      </c>
      <c r="AC273" s="175" t="str">
        <f t="shared" si="30"/>
        <v/>
      </c>
      <c r="AD273" s="175" t="str">
        <f t="shared" si="30"/>
        <v/>
      </c>
      <c r="AE273" s="175" t="str">
        <f t="shared" si="30"/>
        <v/>
      </c>
      <c r="AF273" s="175" t="str">
        <f t="shared" si="30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31">IF(B241&lt;100,"",B241-1500)</f>
        <v/>
      </c>
      <c r="C274" s="175" t="str">
        <f t="shared" si="31"/>
        <v/>
      </c>
      <c r="D274" s="175" t="str">
        <f t="shared" si="31"/>
        <v/>
      </c>
      <c r="E274" s="175" t="str">
        <f t="shared" si="31"/>
        <v/>
      </c>
      <c r="F274" s="175" t="str">
        <f t="shared" si="31"/>
        <v/>
      </c>
      <c r="G274" s="175" t="str">
        <f t="shared" si="31"/>
        <v/>
      </c>
      <c r="H274" s="175" t="str">
        <f t="shared" si="31"/>
        <v/>
      </c>
      <c r="I274" s="175" t="str">
        <f t="shared" si="31"/>
        <v/>
      </c>
      <c r="J274" s="175" t="str">
        <f t="shared" si="31"/>
        <v/>
      </c>
      <c r="K274" s="175" t="str">
        <f t="shared" si="31"/>
        <v/>
      </c>
      <c r="L274" s="175" t="str">
        <f t="shared" si="31"/>
        <v/>
      </c>
      <c r="M274" s="175" t="str">
        <f t="shared" si="31"/>
        <v/>
      </c>
      <c r="N274" s="175" t="str">
        <f t="shared" si="31"/>
        <v/>
      </c>
      <c r="O274" s="175" t="str">
        <f t="shared" si="31"/>
        <v/>
      </c>
      <c r="P274" s="175" t="str">
        <f t="shared" si="31"/>
        <v/>
      </c>
      <c r="Q274" s="175" t="str">
        <f t="shared" si="31"/>
        <v/>
      </c>
      <c r="R274" s="175" t="str">
        <f t="shared" si="31"/>
        <v/>
      </c>
      <c r="S274" s="175" t="str">
        <f t="shared" si="31"/>
        <v/>
      </c>
      <c r="T274" s="175" t="str">
        <f t="shared" si="31"/>
        <v/>
      </c>
      <c r="U274" s="175" t="str">
        <f t="shared" si="31"/>
        <v/>
      </c>
      <c r="V274" s="175" t="str">
        <f t="shared" si="31"/>
        <v/>
      </c>
      <c r="W274" s="175" t="str">
        <f t="shared" si="31"/>
        <v/>
      </c>
      <c r="X274" s="175" t="str">
        <f t="shared" si="31"/>
        <v/>
      </c>
      <c r="Y274" s="175" t="str">
        <f t="shared" si="31"/>
        <v/>
      </c>
      <c r="Z274" s="175" t="str">
        <f t="shared" si="31"/>
        <v/>
      </c>
      <c r="AA274" s="175" t="str">
        <f t="shared" si="31"/>
        <v/>
      </c>
      <c r="AB274" s="175" t="str">
        <f t="shared" si="31"/>
        <v/>
      </c>
      <c r="AC274" s="175" t="str">
        <f t="shared" si="31"/>
        <v/>
      </c>
      <c r="AD274" s="175" t="str">
        <f t="shared" si="31"/>
        <v/>
      </c>
      <c r="AE274" s="175" t="str">
        <f t="shared" si="31"/>
        <v/>
      </c>
      <c r="AF274" s="175" t="str">
        <f t="shared" si="31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1916" priority="156">
      <formula>$AH11=0</formula>
    </cfRule>
  </conditionalFormatting>
  <conditionalFormatting sqref="B8 M8 S8 AB8">
    <cfRule type="expression" dxfId="1915" priority="410">
      <formula>C$9&lt;8/24</formula>
    </cfRule>
    <cfRule type="expression" dxfId="1914" priority="409">
      <formula>AND(C$9&gt;=8/24,C$9&lt;14/24)</formula>
    </cfRule>
    <cfRule type="expression" dxfId="1913" priority="408">
      <formula>AND(C$9&gt;=14/24,C$9&lt;20/24)</formula>
    </cfRule>
  </conditionalFormatting>
  <conditionalFormatting sqref="B73:AE73">
    <cfRule type="expression" dxfId="1912" priority="13">
      <formula>B$9&gt;=20/24</formula>
    </cfRule>
    <cfRule type="expression" dxfId="1911" priority="14">
      <formula>AND(B$9&gt;=14/24,B$9&lt;20/24)</formula>
    </cfRule>
    <cfRule type="expression" dxfId="1910" priority="15">
      <formula>AND(B$9&gt;=8/24,B$9&lt;14/24)</formula>
    </cfRule>
  </conditionalFormatting>
  <conditionalFormatting sqref="B9:AF45">
    <cfRule type="expression" dxfId="1909" priority="37">
      <formula>B$9&gt;=20/24</formula>
    </cfRule>
    <cfRule type="expression" dxfId="1908" priority="38">
      <formula>AND(B$9&gt;=14/24,B$9&lt;20/24)</formula>
    </cfRule>
    <cfRule type="expression" dxfId="1907" priority="39">
      <formula>AND(B$9&gt;=8/24,B$9&lt;14/24)</formula>
    </cfRule>
    <cfRule type="expression" dxfId="1906" priority="40">
      <formula>B$9&lt;8/24</formula>
    </cfRule>
  </conditionalFormatting>
  <conditionalFormatting sqref="B11:AF46">
    <cfRule type="expression" dxfId="1905" priority="35">
      <formula>B11&gt;$AG11</formula>
    </cfRule>
  </conditionalFormatting>
  <conditionalFormatting sqref="B46:AF46">
    <cfRule type="expression" dxfId="1904" priority="31">
      <formula>B$9&gt;=20/24</formula>
    </cfRule>
    <cfRule type="expression" dxfId="1903" priority="32">
      <formula>AND(B$9&gt;=14/24,B$9&lt;20/24)</formula>
    </cfRule>
    <cfRule type="expression" dxfId="1902" priority="33">
      <formula>AND(B$9&gt;=8/24,B$9&lt;14/24)</formula>
    </cfRule>
    <cfRule type="expression" dxfId="1901" priority="34">
      <formula>B$9&lt;8/24</formula>
    </cfRule>
  </conditionalFormatting>
  <conditionalFormatting sqref="B47:AF47">
    <cfRule type="expression" dxfId="1900" priority="66">
      <formula>B47&gt;$AG47</formula>
    </cfRule>
  </conditionalFormatting>
  <conditionalFormatting sqref="B47:AF49">
    <cfRule type="expression" dxfId="1899" priority="56">
      <formula>B$9&lt;8/24</formula>
    </cfRule>
    <cfRule type="expression" dxfId="1898" priority="53">
      <formula>B$9&gt;=20/24</formula>
    </cfRule>
    <cfRule type="expression" dxfId="1897" priority="55">
      <formula>AND(B$9&gt;=8/24,B$9&lt;14/24)</formula>
    </cfRule>
    <cfRule type="expression" dxfId="1896" priority="54">
      <formula>AND(B$9&gt;=14/24,B$9&lt;20/24)</formula>
    </cfRule>
  </conditionalFormatting>
  <conditionalFormatting sqref="B48:AF53">
    <cfRule type="expression" dxfId="1895" priority="51">
      <formula>B48&gt;$AG48</formula>
    </cfRule>
  </conditionalFormatting>
  <conditionalFormatting sqref="B51:AF53">
    <cfRule type="expression" dxfId="1894" priority="107">
      <formula>B$9&lt;8/24</formula>
    </cfRule>
    <cfRule type="expression" dxfId="1893" priority="106">
      <formula>AND(B$9&gt;=8/24,B$9&lt;14/24)</formula>
    </cfRule>
    <cfRule type="expression" dxfId="1892" priority="105">
      <formula>AND(B$9&gt;=14/24,B$9&lt;20/24)</formula>
    </cfRule>
    <cfRule type="expression" dxfId="1891" priority="104">
      <formula>B$9&gt;=20/24</formula>
    </cfRule>
  </conditionalFormatting>
  <conditionalFormatting sqref="B55:AF66">
    <cfRule type="expression" dxfId="1890" priority="19">
      <formula>AND(B$9&gt;=14/24,B$9&lt;20/24)</formula>
    </cfRule>
    <cfRule type="expression" dxfId="1889" priority="17">
      <formula>B55&gt;$AG55</formula>
    </cfRule>
    <cfRule type="expression" dxfId="1888" priority="18">
      <formula>B$9&gt;=20/24</formula>
    </cfRule>
    <cfRule type="expression" dxfId="1887" priority="20">
      <formula>AND(B$9&gt;=8/24,B$9&lt;14/24)</formula>
    </cfRule>
    <cfRule type="expression" dxfId="1886" priority="21">
      <formula>B$9&lt;8/24</formula>
    </cfRule>
  </conditionalFormatting>
  <conditionalFormatting sqref="B69:AF71 B73:B76 C76:J76">
    <cfRule type="expression" dxfId="1885" priority="125">
      <formula>B$9&lt;8/24</formula>
    </cfRule>
  </conditionalFormatting>
  <conditionalFormatting sqref="B69:AF71 B74:B76 C76:J76">
    <cfRule type="expression" dxfId="1884" priority="124">
      <formula>AND(B$9&gt;=8/24,B$9&lt;14/24)</formula>
    </cfRule>
    <cfRule type="expression" dxfId="1883" priority="122">
      <formula>B$9&gt;=20/24</formula>
    </cfRule>
    <cfRule type="expression" dxfId="1882" priority="123">
      <formula>AND(B$9&gt;=14/24,B$9&lt;20/24)</formula>
    </cfRule>
  </conditionalFormatting>
  <conditionalFormatting sqref="B69:AF71">
    <cfRule type="expression" dxfId="1881" priority="121">
      <formula>B69&gt;$AG69</formula>
    </cfRule>
  </conditionalFormatting>
  <conditionalFormatting sqref="B84:AF91">
    <cfRule type="expression" dxfId="1880" priority="77">
      <formula>B$9&gt;=20/24</formula>
    </cfRule>
    <cfRule type="expression" dxfId="1879" priority="78">
      <formula>AND(B$9&gt;=14/24,B$9&lt;20/24)</formula>
    </cfRule>
    <cfRule type="expression" dxfId="1878" priority="79">
      <formula>AND(B$9&gt;=8/24,B$9&lt;14/24)</formula>
    </cfRule>
    <cfRule type="expression" dxfId="1877" priority="80">
      <formula>B$9&lt;8/24</formula>
    </cfRule>
  </conditionalFormatting>
  <conditionalFormatting sqref="B111:AF120">
    <cfRule type="expression" dxfId="1876" priority="30">
      <formula>B$9&lt;8/24</formula>
    </cfRule>
    <cfRule type="expression" dxfId="1875" priority="29">
      <formula>AND(B$9&gt;=8/24,B$9&lt;14/24)</formula>
    </cfRule>
    <cfRule type="expression" dxfId="1874" priority="28">
      <formula>AND(B$9&gt;=14/24,B$9&lt;20/24)</formula>
    </cfRule>
    <cfRule type="expression" dxfId="1873" priority="27">
      <formula>B$9&gt;=20/24</formula>
    </cfRule>
  </conditionalFormatting>
  <conditionalFormatting sqref="B227:AF227 D229:AF230 B229:B235 D231:H231 J231:AF231 D232:AF235 U248:AF248">
    <cfRule type="expression" dxfId="1872" priority="401">
      <formula>B$9&gt;=20/24</formula>
    </cfRule>
    <cfRule type="expression" dxfId="1871" priority="403">
      <formula>AND(B$9&gt;=8/24,B$9&lt;14/24)</formula>
    </cfRule>
    <cfRule type="expression" dxfId="1870" priority="402">
      <formula>AND(B$9&gt;=14/24,B$9&lt;20/24)</formula>
    </cfRule>
    <cfRule type="expression" dxfId="1869" priority="404">
      <formula>B$9&lt;8/24</formula>
    </cfRule>
  </conditionalFormatting>
  <conditionalFormatting sqref="B54:AG54">
    <cfRule type="expression" dxfId="1868" priority="72">
      <formula>B54&gt;$AG54</formula>
    </cfRule>
    <cfRule type="expression" dxfId="1867" priority="73">
      <formula>B$9&gt;=20/24</formula>
    </cfRule>
    <cfRule type="expression" dxfId="1866" priority="74">
      <formula>AND(B$9&gt;=14/24,B$9&lt;20/24)</formula>
    </cfRule>
    <cfRule type="expression" dxfId="1865" priority="75">
      <formula>AND(B$9&gt;=8/24,B$9&lt;14/24)</formula>
    </cfRule>
    <cfRule type="expression" dxfId="1864" priority="76">
      <formula>B$9&lt;8/24</formula>
    </cfRule>
  </conditionalFormatting>
  <conditionalFormatting sqref="B67:AG68 B72:AG72">
    <cfRule type="expression" dxfId="1863" priority="81">
      <formula>B67&gt;$AG67</formula>
    </cfRule>
  </conditionalFormatting>
  <conditionalFormatting sqref="B72:AG72 B93:AF109">
    <cfRule type="expression" dxfId="1862" priority="82">
      <formula>B$9&gt;=20/24</formula>
    </cfRule>
    <cfRule type="expression" dxfId="1861" priority="84">
      <formula>AND(B$9&gt;=8/24,B$9&lt;14/24)</formula>
    </cfRule>
    <cfRule type="expression" dxfId="1860" priority="85">
      <formula>B$9&lt;8/24</formula>
    </cfRule>
    <cfRule type="expression" dxfId="1859" priority="83">
      <formula>AND(B$9&gt;=14/24,B$9&lt;20/24)</formula>
    </cfRule>
  </conditionalFormatting>
  <conditionalFormatting sqref="C73:E75">
    <cfRule type="expression" dxfId="1858" priority="210">
      <formula>C$9&lt;8/24</formula>
    </cfRule>
  </conditionalFormatting>
  <conditionalFormatting sqref="C74:AC75">
    <cfRule type="expression" dxfId="1857" priority="208">
      <formula>AND(C$9&gt;=14/24,C$9&lt;20/24)</formula>
    </cfRule>
    <cfRule type="expression" dxfId="1856" priority="209">
      <formula>AND(C$9&gt;=8/24,C$9&lt;14/24)</formula>
    </cfRule>
    <cfRule type="expression" dxfId="1855" priority="207">
      <formula>C$9&gt;=20/24</formula>
    </cfRule>
  </conditionalFormatting>
  <conditionalFormatting sqref="E77:J78 B77:D83">
    <cfRule type="expression" dxfId="1854" priority="88">
      <formula>AND(B$9&gt;=8/24,B$9&lt;14/24)</formula>
    </cfRule>
    <cfRule type="expression" dxfId="1853" priority="89">
      <formula>B$9&lt;8/24</formula>
    </cfRule>
    <cfRule type="expression" dxfId="1852" priority="87">
      <formula>AND(B$9&gt;=14/24,B$9&lt;20/24)</formula>
    </cfRule>
    <cfRule type="expression" dxfId="1851" priority="86">
      <formula>B$9&gt;=20/24</formula>
    </cfRule>
  </conditionalFormatting>
  <conditionalFormatting sqref="E79:AD83">
    <cfRule type="expression" dxfId="1850" priority="232">
      <formula>E$9&lt;8/24</formula>
    </cfRule>
    <cfRule type="expression" dxfId="1849" priority="229">
      <formula>E$9&gt;=20/24</formula>
    </cfRule>
    <cfRule type="expression" dxfId="1848" priority="230">
      <formula>AND(E$9&gt;=14/24,E$9&lt;20/24)</formula>
    </cfRule>
    <cfRule type="expression" dxfId="1847" priority="231">
      <formula>AND(E$9&gt;=8/24,E$9&lt;14/24)</formula>
    </cfRule>
  </conditionalFormatting>
  <conditionalFormatting sqref="F73:AE73">
    <cfRule type="expression" dxfId="1846" priority="16">
      <formula>F$9&lt;8/24</formula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845" priority="407">
      <formula>C$9&gt;=20/24</formula>
    </cfRule>
  </conditionalFormatting>
  <conditionalFormatting sqref="S8">
    <cfRule type="expression" dxfId="1844" priority="381">
      <formula>AND(U$9&gt;=14/24,U$9&lt;20/24)</formula>
    </cfRule>
    <cfRule type="expression" dxfId="1843" priority="383">
      <formula>U$9&lt;8/24</formula>
    </cfRule>
    <cfRule type="expression" dxfId="1842" priority="382">
      <formula>AND(U$9&gt;=8/24,U$9&lt;14/24)</formula>
    </cfRule>
    <cfRule type="expression" dxfId="1841" priority="380">
      <formula>U$9&gt;=20/24</formula>
    </cfRule>
  </conditionalFormatting>
  <conditionalFormatting sqref="T248">
    <cfRule type="expression" dxfId="1840" priority="420">
      <formula>AX$9&gt;=20/24</formula>
    </cfRule>
    <cfRule type="expression" dxfId="1839" priority="421">
      <formula>AND(AX$9&gt;=14/24,AX$9&lt;20/24)</formula>
    </cfRule>
    <cfRule type="expression" dxfId="1838" priority="422">
      <formula>AND(AX$9&gt;=8/24,AX$9&lt;14/24)</formula>
    </cfRule>
    <cfRule type="expression" dxfId="1837" priority="423">
      <formula>AX$9&lt;8/24</formula>
    </cfRule>
  </conditionalFormatting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836" priority="376">
      <formula>AD$9&gt;=20/24</formula>
    </cfRule>
    <cfRule type="expression" dxfId="1835" priority="378">
      <formula>AND(AD$9&gt;=8/24,AD$9&lt;14/24)</formula>
    </cfRule>
    <cfRule type="expression" dxfId="1834" priority="377">
      <formula>AND(AD$9&gt;=14/24,AD$9&lt;20/24)</formula>
    </cfRule>
    <cfRule type="expression" dxfId="1833" priority="379">
      <formula>AD$9&lt;8/24</formula>
    </cfRule>
  </conditionalFormatting>
  <conditionalFormatting sqref="AD74:AD78 K76:AC78">
    <cfRule type="expression" dxfId="1832" priority="273">
      <formula>AND(K$9&gt;=8/24,K$9&lt;14/24)</formula>
    </cfRule>
    <cfRule type="expression" dxfId="1831" priority="274">
      <formula>K$9&lt;8/24</formula>
    </cfRule>
    <cfRule type="expression" dxfId="1830" priority="271">
      <formula>K$9&gt;=20/24</formula>
    </cfRule>
    <cfRule type="expression" dxfId="1829" priority="272">
      <formula>AND(K$9&gt;=14/24,K$9&lt;20/24)</formula>
    </cfRule>
  </conditionalFormatting>
  <conditionalFormatting sqref="AE74:AE75">
    <cfRule type="expression" dxfId="1828" priority="9">
      <formula>AE$9&gt;=20/24</formula>
    </cfRule>
    <cfRule type="expression" dxfId="1827" priority="10">
      <formula>AND(AE$9&gt;=14/24,AE$9&lt;20/24)</formula>
    </cfRule>
    <cfRule type="expression" dxfId="1826" priority="11">
      <formula>AND(AE$9&gt;=8/24,AE$9&lt;14/24)</formula>
    </cfRule>
    <cfRule type="expression" dxfId="1825" priority="12">
      <formula>AE$9&lt;8/24</formula>
    </cfRule>
  </conditionalFormatting>
  <conditionalFormatting sqref="AE76:AF83">
    <cfRule type="expression" dxfId="1824" priority="3">
      <formula>AND(AE$9&gt;=8/24,AE$9&lt;14/24)</formula>
    </cfRule>
    <cfRule type="expression" dxfId="1823" priority="4">
      <formula>AE$9&lt;8/24</formula>
    </cfRule>
    <cfRule type="expression" dxfId="1822" priority="2">
      <formula>AND(AE$9&gt;=14/24,AE$9&lt;20/24)</formula>
    </cfRule>
    <cfRule type="expression" dxfId="1821" priority="1">
      <formula>AE$9&gt;=20/24</formula>
    </cfRule>
  </conditionalFormatting>
  <conditionalFormatting sqref="AF73:AF75 F74:AC75">
    <cfRule type="expression" dxfId="1820" priority="365">
      <formula>F$9&lt;8/24</formula>
    </cfRule>
  </conditionalFormatting>
  <conditionalFormatting sqref="AF73:AF75">
    <cfRule type="expression" dxfId="1819" priority="362">
      <formula>AF$9&gt;=20/24</formula>
    </cfRule>
    <cfRule type="expression" dxfId="1818" priority="363">
      <formula>AND(AF$9&gt;=14/24,AF$9&lt;20/24)</formula>
    </cfRule>
    <cfRule type="expression" dxfId="1817" priority="364">
      <formula>AND(AF$9&gt;=8/24,AF$9&lt;14/24)</formula>
    </cfRule>
  </conditionalFormatting>
  <conditionalFormatting sqref="AG50">
    <cfRule type="expression" dxfId="1816" priority="333">
      <formula>AG50&gt;$AG50</formula>
    </cfRule>
  </conditionalFormatting>
  <conditionalFormatting sqref="AG89">
    <cfRule type="expression" dxfId="1815" priority="335">
      <formula>AND(AG$9&gt;=14/24,AG$9&lt;20/24)</formula>
    </cfRule>
    <cfRule type="expression" dxfId="1814" priority="337">
      <formula>AG$9&lt;8/24</formula>
    </cfRule>
    <cfRule type="expression" dxfId="1813" priority="336">
      <formula>AND(AG$9&gt;=8/24,AG$9&lt;14/24)</formula>
    </cfRule>
    <cfRule type="expression" dxfId="1812" priority="334">
      <formula>AG$9&gt;=20/24</formula>
    </cfRule>
  </conditionalFormatting>
  <conditionalFormatting sqref="AG248">
    <cfRule type="expression" dxfId="1811" priority="413">
      <formula>AND(B$9&gt;=14/24,B$9&lt;20/24)</formula>
    </cfRule>
    <cfRule type="expression" dxfId="1810" priority="414">
      <formula>AND(B$9&gt;=8/24,B$9&lt;14/24)</formula>
    </cfRule>
    <cfRule type="expression" dxfId="1809" priority="415">
      <formula>B$9&lt;8/24</formula>
    </cfRule>
    <cfRule type="expression" dxfId="1808" priority="412">
      <formula>B$9&gt;=20/24</formula>
    </cfRule>
  </conditionalFormatting>
  <conditionalFormatting sqref="AH248:AX248">
    <cfRule type="expression" dxfId="1807" priority="416">
      <formula>AG$9&gt;=20/24</formula>
    </cfRule>
    <cfRule type="expression" dxfId="1806" priority="417">
      <formula>AND(AG$9&gt;=14/24,AG$9&lt;20/24)</formula>
    </cfRule>
    <cfRule type="expression" dxfId="1805" priority="418">
      <formula>AND(AG$9&gt;=8/24,AG$9&lt;14/24)</formula>
    </cfRule>
    <cfRule type="expression" dxfId="1804" priority="419">
      <formula>AG$9&lt;8/24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803" priority="425">
      <formula>AJ$9&gt;=20/24</formula>
    </cfRule>
    <cfRule type="expression" dxfId="1802" priority="426">
      <formula>AND(AJ$9&gt;=14/24,AJ$9&lt;20/24)</formula>
    </cfRule>
    <cfRule type="expression" dxfId="1801" priority="427">
      <formula>AND(AJ$9&gt;=8/24,AJ$9&lt;14/24)</formula>
    </cfRule>
    <cfRule type="expression" dxfId="1800" priority="428">
      <formula>AJ$9&lt;8/24</formula>
    </cfRule>
  </conditionalFormatting>
  <conditionalFormatting sqref="AL80:AN80 AL86:AN86">
    <cfRule type="expression" dxfId="1799" priority="228">
      <formula>AL$9&lt;8/24</formula>
    </cfRule>
    <cfRule type="expression" dxfId="1798" priority="227">
      <formula>AND(AL$9&gt;=8/24,AL$9&lt;14/24)</formula>
    </cfRule>
    <cfRule type="expression" dxfId="1797" priority="226">
      <formula>AND(AL$9&gt;=14/24,AL$9&lt;20/24)</formula>
    </cfRule>
    <cfRule type="expression" dxfId="1796" priority="225">
      <formula>AL$9&gt;=20/24</formula>
    </cfRule>
  </conditionalFormatting>
  <conditionalFormatting sqref="AN81:AN84">
    <cfRule type="expression" dxfId="1795" priority="223">
      <formula>AND(AN$9&gt;=8/24,AN$9&lt;14/24)</formula>
    </cfRule>
    <cfRule type="expression" dxfId="1794" priority="222">
      <formula>AND(AN$9&gt;=14/24,AN$9&lt;20/24)</formula>
    </cfRule>
    <cfRule type="expression" dxfId="1793" priority="221">
      <formula>AN$9&gt;=20/24</formula>
    </cfRule>
    <cfRule type="expression" dxfId="1792" priority="224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85D6-0CD7-4567-BF33-330DE41BDFE0}">
  <dimension ref="A1:CJ281"/>
  <sheetViews>
    <sheetView zoomScale="90" zoomScaleNormal="90" workbookViewId="0">
      <pane xSplit="1" ySplit="10" topLeftCell="B123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M58" sqref="M5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5" width="6.85546875" style="1" customWidth="1"/>
    <col min="26" max="26" width="7.5703125" style="1" customWidth="1"/>
    <col min="27" max="27" width="8.28515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2080/03/10</v>
      </c>
      <c r="C4" s="187"/>
      <c r="D4" s="187"/>
      <c r="E4" s="188" t="str">
        <f ca="1">"2079/"&amp;"12/"&amp;INT(MID(CELL("filename",G6),FIND("]",CELL("filename",G6))+1,200))</f>
        <v>2079/12/10</v>
      </c>
      <c r="F4" s="188"/>
      <c r="G4" s="188"/>
      <c r="H4" s="188" t="str">
        <f ca="1">TEXT(E4,"dddd")</f>
        <v>Sunday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53</v>
      </c>
      <c r="C5" s="30">
        <f t="shared" si="0"/>
        <v>22.9</v>
      </c>
      <c r="D5" s="30">
        <f t="shared" si="0"/>
        <v>68</v>
      </c>
      <c r="E5" s="30">
        <f t="shared" si="0"/>
        <v>12</v>
      </c>
      <c r="F5" s="30">
        <f t="shared" si="0"/>
        <v>37.700000000000003</v>
      </c>
      <c r="G5" s="30">
        <f t="shared" si="0"/>
        <v>11</v>
      </c>
      <c r="H5" s="30">
        <f t="shared" si="0"/>
        <v>40.200000000000003</v>
      </c>
      <c r="I5" s="30">
        <f t="shared" si="0"/>
        <v>19.2</v>
      </c>
      <c r="J5" s="30">
        <f t="shared" si="0"/>
        <v>32.9</v>
      </c>
      <c r="K5" s="30">
        <f t="shared" si="0"/>
        <v>26.4</v>
      </c>
      <c r="L5" s="30">
        <f t="shared" si="0"/>
        <v>13.3</v>
      </c>
      <c r="M5" s="30">
        <f t="shared" si="0"/>
        <v>35</v>
      </c>
      <c r="N5" s="30">
        <f t="shared" si="0"/>
        <v>35</v>
      </c>
      <c r="O5" s="30">
        <f t="shared" si="0"/>
        <v>14</v>
      </c>
      <c r="P5" s="30">
        <f t="shared" si="0"/>
        <v>14</v>
      </c>
      <c r="Q5" s="30">
        <f t="shared" si="0"/>
        <v>30</v>
      </c>
      <c r="R5" s="30">
        <f t="shared" si="0"/>
        <v>62</v>
      </c>
      <c r="S5" s="30">
        <f t="shared" si="0"/>
        <v>62</v>
      </c>
      <c r="T5" s="30">
        <f t="shared" si="0"/>
        <v>64.2</v>
      </c>
      <c r="U5" s="30">
        <f t="shared" si="0"/>
        <v>64.2</v>
      </c>
      <c r="V5" s="30">
        <f t="shared" si="0"/>
        <v>89</v>
      </c>
      <c r="W5" s="30">
        <f t="shared" si="0"/>
        <v>93.7</v>
      </c>
      <c r="X5" s="30">
        <f t="shared" si="0"/>
        <v>76.099999999999994</v>
      </c>
      <c r="Y5" s="30">
        <f t="shared" si="0"/>
        <v>73.3</v>
      </c>
      <c r="Z5" s="30">
        <f t="shared" si="0"/>
        <v>69.8</v>
      </c>
      <c r="AA5" s="30">
        <f t="shared" si="0"/>
        <v>95.8</v>
      </c>
      <c r="AB5" s="30">
        <f t="shared" si="0"/>
        <v>101.10000000000001</v>
      </c>
      <c r="AC5" s="30">
        <f t="shared" si="0"/>
        <v>71.7</v>
      </c>
      <c r="AD5" s="30">
        <f t="shared" si="0"/>
        <v>87.9</v>
      </c>
      <c r="AE5" s="30">
        <f t="shared" si="0"/>
        <v>80.599999999999994</v>
      </c>
      <c r="AF5" s="30">
        <f>B84</f>
        <v>56.1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1926MW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Load=1788</v>
      </c>
      <c r="B7" s="35">
        <f t="shared" ref="B7:AF7" si="1">B91</f>
        <v>1953.2399999999998</v>
      </c>
      <c r="C7" s="35">
        <f t="shared" si="1"/>
        <v>1889.44</v>
      </c>
      <c r="D7" s="35">
        <f t="shared" si="1"/>
        <v>1895.54</v>
      </c>
      <c r="E7" s="35">
        <f t="shared" si="1"/>
        <v>1923.4399999999998</v>
      </c>
      <c r="F7" s="35">
        <f t="shared" si="1"/>
        <v>1867.4399999999998</v>
      </c>
      <c r="G7" s="35">
        <f t="shared" si="1"/>
        <v>1865.0399999999997</v>
      </c>
      <c r="H7" s="35">
        <f t="shared" si="1"/>
        <v>1788.3399999999997</v>
      </c>
      <c r="I7" s="35">
        <f t="shared" si="1"/>
        <v>1834.0399999999997</v>
      </c>
      <c r="J7" s="35">
        <f t="shared" si="1"/>
        <v>1822.9399999999998</v>
      </c>
      <c r="K7" s="35">
        <f t="shared" si="1"/>
        <v>1842.94</v>
      </c>
      <c r="L7" s="35">
        <f t="shared" si="1"/>
        <v>1925.84</v>
      </c>
      <c r="M7" s="35">
        <f t="shared" si="1"/>
        <v>1886.9399999999998</v>
      </c>
      <c r="N7" s="35">
        <f>N91</f>
        <v>1850.84</v>
      </c>
      <c r="O7" s="35">
        <f t="shared" si="1"/>
        <v>1864.3400000000001</v>
      </c>
      <c r="P7" s="35">
        <f t="shared" si="1"/>
        <v>1866.6400000000003</v>
      </c>
      <c r="Q7" s="35">
        <f t="shared" si="1"/>
        <v>1866.6400000000003</v>
      </c>
      <c r="R7" s="35">
        <f t="shared" si="1"/>
        <v>1890.6400000000003</v>
      </c>
      <c r="S7" s="35">
        <f t="shared" si="1"/>
        <v>1917.1399999999999</v>
      </c>
      <c r="T7" s="35">
        <f t="shared" si="1"/>
        <v>1951.04</v>
      </c>
      <c r="U7" s="35">
        <f t="shared" si="1"/>
        <v>1968.7899999999997</v>
      </c>
      <c r="V7" s="35">
        <f t="shared" si="1"/>
        <v>1916.1899999999998</v>
      </c>
      <c r="W7" s="35">
        <f t="shared" si="1"/>
        <v>1940.9899999999998</v>
      </c>
      <c r="X7" s="35">
        <f t="shared" si="1"/>
        <v>1926.0900000000001</v>
      </c>
      <c r="Y7" s="35">
        <f t="shared" si="1"/>
        <v>1910.0499999999997</v>
      </c>
      <c r="Z7" s="35">
        <f t="shared" si="1"/>
        <v>1952.2499999999998</v>
      </c>
      <c r="AA7" s="35">
        <f t="shared" si="1"/>
        <v>1879.89</v>
      </c>
      <c r="AB7" s="35">
        <f t="shared" si="1"/>
        <v>2005.8500000000001</v>
      </c>
      <c r="AC7" s="35">
        <f t="shared" si="1"/>
        <v>2011.15</v>
      </c>
      <c r="AD7" s="35">
        <f t="shared" si="1"/>
        <v>1971.55</v>
      </c>
      <c r="AE7" s="35">
        <f t="shared" si="1"/>
        <v>1966.35</v>
      </c>
      <c r="AF7" s="35">
        <f t="shared" si="1"/>
        <v>1932.35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60.5</v>
      </c>
      <c r="C11" s="45">
        <v>60.5</v>
      </c>
      <c r="D11" s="45">
        <v>60.5</v>
      </c>
      <c r="E11" s="45">
        <v>60.5</v>
      </c>
      <c r="F11" s="45">
        <v>60.5</v>
      </c>
      <c r="G11" s="45">
        <v>60.5</v>
      </c>
      <c r="H11" s="45">
        <v>60.5</v>
      </c>
      <c r="I11" s="45">
        <v>60.5</v>
      </c>
      <c r="J11" s="45">
        <v>60.5</v>
      </c>
      <c r="K11" s="45">
        <v>60.5</v>
      </c>
      <c r="L11" s="45">
        <v>60.5</v>
      </c>
      <c r="M11" s="45">
        <v>60.5</v>
      </c>
      <c r="N11" s="45">
        <v>60.5</v>
      </c>
      <c r="O11" s="45">
        <v>60.5</v>
      </c>
      <c r="P11" s="45">
        <v>60.5</v>
      </c>
      <c r="Q11" s="45">
        <v>60.5</v>
      </c>
      <c r="R11" s="45">
        <v>60.5</v>
      </c>
      <c r="S11" s="45">
        <v>60.5</v>
      </c>
      <c r="T11" s="45">
        <v>60.5</v>
      </c>
      <c r="U11" s="45">
        <v>55.7</v>
      </c>
      <c r="V11" s="45">
        <v>55.7</v>
      </c>
      <c r="W11" s="45">
        <v>55.7</v>
      </c>
      <c r="X11" s="45">
        <v>60.5</v>
      </c>
      <c r="Y11" s="45">
        <v>60.5</v>
      </c>
      <c r="Z11" s="45">
        <v>60.5</v>
      </c>
      <c r="AA11" s="45">
        <v>60.5</v>
      </c>
      <c r="AB11" s="45">
        <v>60.5</v>
      </c>
      <c r="AC11" s="45">
        <v>60.5</v>
      </c>
      <c r="AD11" s="45">
        <v>60.5</v>
      </c>
      <c r="AE11" s="45">
        <v>60.5</v>
      </c>
      <c r="AF11" s="45">
        <v>60.5</v>
      </c>
      <c r="AG11" s="46">
        <v>86</v>
      </c>
      <c r="AH11" s="47">
        <f t="shared" ref="AH11:AH76" si="2">MAX(B11:AF11)</f>
        <v>60.5</v>
      </c>
      <c r="AI11" s="48">
        <f t="shared" ref="AI11:AI76" si="3">MIN(B11:AF11)</f>
        <v>55.7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9">
        <v>54</v>
      </c>
      <c r="AH12" s="47">
        <f t="shared" si="2"/>
        <v>0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</v>
      </c>
      <c r="C13" s="45">
        <v>54.1</v>
      </c>
      <c r="D13" s="45">
        <v>53.8</v>
      </c>
      <c r="E13" s="45">
        <v>53.9</v>
      </c>
      <c r="F13" s="45">
        <v>53.9</v>
      </c>
      <c r="G13" s="45">
        <v>53.9</v>
      </c>
      <c r="H13" s="45">
        <v>53.9</v>
      </c>
      <c r="I13" s="45">
        <v>53.9</v>
      </c>
      <c r="J13" s="45">
        <v>53.9</v>
      </c>
      <c r="K13" s="45">
        <v>53.9</v>
      </c>
      <c r="L13" s="45">
        <v>53.9</v>
      </c>
      <c r="M13" s="45">
        <v>53.9</v>
      </c>
      <c r="N13" s="45">
        <v>53.9</v>
      </c>
      <c r="O13" s="45">
        <v>53.9</v>
      </c>
      <c r="P13" s="45">
        <v>53.9</v>
      </c>
      <c r="Q13" s="45">
        <v>53.9</v>
      </c>
      <c r="R13" s="45">
        <v>53.9</v>
      </c>
      <c r="S13" s="45">
        <v>53.9</v>
      </c>
      <c r="T13" s="45">
        <v>53.9</v>
      </c>
      <c r="U13" s="45">
        <v>53.74</v>
      </c>
      <c r="V13" s="45">
        <v>53.74</v>
      </c>
      <c r="W13" s="45">
        <v>53.74</v>
      </c>
      <c r="X13" s="45">
        <v>53.74</v>
      </c>
      <c r="Y13" s="45">
        <v>53.8</v>
      </c>
      <c r="Z13" s="45">
        <v>53.7</v>
      </c>
      <c r="AA13" s="45">
        <v>53.8</v>
      </c>
      <c r="AB13" s="45">
        <v>53.9</v>
      </c>
      <c r="AC13" s="45">
        <v>53.9</v>
      </c>
      <c r="AD13" s="45">
        <v>53.9</v>
      </c>
      <c r="AE13" s="45">
        <v>53.9</v>
      </c>
      <c r="AF13" s="45">
        <v>53.9</v>
      </c>
      <c r="AG13" s="46">
        <v>52.4</v>
      </c>
      <c r="AH13" s="47">
        <f t="shared" si="2"/>
        <v>54.1</v>
      </c>
      <c r="AI13" s="48">
        <f t="shared" si="3"/>
        <v>53.7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45">
        <v>50.5</v>
      </c>
      <c r="C14" s="45">
        <v>50.3</v>
      </c>
      <c r="D14" s="45">
        <v>50.4</v>
      </c>
      <c r="E14" s="45">
        <v>50.5</v>
      </c>
      <c r="F14" s="45">
        <v>50.5</v>
      </c>
      <c r="G14" s="45">
        <v>50.5</v>
      </c>
      <c r="H14" s="45">
        <v>50.5</v>
      </c>
      <c r="I14" s="45">
        <v>50.5</v>
      </c>
      <c r="J14" s="45">
        <v>50.5</v>
      </c>
      <c r="K14" s="45">
        <v>50.5</v>
      </c>
      <c r="L14" s="45">
        <v>50.5</v>
      </c>
      <c r="M14" s="45">
        <v>50.5</v>
      </c>
      <c r="N14" s="45">
        <v>50.5</v>
      </c>
      <c r="O14" s="45">
        <v>50.5</v>
      </c>
      <c r="P14" s="45">
        <v>50.5</v>
      </c>
      <c r="Q14" s="45">
        <v>50.5</v>
      </c>
      <c r="R14" s="45">
        <v>50.5</v>
      </c>
      <c r="S14" s="45">
        <v>50.5</v>
      </c>
      <c r="T14" s="45">
        <v>50.5</v>
      </c>
      <c r="U14" s="50">
        <v>50.5</v>
      </c>
      <c r="V14" s="50">
        <v>50.5</v>
      </c>
      <c r="W14" s="50">
        <v>50.5</v>
      </c>
      <c r="X14" s="50">
        <v>50.5</v>
      </c>
      <c r="Y14" s="50">
        <v>50.4</v>
      </c>
      <c r="Z14" s="50">
        <v>50.4</v>
      </c>
      <c r="AA14" s="45">
        <v>50.4</v>
      </c>
      <c r="AB14" s="45">
        <v>50.2</v>
      </c>
      <c r="AC14" s="45">
        <v>50.2</v>
      </c>
      <c r="AD14" s="45">
        <v>50.2</v>
      </c>
      <c r="AE14" s="45">
        <v>50.2</v>
      </c>
      <c r="AF14" s="45">
        <v>50.2</v>
      </c>
      <c r="AG14" s="49">
        <v>50</v>
      </c>
      <c r="AH14" s="47">
        <f t="shared" si="2"/>
        <v>50.5</v>
      </c>
      <c r="AI14" s="48">
        <f t="shared" si="3"/>
        <v>50.2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46</v>
      </c>
      <c r="C15" s="45">
        <v>46.1</v>
      </c>
      <c r="D15" s="45">
        <v>46.1</v>
      </c>
      <c r="E15" s="45">
        <v>46</v>
      </c>
      <c r="F15" s="45">
        <v>46</v>
      </c>
      <c r="G15" s="45">
        <v>46</v>
      </c>
      <c r="H15" s="45">
        <v>46</v>
      </c>
      <c r="I15" s="45">
        <v>46</v>
      </c>
      <c r="J15" s="45">
        <v>46</v>
      </c>
      <c r="K15" s="45">
        <v>46</v>
      </c>
      <c r="L15" s="45">
        <v>46</v>
      </c>
      <c r="M15" s="45">
        <v>46</v>
      </c>
      <c r="N15" s="45">
        <v>46</v>
      </c>
      <c r="O15" s="45">
        <v>46</v>
      </c>
      <c r="P15" s="45">
        <v>46</v>
      </c>
      <c r="Q15" s="45">
        <v>46</v>
      </c>
      <c r="R15" s="45">
        <v>46</v>
      </c>
      <c r="S15" s="45">
        <v>46</v>
      </c>
      <c r="T15" s="45">
        <v>46</v>
      </c>
      <c r="U15" s="45">
        <v>45.9</v>
      </c>
      <c r="V15" s="45">
        <v>45.9</v>
      </c>
      <c r="W15" s="45">
        <v>45.9</v>
      </c>
      <c r="X15" s="45">
        <v>45.9</v>
      </c>
      <c r="Y15" s="45">
        <v>45.9</v>
      </c>
      <c r="Z15" s="45">
        <v>45.9</v>
      </c>
      <c r="AA15" s="45">
        <v>45.9</v>
      </c>
      <c r="AB15" s="45">
        <v>45.9</v>
      </c>
      <c r="AC15" s="45">
        <v>45.9</v>
      </c>
      <c r="AD15" s="45">
        <v>45.9</v>
      </c>
      <c r="AE15" s="45">
        <v>45.9</v>
      </c>
      <c r="AF15" s="45">
        <v>45.9</v>
      </c>
      <c r="AG15" s="49">
        <v>45</v>
      </c>
      <c r="AH15" s="47">
        <f t="shared" si="2"/>
        <v>46.1</v>
      </c>
      <c r="AI15" s="48">
        <f t="shared" si="3"/>
        <v>45.9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30</v>
      </c>
      <c r="C16" s="45">
        <v>10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10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38.5</v>
      </c>
      <c r="C17" s="45">
        <v>35.5</v>
      </c>
      <c r="D17" s="45">
        <v>30.3</v>
      </c>
      <c r="E17" s="45">
        <v>36.5</v>
      </c>
      <c r="F17" s="45">
        <v>36.5</v>
      </c>
      <c r="G17" s="45">
        <v>36.5</v>
      </c>
      <c r="H17" s="45">
        <v>36.5</v>
      </c>
      <c r="I17" s="45">
        <v>40</v>
      </c>
      <c r="J17" s="45">
        <v>40.5</v>
      </c>
      <c r="K17" s="45">
        <v>41.4</v>
      </c>
      <c r="L17" s="45">
        <v>41.4</v>
      </c>
      <c r="M17" s="45">
        <v>41.4</v>
      </c>
      <c r="N17" s="45">
        <v>41.4</v>
      </c>
      <c r="O17" s="45">
        <v>41.4</v>
      </c>
      <c r="P17" s="45">
        <v>41.4</v>
      </c>
      <c r="Q17" s="45">
        <v>41.4</v>
      </c>
      <c r="R17" s="45">
        <v>41.4</v>
      </c>
      <c r="S17" s="45">
        <v>30</v>
      </c>
      <c r="T17" s="45">
        <v>32.6</v>
      </c>
      <c r="U17" s="45">
        <v>33</v>
      </c>
      <c r="V17" s="45">
        <v>33</v>
      </c>
      <c r="W17" s="45">
        <v>33</v>
      </c>
      <c r="X17" s="45">
        <v>33</v>
      </c>
      <c r="Y17" s="45">
        <v>28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24</v>
      </c>
      <c r="AF17" s="45">
        <v>32</v>
      </c>
      <c r="AG17" s="49">
        <v>42</v>
      </c>
      <c r="AH17" s="47">
        <f t="shared" si="2"/>
        <v>41.4</v>
      </c>
      <c r="AI17" s="48">
        <f t="shared" si="3"/>
        <v>0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38.200000000000003</v>
      </c>
      <c r="C18" s="45">
        <v>38.200000000000003</v>
      </c>
      <c r="D18" s="45">
        <v>38.200000000000003</v>
      </c>
      <c r="E18" s="45">
        <v>38.200000000000003</v>
      </c>
      <c r="F18" s="45">
        <v>38.200000000000003</v>
      </c>
      <c r="G18" s="45">
        <v>38.200000000000003</v>
      </c>
      <c r="H18" s="45">
        <v>38.200000000000003</v>
      </c>
      <c r="I18" s="45">
        <v>38.200000000000003</v>
      </c>
      <c r="J18" s="45">
        <v>38.200000000000003</v>
      </c>
      <c r="K18" s="45">
        <v>38.200000000000003</v>
      </c>
      <c r="L18" s="45">
        <v>38.200000000000003</v>
      </c>
      <c r="M18" s="45">
        <v>38.200000000000003</v>
      </c>
      <c r="N18" s="45">
        <v>38.200000000000003</v>
      </c>
      <c r="O18" s="45">
        <v>38.200000000000003</v>
      </c>
      <c r="P18" s="45">
        <v>38.200000000000003</v>
      </c>
      <c r="Q18" s="45">
        <v>38.200000000000003</v>
      </c>
      <c r="R18" s="45">
        <v>38.200000000000003</v>
      </c>
      <c r="S18" s="45">
        <v>38.200000000000003</v>
      </c>
      <c r="T18" s="45">
        <v>38.200000000000003</v>
      </c>
      <c r="U18" s="45">
        <v>38.200000000000003</v>
      </c>
      <c r="V18" s="45">
        <v>38.200000000000003</v>
      </c>
      <c r="W18" s="45">
        <v>38.200000000000003</v>
      </c>
      <c r="X18" s="45">
        <v>38.200000000000003</v>
      </c>
      <c r="Y18" s="45">
        <v>38.200000000000003</v>
      </c>
      <c r="Z18" s="45">
        <v>38.200000000000003</v>
      </c>
      <c r="AA18" s="45">
        <v>28.2</v>
      </c>
      <c r="AB18" s="45">
        <v>28.2</v>
      </c>
      <c r="AC18" s="45">
        <v>28.2</v>
      </c>
      <c r="AD18" s="45">
        <v>28.2</v>
      </c>
      <c r="AE18" s="45">
        <v>28.2</v>
      </c>
      <c r="AF18" s="45">
        <v>28.2</v>
      </c>
      <c r="AG18" s="49">
        <v>38.46</v>
      </c>
      <c r="AH18" s="47">
        <f t="shared" si="2"/>
        <v>38.200000000000003</v>
      </c>
      <c r="AI18" s="48">
        <f t="shared" si="3"/>
        <v>28.2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24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25</v>
      </c>
      <c r="AE19" s="45">
        <v>25</v>
      </c>
      <c r="AF19" s="45">
        <v>25</v>
      </c>
      <c r="AG19" s="49">
        <v>36</v>
      </c>
      <c r="AH19" s="47">
        <f t="shared" si="2"/>
        <v>25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29.3</v>
      </c>
      <c r="C20" s="45">
        <v>28.7</v>
      </c>
      <c r="D20" s="45">
        <v>28.4</v>
      </c>
      <c r="E20" s="45">
        <v>20</v>
      </c>
      <c r="F20" s="45">
        <v>20</v>
      </c>
      <c r="G20" s="45">
        <v>20</v>
      </c>
      <c r="H20" s="45">
        <v>20</v>
      </c>
      <c r="I20" s="45">
        <v>20</v>
      </c>
      <c r="J20" s="45">
        <v>20</v>
      </c>
      <c r="K20" s="45">
        <v>20</v>
      </c>
      <c r="L20" s="45">
        <v>14.4</v>
      </c>
      <c r="M20" s="45">
        <v>14.4</v>
      </c>
      <c r="N20" s="45">
        <v>14.4</v>
      </c>
      <c r="O20" s="45">
        <v>14.4</v>
      </c>
      <c r="P20" s="45">
        <v>14.4</v>
      </c>
      <c r="Q20" s="45">
        <v>14.4</v>
      </c>
      <c r="R20" s="45">
        <v>14.4</v>
      </c>
      <c r="S20" s="45">
        <v>28.7</v>
      </c>
      <c r="T20" s="45">
        <v>28.7</v>
      </c>
      <c r="U20" s="45">
        <v>28.7</v>
      </c>
      <c r="V20" s="45">
        <v>28.7</v>
      </c>
      <c r="W20" s="45">
        <v>28.7</v>
      </c>
      <c r="X20" s="45">
        <v>28.7</v>
      </c>
      <c r="Y20" s="45">
        <v>29</v>
      </c>
      <c r="Z20" s="45">
        <v>28.8</v>
      </c>
      <c r="AA20" s="45">
        <v>29</v>
      </c>
      <c r="AB20" s="45">
        <v>28.6</v>
      </c>
      <c r="AC20" s="45">
        <v>28.6</v>
      </c>
      <c r="AD20" s="45">
        <v>28.6</v>
      </c>
      <c r="AE20" s="45">
        <v>28.6</v>
      </c>
      <c r="AF20" s="45">
        <v>28.6</v>
      </c>
      <c r="AG20" s="51">
        <v>30</v>
      </c>
      <c r="AH20" s="47">
        <f t="shared" si="2"/>
        <v>29.3</v>
      </c>
      <c r="AI20" s="48">
        <f t="shared" si="3"/>
        <v>14.4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20.8</v>
      </c>
      <c r="C21" s="45">
        <v>20.8</v>
      </c>
      <c r="D21" s="45">
        <v>20.8</v>
      </c>
      <c r="E21" s="45">
        <v>20.8</v>
      </c>
      <c r="F21" s="45">
        <v>20.8</v>
      </c>
      <c r="G21" s="45">
        <v>20.8</v>
      </c>
      <c r="H21" s="45">
        <v>20.8</v>
      </c>
      <c r="I21" s="45">
        <v>20.8</v>
      </c>
      <c r="J21" s="45">
        <v>20.8</v>
      </c>
      <c r="K21" s="45">
        <v>20.8</v>
      </c>
      <c r="L21" s="45">
        <v>20.8</v>
      </c>
      <c r="M21" s="45">
        <v>20.8</v>
      </c>
      <c r="N21" s="45">
        <v>20.8</v>
      </c>
      <c r="O21" s="45">
        <v>20.8</v>
      </c>
      <c r="P21" s="45">
        <v>20.8</v>
      </c>
      <c r="Q21" s="45">
        <v>20.8</v>
      </c>
      <c r="R21" s="45">
        <v>20.8</v>
      </c>
      <c r="S21" s="45">
        <v>20.8</v>
      </c>
      <c r="T21" s="45">
        <v>20.8</v>
      </c>
      <c r="U21" s="45">
        <v>18.8</v>
      </c>
      <c r="V21" s="45">
        <v>18.8</v>
      </c>
      <c r="W21" s="45">
        <v>18.8</v>
      </c>
      <c r="X21" s="45">
        <v>18.8</v>
      </c>
      <c r="Y21" s="45">
        <v>18.8</v>
      </c>
      <c r="Z21" s="45">
        <v>18.8</v>
      </c>
      <c r="AA21" s="45">
        <v>18.8</v>
      </c>
      <c r="AB21" s="45">
        <v>18.899999999999999</v>
      </c>
      <c r="AC21" s="45">
        <v>18.899999999999999</v>
      </c>
      <c r="AD21" s="45">
        <v>18.899999999999999</v>
      </c>
      <c r="AE21" s="45">
        <v>18.899999999999999</v>
      </c>
      <c r="AF21" s="45">
        <v>18.899999999999999</v>
      </c>
      <c r="AG21" s="49">
        <v>24.2</v>
      </c>
      <c r="AH21" s="47">
        <f t="shared" si="2"/>
        <v>20.8</v>
      </c>
      <c r="AI21" s="48">
        <f t="shared" si="3"/>
        <v>18.8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20</v>
      </c>
      <c r="Q22" s="45">
        <v>20</v>
      </c>
      <c r="R22" s="45">
        <v>20</v>
      </c>
      <c r="S22" s="45">
        <v>20</v>
      </c>
      <c r="T22" s="45">
        <v>20</v>
      </c>
      <c r="U22" s="45">
        <v>20</v>
      </c>
      <c r="V22" s="45">
        <v>20</v>
      </c>
      <c r="W22" s="45">
        <v>20</v>
      </c>
      <c r="X22" s="45">
        <v>20</v>
      </c>
      <c r="Y22" s="45">
        <v>20</v>
      </c>
      <c r="Z22" s="45">
        <v>20</v>
      </c>
      <c r="AA22" s="45">
        <v>20</v>
      </c>
      <c r="AB22" s="45">
        <v>20</v>
      </c>
      <c r="AC22" s="45">
        <v>20</v>
      </c>
      <c r="AD22" s="45">
        <v>20</v>
      </c>
      <c r="AE22" s="45">
        <v>20</v>
      </c>
      <c r="AF22" s="45">
        <v>20</v>
      </c>
      <c r="AG22" s="49">
        <v>28</v>
      </c>
      <c r="AH22" s="47">
        <f t="shared" si="2"/>
        <v>20</v>
      </c>
      <c r="AI22" s="48">
        <f t="shared" si="3"/>
        <v>20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9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26.2</v>
      </c>
      <c r="C24" s="45">
        <v>26</v>
      </c>
      <c r="D24" s="45">
        <v>26.1</v>
      </c>
      <c r="E24" s="45">
        <v>26.1</v>
      </c>
      <c r="F24" s="45">
        <v>26.1</v>
      </c>
      <c r="G24" s="45">
        <v>26.1</v>
      </c>
      <c r="H24" s="45">
        <v>26.1</v>
      </c>
      <c r="I24" s="45">
        <v>26.1</v>
      </c>
      <c r="J24" s="45">
        <v>26.1</v>
      </c>
      <c r="K24" s="45">
        <v>26.1</v>
      </c>
      <c r="L24" s="45">
        <v>26.1</v>
      </c>
      <c r="M24" s="45">
        <v>26.1</v>
      </c>
      <c r="N24" s="45">
        <v>26.1</v>
      </c>
      <c r="O24" s="45">
        <v>26.1</v>
      </c>
      <c r="P24" s="45">
        <v>26.1</v>
      </c>
      <c r="Q24" s="45">
        <v>26.1</v>
      </c>
      <c r="R24" s="45">
        <v>26.1</v>
      </c>
      <c r="S24" s="45">
        <v>26.1</v>
      </c>
      <c r="T24" s="45">
        <v>26.1</v>
      </c>
      <c r="U24" s="45">
        <v>25</v>
      </c>
      <c r="V24" s="45">
        <v>25</v>
      </c>
      <c r="W24" s="45">
        <v>25</v>
      </c>
      <c r="X24" s="45">
        <v>25</v>
      </c>
      <c r="Y24" s="45">
        <v>25</v>
      </c>
      <c r="Z24" s="45">
        <v>25</v>
      </c>
      <c r="AA24" s="45">
        <v>25</v>
      </c>
      <c r="AB24" s="45">
        <v>25</v>
      </c>
      <c r="AC24" s="45">
        <v>25</v>
      </c>
      <c r="AD24" s="45">
        <v>25</v>
      </c>
      <c r="AE24" s="45">
        <v>25</v>
      </c>
      <c r="AF24" s="45">
        <v>25</v>
      </c>
      <c r="AG24" s="49">
        <v>25</v>
      </c>
      <c r="AH24" s="47">
        <f t="shared" si="2"/>
        <v>26.2</v>
      </c>
      <c r="AI24" s="48">
        <f t="shared" si="3"/>
        <v>25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21.4</v>
      </c>
      <c r="C26" s="45">
        <v>21.4</v>
      </c>
      <c r="D26" s="45">
        <v>21.4</v>
      </c>
      <c r="E26" s="45">
        <v>21.4</v>
      </c>
      <c r="F26" s="45">
        <v>21.4</v>
      </c>
      <c r="G26" s="45">
        <v>21.4</v>
      </c>
      <c r="H26" s="45">
        <v>21.4</v>
      </c>
      <c r="I26" s="45">
        <v>21.4</v>
      </c>
      <c r="J26" s="45">
        <v>21.4</v>
      </c>
      <c r="K26" s="45">
        <v>21.4</v>
      </c>
      <c r="L26" s="45">
        <v>21.4</v>
      </c>
      <c r="M26" s="45">
        <v>21.4</v>
      </c>
      <c r="N26" s="45">
        <v>21.4</v>
      </c>
      <c r="O26" s="45">
        <v>21.4</v>
      </c>
      <c r="P26" s="45">
        <v>21.4</v>
      </c>
      <c r="Q26" s="45">
        <v>21.4</v>
      </c>
      <c r="R26" s="45">
        <v>21.4</v>
      </c>
      <c r="S26" s="45">
        <v>21.4</v>
      </c>
      <c r="T26" s="45">
        <v>21.4</v>
      </c>
      <c r="U26" s="45">
        <v>21.4</v>
      </c>
      <c r="V26" s="45">
        <v>21.4</v>
      </c>
      <c r="W26" s="45">
        <v>21.4</v>
      </c>
      <c r="X26" s="45">
        <v>21.4</v>
      </c>
      <c r="Y26" s="45">
        <v>21.4</v>
      </c>
      <c r="Z26" s="45">
        <v>21.4</v>
      </c>
      <c r="AA26" s="45">
        <v>21.4</v>
      </c>
      <c r="AB26" s="45">
        <v>21.4</v>
      </c>
      <c r="AC26" s="45">
        <v>21.4</v>
      </c>
      <c r="AD26" s="45">
        <v>21.4</v>
      </c>
      <c r="AE26" s="45">
        <v>21.4</v>
      </c>
      <c r="AF26" s="45">
        <v>21.4</v>
      </c>
      <c r="AG26" s="49">
        <v>25</v>
      </c>
      <c r="AH26" s="47">
        <f t="shared" si="2"/>
        <v>21.4</v>
      </c>
      <c r="AI26" s="48">
        <f t="shared" si="3"/>
        <v>21.4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25</v>
      </c>
      <c r="C27" s="45">
        <v>25</v>
      </c>
      <c r="D27" s="45">
        <v>25</v>
      </c>
      <c r="E27" s="45">
        <v>25</v>
      </c>
      <c r="F27" s="45">
        <v>25</v>
      </c>
      <c r="G27" s="45">
        <v>0</v>
      </c>
      <c r="H27" s="45">
        <v>0</v>
      </c>
      <c r="I27" s="45">
        <v>0</v>
      </c>
      <c r="J27" s="45">
        <v>25</v>
      </c>
      <c r="K27" s="45">
        <v>25</v>
      </c>
      <c r="L27" s="45">
        <v>25</v>
      </c>
      <c r="M27" s="45">
        <v>25</v>
      </c>
      <c r="N27" s="45">
        <v>25</v>
      </c>
      <c r="O27" s="45">
        <v>25</v>
      </c>
      <c r="P27" s="45">
        <v>25</v>
      </c>
      <c r="Q27" s="45">
        <v>25</v>
      </c>
      <c r="R27" s="45">
        <v>25</v>
      </c>
      <c r="S27" s="45">
        <v>25</v>
      </c>
      <c r="T27" s="45">
        <v>25</v>
      </c>
      <c r="U27" s="45">
        <v>25</v>
      </c>
      <c r="V27" s="45">
        <v>25</v>
      </c>
      <c r="W27" s="45">
        <v>25</v>
      </c>
      <c r="X27" s="45">
        <v>25</v>
      </c>
      <c r="Y27" s="45">
        <v>25</v>
      </c>
      <c r="Z27" s="45">
        <v>25</v>
      </c>
      <c r="AA27" s="45">
        <v>25</v>
      </c>
      <c r="AB27" s="45">
        <v>25</v>
      </c>
      <c r="AC27" s="45">
        <v>25</v>
      </c>
      <c r="AD27" s="45">
        <v>25</v>
      </c>
      <c r="AE27" s="45">
        <v>25</v>
      </c>
      <c r="AF27" s="45">
        <v>25</v>
      </c>
      <c r="AG27" s="49">
        <v>25</v>
      </c>
      <c r="AH27" s="47">
        <f t="shared" si="2"/>
        <v>25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17.899999999999999</v>
      </c>
      <c r="C28" s="45">
        <v>17.899999999999999</v>
      </c>
      <c r="D28" s="45">
        <v>20.6</v>
      </c>
      <c r="E28" s="45">
        <v>20.6</v>
      </c>
      <c r="F28" s="45">
        <v>20.6</v>
      </c>
      <c r="G28" s="45">
        <v>20.6</v>
      </c>
      <c r="H28" s="45">
        <v>20.6</v>
      </c>
      <c r="I28" s="45">
        <v>20.6</v>
      </c>
      <c r="J28" s="45">
        <v>11.9</v>
      </c>
      <c r="K28" s="45">
        <v>4.0999999999999996</v>
      </c>
      <c r="L28" s="45">
        <v>4.0999999999999996</v>
      </c>
      <c r="M28" s="45">
        <v>4.0999999999999996</v>
      </c>
      <c r="N28" s="45">
        <v>4.0999999999999996</v>
      </c>
      <c r="O28" s="45">
        <v>4.0999999999999996</v>
      </c>
      <c r="P28" s="45">
        <v>4.0999999999999996</v>
      </c>
      <c r="Q28" s="45">
        <v>4.0999999999999996</v>
      </c>
      <c r="R28" s="45">
        <v>4.0999999999999996</v>
      </c>
      <c r="S28" s="45">
        <v>16.3</v>
      </c>
      <c r="T28" s="45">
        <v>16.3</v>
      </c>
      <c r="U28" s="45">
        <v>16.3</v>
      </c>
      <c r="V28" s="45">
        <v>16.3</v>
      </c>
      <c r="W28" s="45">
        <v>16.3</v>
      </c>
      <c r="X28" s="45">
        <v>16.3</v>
      </c>
      <c r="Y28" s="45">
        <v>17</v>
      </c>
      <c r="Z28" s="45">
        <v>17</v>
      </c>
      <c r="AA28" s="45">
        <v>19.600000000000001</v>
      </c>
      <c r="AB28" s="45">
        <v>19.600000000000001</v>
      </c>
      <c r="AC28" s="45">
        <v>19.600000000000001</v>
      </c>
      <c r="AD28" s="45">
        <v>19.600000000000001</v>
      </c>
      <c r="AE28" s="45">
        <v>19.600000000000001</v>
      </c>
      <c r="AF28" s="45">
        <v>19.600000000000001</v>
      </c>
      <c r="AG28" s="49">
        <v>23.5</v>
      </c>
      <c r="AH28" s="47">
        <f t="shared" si="2"/>
        <v>20.6</v>
      </c>
      <c r="AI28" s="48">
        <f t="shared" si="3"/>
        <v>4.0999999999999996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15.8</v>
      </c>
      <c r="C29" s="45">
        <v>15.8</v>
      </c>
      <c r="D29" s="45">
        <v>15.8</v>
      </c>
      <c r="E29" s="45">
        <v>15.8</v>
      </c>
      <c r="F29" s="45">
        <v>15.8</v>
      </c>
      <c r="G29" s="45">
        <v>15.8</v>
      </c>
      <c r="H29" s="45">
        <v>15.8</v>
      </c>
      <c r="I29" s="45">
        <v>15.8</v>
      </c>
      <c r="J29" s="45">
        <v>15.8</v>
      </c>
      <c r="K29" s="45">
        <v>15.8</v>
      </c>
      <c r="L29" s="45">
        <v>15.8</v>
      </c>
      <c r="M29" s="45">
        <v>15.8</v>
      </c>
      <c r="N29" s="45">
        <v>15.8</v>
      </c>
      <c r="O29" s="45">
        <v>15.8</v>
      </c>
      <c r="P29" s="45">
        <v>15.8</v>
      </c>
      <c r="Q29" s="45">
        <v>15.8</v>
      </c>
      <c r="R29" s="45">
        <v>15.8</v>
      </c>
      <c r="S29" s="45">
        <v>15.8</v>
      </c>
      <c r="T29" s="45">
        <v>15.8</v>
      </c>
      <c r="U29" s="45">
        <v>15.8</v>
      </c>
      <c r="V29" s="45">
        <v>15.8</v>
      </c>
      <c r="W29" s="45">
        <v>15.8</v>
      </c>
      <c r="X29" s="45">
        <v>15.8</v>
      </c>
      <c r="Y29" s="45">
        <v>15.8</v>
      </c>
      <c r="Z29" s="45">
        <v>15.8</v>
      </c>
      <c r="AA29" s="45">
        <v>15.8</v>
      </c>
      <c r="AB29" s="45">
        <v>15.8</v>
      </c>
      <c r="AC29" s="45">
        <v>15.8</v>
      </c>
      <c r="AD29" s="45">
        <v>15.8</v>
      </c>
      <c r="AE29" s="45">
        <v>15.8</v>
      </c>
      <c r="AF29" s="45">
        <v>15.8</v>
      </c>
      <c r="AG29" s="49">
        <v>22.2</v>
      </c>
      <c r="AH29" s="47">
        <f t="shared" si="2"/>
        <v>15.8</v>
      </c>
      <c r="AI29" s="48">
        <f t="shared" si="3"/>
        <v>15.8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24.7</v>
      </c>
      <c r="C32" s="45">
        <v>24.6</v>
      </c>
      <c r="D32" s="45">
        <v>21.7</v>
      </c>
      <c r="E32" s="45">
        <v>20</v>
      </c>
      <c r="F32" s="45">
        <v>20</v>
      </c>
      <c r="G32" s="45">
        <v>20</v>
      </c>
      <c r="H32" s="45">
        <v>20</v>
      </c>
      <c r="I32" s="45">
        <v>18</v>
      </c>
      <c r="J32" s="45">
        <v>16</v>
      </c>
      <c r="K32" s="45">
        <v>16</v>
      </c>
      <c r="L32" s="45">
        <v>16</v>
      </c>
      <c r="M32" s="45">
        <v>16</v>
      </c>
      <c r="N32" s="45">
        <v>16</v>
      </c>
      <c r="O32" s="45">
        <v>16</v>
      </c>
      <c r="P32" s="45">
        <v>16</v>
      </c>
      <c r="Q32" s="45">
        <v>16</v>
      </c>
      <c r="R32" s="45">
        <v>16</v>
      </c>
      <c r="S32" s="45">
        <v>20.399999999999999</v>
      </c>
      <c r="T32" s="45">
        <v>20.399999999999999</v>
      </c>
      <c r="U32" s="45">
        <v>20.399999999999999</v>
      </c>
      <c r="V32" s="45">
        <v>20.399999999999999</v>
      </c>
      <c r="W32" s="45">
        <v>20.399999999999999</v>
      </c>
      <c r="X32" s="45">
        <v>20.399999999999999</v>
      </c>
      <c r="Y32" s="45">
        <v>17.8</v>
      </c>
      <c r="Z32" s="45">
        <v>18.5</v>
      </c>
      <c r="AA32" s="45">
        <v>17.8</v>
      </c>
      <c r="AB32" s="45">
        <v>17.8</v>
      </c>
      <c r="AC32" s="45">
        <v>17.8</v>
      </c>
      <c r="AD32" s="45">
        <v>17.8</v>
      </c>
      <c r="AE32" s="45">
        <v>17.8</v>
      </c>
      <c r="AF32" s="45">
        <v>17.8</v>
      </c>
      <c r="AG32" s="49">
        <v>22</v>
      </c>
      <c r="AH32" s="47">
        <f t="shared" si="2"/>
        <v>24.7</v>
      </c>
      <c r="AI32" s="48">
        <f t="shared" si="3"/>
        <v>16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4</v>
      </c>
      <c r="J33" s="45">
        <v>5</v>
      </c>
      <c r="K33" s="45">
        <v>10</v>
      </c>
      <c r="L33" s="45">
        <v>10</v>
      </c>
      <c r="M33" s="45">
        <v>10</v>
      </c>
      <c r="N33" s="45">
        <v>10</v>
      </c>
      <c r="O33" s="45">
        <v>10</v>
      </c>
      <c r="P33" s="45">
        <v>10</v>
      </c>
      <c r="Q33" s="45">
        <v>10</v>
      </c>
      <c r="R33" s="45">
        <v>10</v>
      </c>
      <c r="S33" s="45">
        <v>10</v>
      </c>
      <c r="T33" s="45">
        <v>10</v>
      </c>
      <c r="U33" s="45">
        <v>5</v>
      </c>
      <c r="V33" s="45">
        <v>5</v>
      </c>
      <c r="W33" s="45">
        <v>5</v>
      </c>
      <c r="X33" s="45">
        <v>5</v>
      </c>
      <c r="Y33" s="45">
        <v>10</v>
      </c>
      <c r="Z33" s="45">
        <v>15</v>
      </c>
      <c r="AA33" s="45">
        <v>10</v>
      </c>
      <c r="AB33" s="45">
        <v>20</v>
      </c>
      <c r="AC33" s="45">
        <v>20</v>
      </c>
      <c r="AD33" s="45">
        <v>20</v>
      </c>
      <c r="AE33" s="45">
        <v>10</v>
      </c>
      <c r="AF33" s="45">
        <v>4</v>
      </c>
      <c r="AG33" s="49">
        <v>20</v>
      </c>
      <c r="AH33" s="47">
        <f t="shared" si="2"/>
        <v>20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6.7</v>
      </c>
      <c r="P34" s="45">
        <v>6.7</v>
      </c>
      <c r="Q34" s="45">
        <v>6.7</v>
      </c>
      <c r="R34" s="45">
        <v>6.7</v>
      </c>
      <c r="S34" s="45">
        <v>6.7</v>
      </c>
      <c r="T34" s="45">
        <v>6.7</v>
      </c>
      <c r="U34" s="45">
        <v>6.7</v>
      </c>
      <c r="V34" s="45">
        <v>6.7</v>
      </c>
      <c r="W34" s="45">
        <v>6.7</v>
      </c>
      <c r="X34" s="45">
        <v>6.7</v>
      </c>
      <c r="Y34" s="45">
        <v>6.7</v>
      </c>
      <c r="Z34" s="45">
        <v>6.7</v>
      </c>
      <c r="AA34" s="45">
        <v>6.7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49">
        <v>18</v>
      </c>
      <c r="AH34" s="47">
        <f t="shared" si="2"/>
        <v>10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14</v>
      </c>
      <c r="C35" s="45">
        <v>14</v>
      </c>
      <c r="D35" s="45">
        <v>14</v>
      </c>
      <c r="E35" s="45">
        <v>14</v>
      </c>
      <c r="F35" s="45">
        <v>14</v>
      </c>
      <c r="G35" s="45">
        <v>14</v>
      </c>
      <c r="H35" s="45">
        <v>14</v>
      </c>
      <c r="I35" s="45">
        <v>14</v>
      </c>
      <c r="J35" s="45">
        <v>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0</v>
      </c>
      <c r="AG35" s="49">
        <v>14.9</v>
      </c>
      <c r="AH35" s="47">
        <f t="shared" si="2"/>
        <v>15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4</v>
      </c>
      <c r="C37" s="45">
        <v>4</v>
      </c>
      <c r="D37" s="45">
        <v>4</v>
      </c>
      <c r="E37" s="45">
        <v>4</v>
      </c>
      <c r="F37" s="45">
        <v>4</v>
      </c>
      <c r="G37" s="45">
        <v>4</v>
      </c>
      <c r="H37" s="45">
        <v>4</v>
      </c>
      <c r="I37" s="45">
        <v>4</v>
      </c>
      <c r="J37" s="45">
        <v>4</v>
      </c>
      <c r="K37" s="45">
        <v>4</v>
      </c>
      <c r="L37" s="45">
        <v>4</v>
      </c>
      <c r="M37" s="45">
        <v>4</v>
      </c>
      <c r="N37" s="45">
        <v>4</v>
      </c>
      <c r="O37" s="45">
        <v>4</v>
      </c>
      <c r="P37" s="45">
        <v>4</v>
      </c>
      <c r="Q37" s="45">
        <v>4</v>
      </c>
      <c r="R37" s="45">
        <v>4</v>
      </c>
      <c r="S37" s="45">
        <v>4</v>
      </c>
      <c r="T37" s="45">
        <v>4</v>
      </c>
      <c r="U37" s="45">
        <v>1.5</v>
      </c>
      <c r="V37" s="45">
        <v>1.5</v>
      </c>
      <c r="W37" s="45">
        <v>1.5</v>
      </c>
      <c r="X37" s="45">
        <v>1.5</v>
      </c>
      <c r="Y37" s="45">
        <v>1.5</v>
      </c>
      <c r="Z37" s="45">
        <v>1.5</v>
      </c>
      <c r="AA37" s="45">
        <v>1.5</v>
      </c>
      <c r="AB37" s="45">
        <v>1.5</v>
      </c>
      <c r="AC37" s="45">
        <v>1.5</v>
      </c>
      <c r="AD37" s="45">
        <v>1.5</v>
      </c>
      <c r="AE37" s="45">
        <v>1.5</v>
      </c>
      <c r="AF37" s="45">
        <v>1.5</v>
      </c>
      <c r="AG37" s="49">
        <v>13.6</v>
      </c>
      <c r="AH37" s="47">
        <f t="shared" si="2"/>
        <v>4</v>
      </c>
      <c r="AI37" s="48">
        <f t="shared" si="3"/>
        <v>1.5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12</v>
      </c>
      <c r="C39" s="45">
        <v>12</v>
      </c>
      <c r="D39" s="45">
        <v>12</v>
      </c>
      <c r="E39" s="45">
        <v>12</v>
      </c>
      <c r="F39" s="45">
        <v>12</v>
      </c>
      <c r="G39" s="45">
        <v>12</v>
      </c>
      <c r="H39" s="45">
        <v>12</v>
      </c>
      <c r="I39" s="45">
        <v>12</v>
      </c>
      <c r="J39" s="45">
        <v>12</v>
      </c>
      <c r="K39" s="45">
        <v>12</v>
      </c>
      <c r="L39" s="45">
        <v>12</v>
      </c>
      <c r="M39" s="45">
        <v>12</v>
      </c>
      <c r="N39" s="45">
        <v>12</v>
      </c>
      <c r="O39" s="45">
        <v>12</v>
      </c>
      <c r="P39" s="45">
        <v>12</v>
      </c>
      <c r="Q39" s="45">
        <v>12</v>
      </c>
      <c r="R39" s="45">
        <v>12</v>
      </c>
      <c r="S39" s="45">
        <v>12</v>
      </c>
      <c r="T39" s="45">
        <v>12</v>
      </c>
      <c r="U39" s="45">
        <v>12</v>
      </c>
      <c r="V39" s="45">
        <v>12</v>
      </c>
      <c r="W39" s="45">
        <v>12</v>
      </c>
      <c r="X39" s="45">
        <v>12</v>
      </c>
      <c r="Y39" s="45">
        <v>12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12</v>
      </c>
      <c r="AG39" s="49">
        <v>12</v>
      </c>
      <c r="AH39" s="47">
        <f t="shared" si="2"/>
        <v>12</v>
      </c>
      <c r="AI39" s="48">
        <f t="shared" si="3"/>
        <v>12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8</v>
      </c>
      <c r="C40" s="45">
        <v>8</v>
      </c>
      <c r="D40" s="45">
        <v>8</v>
      </c>
      <c r="E40" s="45">
        <v>8</v>
      </c>
      <c r="F40" s="45">
        <v>8</v>
      </c>
      <c r="G40" s="45">
        <v>8</v>
      </c>
      <c r="H40" s="45">
        <v>8</v>
      </c>
      <c r="I40" s="45">
        <v>8</v>
      </c>
      <c r="J40" s="45">
        <v>8</v>
      </c>
      <c r="K40" s="45">
        <v>8</v>
      </c>
      <c r="L40" s="45">
        <v>8</v>
      </c>
      <c r="M40" s="45">
        <v>8</v>
      </c>
      <c r="N40" s="45">
        <v>8</v>
      </c>
      <c r="O40" s="45">
        <v>8</v>
      </c>
      <c r="P40" s="45">
        <v>8</v>
      </c>
      <c r="Q40" s="45">
        <v>8</v>
      </c>
      <c r="R40" s="45">
        <v>8</v>
      </c>
      <c r="S40" s="45">
        <v>8</v>
      </c>
      <c r="T40" s="45">
        <v>8</v>
      </c>
      <c r="U40" s="45">
        <v>8</v>
      </c>
      <c r="V40" s="45">
        <v>8</v>
      </c>
      <c r="W40" s="45">
        <v>8</v>
      </c>
      <c r="X40" s="45">
        <v>8</v>
      </c>
      <c r="Y40" s="45">
        <v>8</v>
      </c>
      <c r="Z40" s="45">
        <v>8</v>
      </c>
      <c r="AA40" s="45">
        <v>8</v>
      </c>
      <c r="AB40" s="45">
        <v>8</v>
      </c>
      <c r="AC40" s="45">
        <v>8</v>
      </c>
      <c r="AD40" s="45">
        <v>8</v>
      </c>
      <c r="AE40" s="45">
        <v>8</v>
      </c>
      <c r="AF40" s="45">
        <v>8</v>
      </c>
      <c r="AG40" s="49">
        <v>12</v>
      </c>
      <c r="AH40" s="47">
        <f t="shared" si="2"/>
        <v>8</v>
      </c>
      <c r="AI40" s="48">
        <f t="shared" si="3"/>
        <v>8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11</v>
      </c>
      <c r="C41" s="45">
        <v>11</v>
      </c>
      <c r="D41" s="45">
        <v>11</v>
      </c>
      <c r="E41" s="45">
        <v>11</v>
      </c>
      <c r="F41" s="45">
        <v>11</v>
      </c>
      <c r="G41" s="45">
        <v>11</v>
      </c>
      <c r="H41" s="45">
        <v>11</v>
      </c>
      <c r="I41" s="45">
        <v>11</v>
      </c>
      <c r="J41" s="45">
        <v>11</v>
      </c>
      <c r="K41" s="45">
        <v>11</v>
      </c>
      <c r="L41" s="45">
        <v>11</v>
      </c>
      <c r="M41" s="45">
        <v>11</v>
      </c>
      <c r="N41" s="45">
        <v>11</v>
      </c>
      <c r="O41" s="45">
        <v>11</v>
      </c>
      <c r="P41" s="45">
        <v>11</v>
      </c>
      <c r="Q41" s="45">
        <v>11</v>
      </c>
      <c r="R41" s="45">
        <v>11</v>
      </c>
      <c r="S41" s="45">
        <v>11</v>
      </c>
      <c r="T41" s="45">
        <v>11</v>
      </c>
      <c r="U41" s="45">
        <v>11</v>
      </c>
      <c r="V41" s="45">
        <v>11</v>
      </c>
      <c r="W41" s="45">
        <v>11</v>
      </c>
      <c r="X41" s="45">
        <v>11</v>
      </c>
      <c r="Y41" s="45">
        <v>11</v>
      </c>
      <c r="Z41" s="45">
        <v>11</v>
      </c>
      <c r="AA41" s="45">
        <v>11</v>
      </c>
      <c r="AB41" s="45">
        <v>11</v>
      </c>
      <c r="AC41" s="45">
        <v>11</v>
      </c>
      <c r="AD41" s="45">
        <v>11</v>
      </c>
      <c r="AE41" s="45">
        <v>11</v>
      </c>
      <c r="AF41" s="45">
        <v>11</v>
      </c>
      <c r="AG41" s="49">
        <v>12</v>
      </c>
      <c r="AH41" s="47">
        <f t="shared" si="2"/>
        <v>11</v>
      </c>
      <c r="AI41" s="48">
        <f t="shared" si="3"/>
        <v>11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10.199999999999999</v>
      </c>
      <c r="C42" s="45">
        <v>10.199999999999999</v>
      </c>
      <c r="D42" s="45">
        <v>10.199999999999999</v>
      </c>
      <c r="E42" s="45">
        <v>10.199999999999999</v>
      </c>
      <c r="F42" s="45">
        <v>10.199999999999999</v>
      </c>
      <c r="G42" s="45">
        <v>10.199999999999999</v>
      </c>
      <c r="H42" s="45">
        <v>10.199999999999999</v>
      </c>
      <c r="I42" s="45">
        <v>10.199999999999999</v>
      </c>
      <c r="J42" s="45">
        <v>10.199999999999999</v>
      </c>
      <c r="K42" s="45">
        <v>10.199999999999999</v>
      </c>
      <c r="L42" s="45">
        <v>10.199999999999999</v>
      </c>
      <c r="M42" s="45">
        <v>10.199999999999999</v>
      </c>
      <c r="N42" s="45">
        <v>10.199999999999999</v>
      </c>
      <c r="O42" s="45">
        <v>10.199999999999999</v>
      </c>
      <c r="P42" s="45">
        <v>10.199999999999999</v>
      </c>
      <c r="Q42" s="45">
        <v>10.199999999999999</v>
      </c>
      <c r="R42" s="45">
        <v>10.199999999999999</v>
      </c>
      <c r="S42" s="45">
        <v>10.199999999999999</v>
      </c>
      <c r="T42" s="45">
        <v>10.199999999999999</v>
      </c>
      <c r="U42" s="45">
        <v>10.199999999999999</v>
      </c>
      <c r="V42" s="45">
        <v>10.199999999999999</v>
      </c>
      <c r="W42" s="45">
        <v>10.199999999999999</v>
      </c>
      <c r="X42" s="45">
        <v>10.199999999999999</v>
      </c>
      <c r="Y42" s="45">
        <v>10.199999999999999</v>
      </c>
      <c r="Z42" s="45">
        <v>10.199999999999999</v>
      </c>
      <c r="AA42" s="45">
        <v>10.199999999999999</v>
      </c>
      <c r="AB42" s="45">
        <v>10.199999999999999</v>
      </c>
      <c r="AC42" s="45">
        <v>10.199999999999999</v>
      </c>
      <c r="AD42" s="45">
        <v>10.199999999999999</v>
      </c>
      <c r="AE42" s="45">
        <v>10.199999999999999</v>
      </c>
      <c r="AF42" s="45">
        <v>10.199999999999999</v>
      </c>
      <c r="AG42" s="52">
        <v>22</v>
      </c>
      <c r="AH42" s="47">
        <f t="shared" si="2"/>
        <v>10.199999999999999</v>
      </c>
      <c r="AI42" s="48">
        <f t="shared" si="3"/>
        <v>10.199999999999999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7</v>
      </c>
      <c r="C44" s="45">
        <v>7</v>
      </c>
      <c r="D44" s="45">
        <v>7</v>
      </c>
      <c r="E44" s="45">
        <v>7</v>
      </c>
      <c r="F44" s="45">
        <v>7</v>
      </c>
      <c r="G44" s="45">
        <v>7</v>
      </c>
      <c r="H44" s="45">
        <v>7</v>
      </c>
      <c r="I44" s="45">
        <v>7</v>
      </c>
      <c r="J44" s="45">
        <v>7</v>
      </c>
      <c r="K44" s="45">
        <v>7</v>
      </c>
      <c r="L44" s="45">
        <v>7</v>
      </c>
      <c r="M44" s="45">
        <v>7</v>
      </c>
      <c r="N44" s="45">
        <v>7</v>
      </c>
      <c r="O44" s="45">
        <v>7</v>
      </c>
      <c r="P44" s="45">
        <v>7</v>
      </c>
      <c r="Q44" s="45">
        <v>7</v>
      </c>
      <c r="R44" s="45">
        <v>7</v>
      </c>
      <c r="S44" s="45">
        <v>7</v>
      </c>
      <c r="T44" s="45">
        <v>7</v>
      </c>
      <c r="U44" s="45">
        <v>10.210000000000001</v>
      </c>
      <c r="V44" s="45">
        <v>10.210000000000001</v>
      </c>
      <c r="W44" s="45">
        <v>10.210000000000001</v>
      </c>
      <c r="X44" s="45">
        <v>10.210000000000001</v>
      </c>
      <c r="Y44" s="45">
        <v>10.210000000000001</v>
      </c>
      <c r="Z44" s="45">
        <v>10.210000000000001</v>
      </c>
      <c r="AA44" s="45">
        <v>10.210000000000001</v>
      </c>
      <c r="AB44" s="45">
        <v>10.210000000000001</v>
      </c>
      <c r="AC44" s="45">
        <v>10.210000000000001</v>
      </c>
      <c r="AD44" s="45">
        <v>10.210000000000001</v>
      </c>
      <c r="AE44" s="45">
        <v>10.210000000000001</v>
      </c>
      <c r="AF44" s="45">
        <v>10.210000000000001</v>
      </c>
      <c r="AG44" s="54">
        <v>11</v>
      </c>
      <c r="AH44" s="47">
        <f t="shared" si="2"/>
        <v>10.210000000000001</v>
      </c>
      <c r="AI44" s="48">
        <f t="shared" si="3"/>
        <v>7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0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10</v>
      </c>
      <c r="AI46" s="48">
        <f t="shared" si="3"/>
        <v>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C50" si="4">SUM(B11:B48)</f>
        <v>923.3</v>
      </c>
      <c r="C50" s="59">
        <f t="shared" si="4"/>
        <v>899.4</v>
      </c>
      <c r="D50" s="59">
        <f t="shared" ref="D50:AF50" si="5">SUM(D11:D48)</f>
        <v>927.59999999999991</v>
      </c>
      <c r="E50" s="59">
        <f t="shared" si="5"/>
        <v>923.8</v>
      </c>
      <c r="F50" s="59">
        <f t="shared" si="5"/>
        <v>923.8</v>
      </c>
      <c r="G50" s="59">
        <f t="shared" si="5"/>
        <v>898.8</v>
      </c>
      <c r="H50" s="59">
        <f t="shared" si="5"/>
        <v>898.8</v>
      </c>
      <c r="I50" s="59">
        <f t="shared" si="5"/>
        <v>914.3</v>
      </c>
      <c r="J50" s="59">
        <f t="shared" si="5"/>
        <v>921.09999999999991</v>
      </c>
      <c r="K50" s="59">
        <f t="shared" si="5"/>
        <v>929.2</v>
      </c>
      <c r="L50" s="59">
        <f t="shared" si="5"/>
        <v>923.6</v>
      </c>
      <c r="M50" s="59">
        <f t="shared" si="5"/>
        <v>913.6</v>
      </c>
      <c r="N50" s="59">
        <f t="shared" si="5"/>
        <v>913.6</v>
      </c>
      <c r="O50" s="59">
        <f t="shared" si="5"/>
        <v>920.30000000000007</v>
      </c>
      <c r="P50" s="59">
        <f t="shared" si="5"/>
        <v>920.30000000000007</v>
      </c>
      <c r="Q50" s="59">
        <f t="shared" si="5"/>
        <v>920.30000000000007</v>
      </c>
      <c r="R50" s="59">
        <f t="shared" si="5"/>
        <v>920.30000000000007</v>
      </c>
      <c r="S50" s="59">
        <f t="shared" si="5"/>
        <v>939.8</v>
      </c>
      <c r="T50" s="59">
        <f t="shared" si="5"/>
        <v>942.4</v>
      </c>
      <c r="U50" s="59">
        <f t="shared" si="5"/>
        <v>929.35</v>
      </c>
      <c r="V50" s="59">
        <f t="shared" si="5"/>
        <v>905.35</v>
      </c>
      <c r="W50" s="59">
        <f t="shared" si="5"/>
        <v>905.35</v>
      </c>
      <c r="X50" s="59">
        <f t="shared" si="5"/>
        <v>910.15</v>
      </c>
      <c r="Y50" s="59">
        <f t="shared" si="5"/>
        <v>908.51</v>
      </c>
      <c r="Z50" s="59">
        <f t="shared" si="5"/>
        <v>885.91000000000008</v>
      </c>
      <c r="AA50" s="59">
        <f t="shared" ref="AA50" si="6">SUM(AA11:AA48)</f>
        <v>873.11000000000013</v>
      </c>
      <c r="AB50" s="59">
        <f t="shared" si="5"/>
        <v>886.0100000000001</v>
      </c>
      <c r="AC50" s="59">
        <f t="shared" si="5"/>
        <v>886.0100000000001</v>
      </c>
      <c r="AD50" s="59">
        <f t="shared" si="5"/>
        <v>911.01</v>
      </c>
      <c r="AE50" s="59">
        <f t="shared" si="5"/>
        <v>925.01</v>
      </c>
      <c r="AF50" s="59">
        <f t="shared" si="5"/>
        <v>912.01</v>
      </c>
      <c r="AG50" s="60">
        <f>SUM(AG13:AG48)</f>
        <v>922.14</v>
      </c>
      <c r="AH50" s="47">
        <f t="shared" si="2"/>
        <v>942.4</v>
      </c>
      <c r="AI50" s="48">
        <f t="shared" si="3"/>
        <v>873.11000000000013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22.4</v>
      </c>
      <c r="C53" s="66">
        <v>22.4</v>
      </c>
      <c r="D53" s="66">
        <v>22.4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>
        <v>22.5</v>
      </c>
      <c r="K53" s="66">
        <v>22.5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22.4</v>
      </c>
      <c r="AK53" s="74"/>
    </row>
    <row r="54" spans="1:41" ht="15.75" thickBot="1" x14ac:dyDescent="0.3">
      <c r="A54" s="68" t="s">
        <v>70</v>
      </c>
      <c r="B54" s="59">
        <f t="shared" ref="B54:C54" si="7">SUM(B51:B53)</f>
        <v>533.4</v>
      </c>
      <c r="C54" s="59">
        <f t="shared" si="7"/>
        <v>533.4</v>
      </c>
      <c r="D54" s="59">
        <f t="shared" ref="D54:AG54" si="8">SUM(D51:D53)</f>
        <v>533.4</v>
      </c>
      <c r="E54" s="59">
        <f t="shared" si="8"/>
        <v>533.4</v>
      </c>
      <c r="F54" s="59">
        <f t="shared" ref="F54" si="9">SUM(F51:F53)</f>
        <v>533.4</v>
      </c>
      <c r="G54" s="59">
        <f t="shared" si="8"/>
        <v>533.4</v>
      </c>
      <c r="H54" s="59">
        <f t="shared" si="8"/>
        <v>533.4</v>
      </c>
      <c r="I54" s="59">
        <f t="shared" si="8"/>
        <v>533.4</v>
      </c>
      <c r="J54" s="59">
        <f t="shared" si="8"/>
        <v>533.5</v>
      </c>
      <c r="K54" s="59">
        <f t="shared" si="8"/>
        <v>533.5</v>
      </c>
      <c r="L54" s="59">
        <f t="shared" si="8"/>
        <v>533.5</v>
      </c>
      <c r="M54" s="59">
        <f t="shared" si="8"/>
        <v>533.5</v>
      </c>
      <c r="N54" s="59">
        <f t="shared" si="8"/>
        <v>533.5</v>
      </c>
      <c r="O54" s="59">
        <f t="shared" si="8"/>
        <v>533.5</v>
      </c>
      <c r="P54" s="59">
        <f t="shared" si="8"/>
        <v>533.5</v>
      </c>
      <c r="Q54" s="59">
        <f t="shared" si="8"/>
        <v>533.5</v>
      </c>
      <c r="R54" s="59">
        <f t="shared" si="8"/>
        <v>533.5</v>
      </c>
      <c r="S54" s="59">
        <f t="shared" si="8"/>
        <v>533.5</v>
      </c>
      <c r="T54" s="59">
        <f t="shared" si="8"/>
        <v>533.5</v>
      </c>
      <c r="U54" s="59">
        <f t="shared" si="8"/>
        <v>533.5</v>
      </c>
      <c r="V54" s="59">
        <f t="shared" si="8"/>
        <v>533.5</v>
      </c>
      <c r="W54" s="59">
        <f t="shared" si="8"/>
        <v>533.5</v>
      </c>
      <c r="X54" s="59">
        <f t="shared" si="8"/>
        <v>533.5</v>
      </c>
      <c r="Y54" s="59">
        <f t="shared" si="8"/>
        <v>533.5</v>
      </c>
      <c r="Z54" s="59">
        <f t="shared" si="8"/>
        <v>533.5</v>
      </c>
      <c r="AA54" s="59">
        <f t="shared" si="8"/>
        <v>533.5</v>
      </c>
      <c r="AB54" s="59">
        <f t="shared" si="8"/>
        <v>533.5</v>
      </c>
      <c r="AC54" s="59">
        <f t="shared" si="8"/>
        <v>533.5</v>
      </c>
      <c r="AD54" s="59">
        <f t="shared" si="8"/>
        <v>533.5</v>
      </c>
      <c r="AE54" s="59">
        <f t="shared" si="8"/>
        <v>533.5</v>
      </c>
      <c r="AF54" s="59">
        <f t="shared" si="8"/>
        <v>533.5</v>
      </c>
      <c r="AG54" s="60">
        <f t="shared" si="8"/>
        <v>538.1</v>
      </c>
      <c r="AH54" s="47">
        <f t="shared" si="2"/>
        <v>533.5</v>
      </c>
      <c r="AI54" s="48">
        <f t="shared" si="3"/>
        <v>533.4</v>
      </c>
      <c r="AK54" s="74"/>
    </row>
    <row r="55" spans="1:41" x14ac:dyDescent="0.25">
      <c r="A55" s="44" t="s">
        <v>71</v>
      </c>
      <c r="B55" s="45">
        <v>96.9</v>
      </c>
      <c r="C55" s="45">
        <v>95.1</v>
      </c>
      <c r="D55" s="45">
        <v>95.8</v>
      </c>
      <c r="E55" s="45">
        <v>96.9</v>
      </c>
      <c r="F55" s="45">
        <v>96.9</v>
      </c>
      <c r="G55" s="45">
        <v>96.9</v>
      </c>
      <c r="H55" s="45">
        <v>96.9</v>
      </c>
      <c r="I55" s="45">
        <v>96.9</v>
      </c>
      <c r="J55" s="45">
        <v>96.9</v>
      </c>
      <c r="K55" s="45">
        <v>96</v>
      </c>
      <c r="L55" s="45">
        <v>96</v>
      </c>
      <c r="M55" s="45">
        <v>96.3</v>
      </c>
      <c r="N55" s="45">
        <v>96.3</v>
      </c>
      <c r="O55" s="45">
        <v>96</v>
      </c>
      <c r="P55" s="45">
        <v>96</v>
      </c>
      <c r="Q55" s="45">
        <v>96</v>
      </c>
      <c r="R55" s="45">
        <v>96</v>
      </c>
      <c r="S55" s="45">
        <v>96</v>
      </c>
      <c r="T55" s="45">
        <v>96</v>
      </c>
      <c r="U55" s="45">
        <v>96</v>
      </c>
      <c r="V55" s="45">
        <v>96</v>
      </c>
      <c r="W55" s="45">
        <v>96</v>
      </c>
      <c r="X55" s="45">
        <v>96</v>
      </c>
      <c r="Y55" s="45">
        <v>96</v>
      </c>
      <c r="Z55" s="45">
        <v>96</v>
      </c>
      <c r="AA55" s="45">
        <v>70</v>
      </c>
      <c r="AB55" s="45">
        <v>96</v>
      </c>
      <c r="AC55" s="45">
        <v>96</v>
      </c>
      <c r="AD55" s="45">
        <v>96</v>
      </c>
      <c r="AE55" s="45">
        <v>96</v>
      </c>
      <c r="AF55" s="45">
        <v>96</v>
      </c>
      <c r="AG55" s="51">
        <v>144</v>
      </c>
      <c r="AH55" s="47">
        <f t="shared" si="2"/>
        <v>96.9</v>
      </c>
      <c r="AI55" s="48">
        <f t="shared" si="3"/>
        <v>70</v>
      </c>
      <c r="AK55" s="74"/>
    </row>
    <row r="56" spans="1:41" x14ac:dyDescent="0.25">
      <c r="A56" s="53" t="s">
        <v>72</v>
      </c>
      <c r="B56" s="45">
        <v>69.400000000000006</v>
      </c>
      <c r="C56" s="45">
        <v>68.7</v>
      </c>
      <c r="D56" s="64">
        <v>70.3</v>
      </c>
      <c r="E56" s="64">
        <v>69.900000000000006</v>
      </c>
      <c r="F56" s="64">
        <v>69.900000000000006</v>
      </c>
      <c r="G56" s="64">
        <v>70.3</v>
      </c>
      <c r="H56" s="64">
        <v>70.3</v>
      </c>
      <c r="I56" s="64">
        <v>70.3</v>
      </c>
      <c r="J56" s="64">
        <v>70.3</v>
      </c>
      <c r="K56" s="64">
        <v>70.3</v>
      </c>
      <c r="L56" s="64">
        <v>70.3</v>
      </c>
      <c r="M56" s="64">
        <v>69</v>
      </c>
      <c r="N56" s="64">
        <v>69</v>
      </c>
      <c r="O56" s="64">
        <v>70.400000000000006</v>
      </c>
      <c r="P56" s="64">
        <v>69.400000000000006</v>
      </c>
      <c r="Q56" s="64">
        <v>69.400000000000006</v>
      </c>
      <c r="R56" s="64">
        <v>69.400000000000006</v>
      </c>
      <c r="S56" s="64">
        <v>69.400000000000006</v>
      </c>
      <c r="T56" s="64">
        <v>70</v>
      </c>
      <c r="U56" s="64">
        <v>70</v>
      </c>
      <c r="V56" s="64">
        <v>70</v>
      </c>
      <c r="W56" s="64">
        <v>70</v>
      </c>
      <c r="X56" s="64">
        <v>70</v>
      </c>
      <c r="Y56" s="64">
        <v>70</v>
      </c>
      <c r="Z56" s="64">
        <v>70</v>
      </c>
      <c r="AA56" s="45">
        <v>69</v>
      </c>
      <c r="AB56" s="45">
        <v>69.900000000000006</v>
      </c>
      <c r="AC56" s="45">
        <v>69.900000000000006</v>
      </c>
      <c r="AD56" s="45">
        <v>69.900000000000006</v>
      </c>
      <c r="AE56" s="45">
        <v>69.900000000000006</v>
      </c>
      <c r="AF56" s="45">
        <v>69.900000000000006</v>
      </c>
      <c r="AG56" s="54">
        <v>70</v>
      </c>
      <c r="AH56" s="47">
        <f t="shared" si="2"/>
        <v>70.400000000000006</v>
      </c>
      <c r="AI56" s="48">
        <f t="shared" si="3"/>
        <v>68.7</v>
      </c>
      <c r="AK56" s="74"/>
    </row>
    <row r="57" spans="1:41" x14ac:dyDescent="0.25">
      <c r="A57" s="53" t="s">
        <v>73</v>
      </c>
      <c r="B57" s="45">
        <v>69.400000000000006</v>
      </c>
      <c r="C57" s="45">
        <v>68.2</v>
      </c>
      <c r="D57" s="64">
        <v>68.900000000000006</v>
      </c>
      <c r="E57" s="64">
        <v>60.7</v>
      </c>
      <c r="F57" s="64">
        <v>60.7</v>
      </c>
      <c r="G57" s="64">
        <v>68.3</v>
      </c>
      <c r="H57" s="64">
        <v>68.3</v>
      </c>
      <c r="I57" s="64">
        <v>68.3</v>
      </c>
      <c r="J57" s="64">
        <v>68.3</v>
      </c>
      <c r="K57" s="64">
        <v>67.8</v>
      </c>
      <c r="L57" s="64">
        <v>67.8</v>
      </c>
      <c r="M57" s="64">
        <v>68</v>
      </c>
      <c r="N57" s="64">
        <v>68</v>
      </c>
      <c r="O57" s="64">
        <v>64.2</v>
      </c>
      <c r="P57" s="64">
        <v>68.3</v>
      </c>
      <c r="Q57" s="64">
        <v>68.3</v>
      </c>
      <c r="R57" s="64">
        <v>68.3</v>
      </c>
      <c r="S57" s="64">
        <v>68.3</v>
      </c>
      <c r="T57" s="64">
        <v>69</v>
      </c>
      <c r="U57" s="64">
        <v>69</v>
      </c>
      <c r="V57" s="64">
        <v>69</v>
      </c>
      <c r="W57" s="64">
        <v>69</v>
      </c>
      <c r="X57" s="64">
        <v>69</v>
      </c>
      <c r="Y57" s="64">
        <v>69</v>
      </c>
      <c r="Z57" s="64">
        <v>69</v>
      </c>
      <c r="AA57" s="45">
        <v>60.4</v>
      </c>
      <c r="AB57" s="45">
        <v>69.599999999999994</v>
      </c>
      <c r="AC57" s="45">
        <v>69.599999999999994</v>
      </c>
      <c r="AD57" s="45">
        <v>69</v>
      </c>
      <c r="AE57" s="45">
        <v>69</v>
      </c>
      <c r="AF57" s="45">
        <v>69</v>
      </c>
      <c r="AG57" s="54">
        <v>69</v>
      </c>
      <c r="AH57" s="47">
        <f t="shared" si="2"/>
        <v>69.599999999999994</v>
      </c>
      <c r="AI57" s="48">
        <f t="shared" si="3"/>
        <v>60.4</v>
      </c>
      <c r="AK57" s="74"/>
    </row>
    <row r="58" spans="1:41" x14ac:dyDescent="0.25">
      <c r="A58" s="53" t="s">
        <v>74</v>
      </c>
      <c r="B58" s="45">
        <v>60.4</v>
      </c>
      <c r="C58" s="45">
        <v>56.2</v>
      </c>
      <c r="D58" s="64">
        <v>60.9</v>
      </c>
      <c r="E58" s="64">
        <v>55</v>
      </c>
      <c r="F58" s="64">
        <v>55</v>
      </c>
      <c r="G58" s="64">
        <v>60</v>
      </c>
      <c r="H58" s="64">
        <v>60</v>
      </c>
      <c r="I58" s="64">
        <v>60</v>
      </c>
      <c r="J58" s="64">
        <v>60</v>
      </c>
      <c r="K58" s="56">
        <v>60.4</v>
      </c>
      <c r="L58" s="56">
        <v>60.4</v>
      </c>
      <c r="M58" s="56">
        <v>60.4</v>
      </c>
      <c r="N58" s="56">
        <v>60.4</v>
      </c>
      <c r="O58" s="56">
        <v>60.4</v>
      </c>
      <c r="P58" s="56">
        <v>60.4</v>
      </c>
      <c r="Q58" s="56">
        <v>60.4</v>
      </c>
      <c r="R58" s="56">
        <v>60.4</v>
      </c>
      <c r="S58" s="56">
        <v>60.4</v>
      </c>
      <c r="T58" s="56">
        <v>60.4</v>
      </c>
      <c r="U58" s="56">
        <v>60.4</v>
      </c>
      <c r="V58" s="56">
        <v>60.4</v>
      </c>
      <c r="W58" s="56">
        <v>60.4</v>
      </c>
      <c r="X58" s="56">
        <v>60.4</v>
      </c>
      <c r="Y58" s="56">
        <v>60.4</v>
      </c>
      <c r="Z58" s="56">
        <v>60.4</v>
      </c>
      <c r="AA58" s="45">
        <v>30</v>
      </c>
      <c r="AB58" s="45">
        <v>60.4</v>
      </c>
      <c r="AC58" s="45">
        <v>60.4</v>
      </c>
      <c r="AD58" s="45">
        <v>60.4</v>
      </c>
      <c r="AE58" s="45">
        <v>60.4</v>
      </c>
      <c r="AF58" s="45">
        <v>60.4</v>
      </c>
      <c r="AG58" s="54">
        <v>60</v>
      </c>
      <c r="AH58" s="47">
        <f t="shared" si="2"/>
        <v>60.9</v>
      </c>
      <c r="AI58" s="48">
        <f t="shared" si="3"/>
        <v>30</v>
      </c>
      <c r="AK58" s="74"/>
    </row>
    <row r="59" spans="1:41" x14ac:dyDescent="0.25">
      <c r="A59" s="53" t="s">
        <v>75</v>
      </c>
      <c r="B59" s="45">
        <v>30</v>
      </c>
      <c r="C59" s="45">
        <v>30</v>
      </c>
      <c r="D59" s="64">
        <v>30</v>
      </c>
      <c r="E59" s="64">
        <v>30</v>
      </c>
      <c r="F59" s="64">
        <v>30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30</v>
      </c>
      <c r="U59" s="64">
        <v>30</v>
      </c>
      <c r="V59" s="64">
        <v>30</v>
      </c>
      <c r="W59" s="64">
        <v>30</v>
      </c>
      <c r="X59" s="64">
        <v>30</v>
      </c>
      <c r="Y59" s="64">
        <v>30</v>
      </c>
      <c r="Z59" s="64">
        <v>30</v>
      </c>
      <c r="AA59" s="45">
        <v>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45">
        <v>0</v>
      </c>
      <c r="C60" s="45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1</v>
      </c>
      <c r="J60" s="64">
        <v>4</v>
      </c>
      <c r="K60" s="64">
        <v>3.2</v>
      </c>
      <c r="L60" s="64">
        <v>3.2</v>
      </c>
      <c r="M60" s="64">
        <v>3.2</v>
      </c>
      <c r="N60" s="64">
        <v>3.2</v>
      </c>
      <c r="O60" s="64">
        <v>3.2</v>
      </c>
      <c r="P60" s="64">
        <v>3.2</v>
      </c>
      <c r="Q60" s="64">
        <v>3.2</v>
      </c>
      <c r="R60" s="64">
        <v>3.2</v>
      </c>
      <c r="S60" s="64">
        <v>3.2</v>
      </c>
      <c r="T60" s="64">
        <v>3.2</v>
      </c>
      <c r="U60" s="64">
        <v>3.2</v>
      </c>
      <c r="V60" s="64">
        <v>3.2</v>
      </c>
      <c r="W60" s="64">
        <v>3.2</v>
      </c>
      <c r="X60" s="64">
        <v>0</v>
      </c>
      <c r="Y60" s="64">
        <v>0</v>
      </c>
      <c r="Z60" s="64">
        <v>0</v>
      </c>
      <c r="AA60" s="45">
        <v>18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18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18</v>
      </c>
      <c r="T61" s="64">
        <v>18</v>
      </c>
      <c r="U61" s="64">
        <v>18</v>
      </c>
      <c r="V61" s="64">
        <v>18</v>
      </c>
      <c r="W61" s="64">
        <v>18</v>
      </c>
      <c r="X61" s="64">
        <v>18</v>
      </c>
      <c r="Y61" s="64">
        <v>18</v>
      </c>
      <c r="Z61" s="64">
        <v>18</v>
      </c>
      <c r="AA61" s="64">
        <v>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18</v>
      </c>
      <c r="AI61" s="48">
        <f t="shared" si="3"/>
        <v>5</v>
      </c>
      <c r="AK61" s="74"/>
    </row>
    <row r="62" spans="1:41" x14ac:dyDescent="0.25">
      <c r="A62" s="53" t="s">
        <v>78</v>
      </c>
      <c r="B62" s="64">
        <v>3.8</v>
      </c>
      <c r="C62" s="64">
        <v>3.8</v>
      </c>
      <c r="D62" s="64">
        <v>3.8</v>
      </c>
      <c r="E62" s="64">
        <v>3.8</v>
      </c>
      <c r="F62" s="64">
        <v>3.8</v>
      </c>
      <c r="G62" s="64">
        <v>3.8</v>
      </c>
      <c r="H62" s="64">
        <v>3.8</v>
      </c>
      <c r="I62" s="64">
        <v>3.8</v>
      </c>
      <c r="J62" s="64">
        <v>3.8</v>
      </c>
      <c r="K62" s="64">
        <v>3.8</v>
      </c>
      <c r="L62" s="64">
        <v>3.8</v>
      </c>
      <c r="M62" s="64">
        <v>3.8</v>
      </c>
      <c r="N62" s="64">
        <v>3.8</v>
      </c>
      <c r="O62" s="64">
        <v>3.8</v>
      </c>
      <c r="P62" s="64">
        <v>3.8</v>
      </c>
      <c r="Q62" s="64">
        <v>3.8</v>
      </c>
      <c r="R62" s="64">
        <v>3.8</v>
      </c>
      <c r="S62" s="64">
        <v>5</v>
      </c>
      <c r="T62" s="64">
        <v>5</v>
      </c>
      <c r="U62" s="64">
        <v>5</v>
      </c>
      <c r="V62" s="64">
        <v>5</v>
      </c>
      <c r="W62" s="64">
        <v>5</v>
      </c>
      <c r="X62" s="64">
        <v>5</v>
      </c>
      <c r="Y62" s="64">
        <v>5</v>
      </c>
      <c r="Z62" s="64">
        <v>5</v>
      </c>
      <c r="AA62" s="64">
        <v>12.9</v>
      </c>
      <c r="AB62" s="64">
        <v>5</v>
      </c>
      <c r="AC62" s="64">
        <v>5</v>
      </c>
      <c r="AD62" s="64">
        <v>5</v>
      </c>
      <c r="AE62" s="64">
        <v>5</v>
      </c>
      <c r="AF62" s="64">
        <v>5</v>
      </c>
      <c r="AG62" s="54">
        <v>15</v>
      </c>
      <c r="AH62" s="47">
        <f t="shared" si="2"/>
        <v>12.9</v>
      </c>
      <c r="AI62" s="48">
        <f t="shared" si="3"/>
        <v>3.8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9.6</v>
      </c>
      <c r="C63" s="64">
        <v>10.1</v>
      </c>
      <c r="D63" s="64">
        <v>10.4</v>
      </c>
      <c r="E63" s="64">
        <v>10.4</v>
      </c>
      <c r="F63" s="64">
        <v>10.4</v>
      </c>
      <c r="G63" s="64">
        <v>10.4</v>
      </c>
      <c r="H63" s="64">
        <v>10.4</v>
      </c>
      <c r="I63" s="64">
        <v>10.4</v>
      </c>
      <c r="J63" s="64">
        <v>10.4</v>
      </c>
      <c r="K63" s="64">
        <v>10.4</v>
      </c>
      <c r="L63" s="64">
        <v>10.4</v>
      </c>
      <c r="M63" s="64">
        <v>10.4</v>
      </c>
      <c r="N63" s="64">
        <v>10.4</v>
      </c>
      <c r="O63" s="64">
        <v>10.4</v>
      </c>
      <c r="P63" s="64">
        <v>10.4</v>
      </c>
      <c r="Q63" s="64">
        <v>10.4</v>
      </c>
      <c r="R63" s="64">
        <v>10.4</v>
      </c>
      <c r="S63" s="64">
        <v>10.4</v>
      </c>
      <c r="T63" s="64">
        <v>10.4</v>
      </c>
      <c r="U63" s="64">
        <v>10.4</v>
      </c>
      <c r="V63" s="64">
        <v>10.4</v>
      </c>
      <c r="W63" s="64">
        <v>10.4</v>
      </c>
      <c r="X63" s="64">
        <v>10.4</v>
      </c>
      <c r="Y63" s="64">
        <v>10.4</v>
      </c>
      <c r="Z63" s="64">
        <v>10.4</v>
      </c>
      <c r="AA63" s="64">
        <v>14.2</v>
      </c>
      <c r="AB63" s="64">
        <v>12.4</v>
      </c>
      <c r="AC63" s="64">
        <v>12.4</v>
      </c>
      <c r="AD63" s="64">
        <v>12.4</v>
      </c>
      <c r="AE63" s="64">
        <v>12.4</v>
      </c>
      <c r="AF63" s="64">
        <v>12.4</v>
      </c>
      <c r="AG63" s="54">
        <v>14.1</v>
      </c>
      <c r="AH63" s="47">
        <f t="shared" si="2"/>
        <v>14.2</v>
      </c>
      <c r="AI63" s="48">
        <f t="shared" si="3"/>
        <v>9.6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2.2999999999999998</v>
      </c>
      <c r="C64" s="64">
        <v>0</v>
      </c>
      <c r="D64" s="64">
        <v>0</v>
      </c>
      <c r="E64" s="64">
        <v>0</v>
      </c>
      <c r="F64" s="64">
        <v>0</v>
      </c>
      <c r="G64" s="64">
        <v>13.9</v>
      </c>
      <c r="H64" s="64">
        <v>13.9</v>
      </c>
      <c r="I64" s="64">
        <v>13.9</v>
      </c>
      <c r="J64" s="64">
        <v>13.9</v>
      </c>
      <c r="K64" s="64">
        <v>13.9</v>
      </c>
      <c r="L64" s="64">
        <v>13.9</v>
      </c>
      <c r="M64" s="64">
        <v>13.9</v>
      </c>
      <c r="N64" s="64">
        <v>13.9</v>
      </c>
      <c r="O64" s="64">
        <v>13.9</v>
      </c>
      <c r="P64" s="64">
        <v>13.9</v>
      </c>
      <c r="Q64" s="64">
        <v>13.9</v>
      </c>
      <c r="R64" s="64">
        <v>13.9</v>
      </c>
      <c r="S64" s="64">
        <v>13.9</v>
      </c>
      <c r="T64" s="64">
        <v>13.9</v>
      </c>
      <c r="U64" s="64">
        <v>13.9</v>
      </c>
      <c r="V64" s="64">
        <v>13.9</v>
      </c>
      <c r="W64" s="64">
        <v>13.9</v>
      </c>
      <c r="X64" s="64">
        <v>13.9</v>
      </c>
      <c r="Y64" s="64">
        <v>13.9</v>
      </c>
      <c r="Z64" s="64">
        <v>13.9</v>
      </c>
      <c r="AA64" s="64">
        <v>9.5</v>
      </c>
      <c r="AB64" s="64">
        <v>13.9</v>
      </c>
      <c r="AC64" s="64">
        <v>13.9</v>
      </c>
      <c r="AD64" s="64">
        <v>13.9</v>
      </c>
      <c r="AE64" s="64">
        <v>13.9</v>
      </c>
      <c r="AF64" s="64">
        <v>13.9</v>
      </c>
      <c r="AG64" s="54">
        <v>14</v>
      </c>
      <c r="AH64" s="47">
        <f t="shared" si="2"/>
        <v>13.9</v>
      </c>
      <c r="AI64" s="48">
        <f t="shared" si="3"/>
        <v>0</v>
      </c>
      <c r="AK64" s="74"/>
    </row>
    <row r="65" spans="1:40" x14ac:dyDescent="0.25">
      <c r="A65" s="53" t="s">
        <v>81</v>
      </c>
      <c r="B65" s="64">
        <v>6.8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6.2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0</v>
      </c>
      <c r="AK65" s="74"/>
    </row>
    <row r="66" spans="1:40" x14ac:dyDescent="0.25">
      <c r="A66" s="53" t="s">
        <v>82</v>
      </c>
      <c r="B66" s="64">
        <v>3</v>
      </c>
      <c r="C66" s="64">
        <v>3</v>
      </c>
      <c r="D66" s="64">
        <v>3</v>
      </c>
      <c r="E66" s="64">
        <v>3</v>
      </c>
      <c r="F66" s="64">
        <v>3</v>
      </c>
      <c r="G66" s="64">
        <v>3</v>
      </c>
      <c r="H66" s="64">
        <v>3</v>
      </c>
      <c r="I66" s="64">
        <v>3</v>
      </c>
      <c r="J66" s="64">
        <v>3</v>
      </c>
      <c r="K66" s="64">
        <v>3</v>
      </c>
      <c r="L66" s="64">
        <v>3</v>
      </c>
      <c r="M66" s="64">
        <v>3</v>
      </c>
      <c r="N66" s="64">
        <v>3</v>
      </c>
      <c r="O66" s="64">
        <v>3</v>
      </c>
      <c r="P66" s="64">
        <v>3</v>
      </c>
      <c r="Q66" s="64">
        <v>3</v>
      </c>
      <c r="R66" s="64">
        <v>3</v>
      </c>
      <c r="S66" s="64">
        <v>3</v>
      </c>
      <c r="T66" s="64">
        <v>3</v>
      </c>
      <c r="U66" s="64">
        <v>3</v>
      </c>
      <c r="V66" s="64">
        <v>3</v>
      </c>
      <c r="W66" s="64">
        <v>3</v>
      </c>
      <c r="X66" s="64">
        <v>3</v>
      </c>
      <c r="Y66" s="64">
        <v>6.2</v>
      </c>
      <c r="Z66" s="64">
        <v>6.2</v>
      </c>
      <c r="AA66" s="64">
        <v>3.54</v>
      </c>
      <c r="AB66" s="64">
        <v>3</v>
      </c>
      <c r="AC66" s="64">
        <v>3</v>
      </c>
      <c r="AD66" s="64">
        <v>3</v>
      </c>
      <c r="AE66" s="64">
        <v>3</v>
      </c>
      <c r="AF66" s="64">
        <v>3</v>
      </c>
      <c r="AG66" s="54">
        <v>6.2</v>
      </c>
      <c r="AH66" s="47">
        <f t="shared" si="2"/>
        <v>6.2</v>
      </c>
      <c r="AI66" s="48">
        <f t="shared" si="3"/>
        <v>3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C68" si="10">SUM(B55:B67)</f>
        <v>370.1400000000001</v>
      </c>
      <c r="C68" s="59">
        <f t="shared" si="10"/>
        <v>353.64000000000004</v>
      </c>
      <c r="D68" s="59">
        <f t="shared" ref="D68:AG68" si="11">SUM(D55:D67)</f>
        <v>361.64</v>
      </c>
      <c r="E68" s="59">
        <f t="shared" si="11"/>
        <v>348.24</v>
      </c>
      <c r="F68" s="59">
        <f t="shared" si="11"/>
        <v>348.24</v>
      </c>
      <c r="G68" s="59">
        <f t="shared" si="11"/>
        <v>345.14</v>
      </c>
      <c r="H68" s="59">
        <f t="shared" si="11"/>
        <v>345.14</v>
      </c>
      <c r="I68" s="59">
        <f t="shared" si="11"/>
        <v>346.14</v>
      </c>
      <c r="J68" s="59">
        <f t="shared" si="11"/>
        <v>349.14</v>
      </c>
      <c r="K68" s="59">
        <f t="shared" si="11"/>
        <v>347.34</v>
      </c>
      <c r="L68" s="59">
        <f t="shared" si="11"/>
        <v>347.34</v>
      </c>
      <c r="M68" s="59">
        <f t="shared" si="11"/>
        <v>346.53999999999996</v>
      </c>
      <c r="N68" s="59">
        <f t="shared" si="11"/>
        <v>346.53999999999996</v>
      </c>
      <c r="O68" s="59">
        <f t="shared" si="11"/>
        <v>353.34</v>
      </c>
      <c r="P68" s="59">
        <f t="shared" si="11"/>
        <v>356.43999999999994</v>
      </c>
      <c r="Q68" s="59">
        <f t="shared" si="11"/>
        <v>356.43999999999994</v>
      </c>
      <c r="R68" s="59">
        <f t="shared" si="11"/>
        <v>356.43999999999994</v>
      </c>
      <c r="S68" s="59">
        <f t="shared" si="11"/>
        <v>360.63999999999993</v>
      </c>
      <c r="T68" s="59">
        <f t="shared" si="11"/>
        <v>391.93999999999994</v>
      </c>
      <c r="U68" s="59">
        <f t="shared" si="11"/>
        <v>391.93999999999994</v>
      </c>
      <c r="V68" s="59">
        <f t="shared" si="11"/>
        <v>391.93999999999994</v>
      </c>
      <c r="W68" s="59">
        <f t="shared" si="11"/>
        <v>391.93999999999994</v>
      </c>
      <c r="X68" s="59">
        <f t="shared" si="11"/>
        <v>388.73999999999995</v>
      </c>
      <c r="Y68" s="59">
        <f t="shared" si="11"/>
        <v>391.93999999999994</v>
      </c>
      <c r="Z68" s="59">
        <f t="shared" si="11"/>
        <v>391.93999999999994</v>
      </c>
      <c r="AA68" s="59">
        <f t="shared" si="11"/>
        <v>302.28000000000003</v>
      </c>
      <c r="AB68" s="59">
        <f t="shared" si="11"/>
        <v>388.23999999999995</v>
      </c>
      <c r="AC68" s="59">
        <f t="shared" si="11"/>
        <v>388.23999999999995</v>
      </c>
      <c r="AD68" s="59">
        <f t="shared" si="11"/>
        <v>387.64</v>
      </c>
      <c r="AE68" s="59">
        <f t="shared" si="11"/>
        <v>387.64</v>
      </c>
      <c r="AF68" s="59">
        <f t="shared" si="11"/>
        <v>387.64</v>
      </c>
      <c r="AG68" s="60">
        <f t="shared" si="11"/>
        <v>489.91</v>
      </c>
      <c r="AH68" s="47">
        <f t="shared" si="2"/>
        <v>391.93999999999994</v>
      </c>
      <c r="AI68" s="48">
        <f t="shared" si="3"/>
        <v>302.28000000000003</v>
      </c>
      <c r="AK68" s="74"/>
    </row>
    <row r="69" spans="1:40" x14ac:dyDescent="0.25">
      <c r="A69" s="44" t="s">
        <v>85</v>
      </c>
      <c r="B69" s="45">
        <v>13.6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25</v>
      </c>
      <c r="L69" s="45">
        <v>54.9</v>
      </c>
      <c r="M69" s="45">
        <v>49</v>
      </c>
      <c r="N69" s="45">
        <v>14</v>
      </c>
      <c r="O69" s="45">
        <v>14</v>
      </c>
      <c r="P69" s="45">
        <v>24.8</v>
      </c>
      <c r="Q69" s="45">
        <v>24.8</v>
      </c>
      <c r="R69" s="45">
        <v>30</v>
      </c>
      <c r="S69" s="45">
        <v>14</v>
      </c>
      <c r="T69" s="45">
        <v>14</v>
      </c>
      <c r="U69" s="45">
        <v>29</v>
      </c>
      <c r="V69" s="45">
        <v>14</v>
      </c>
      <c r="W69" s="45">
        <v>14</v>
      </c>
      <c r="X69" s="45">
        <v>0</v>
      </c>
      <c r="Y69" s="45">
        <v>0</v>
      </c>
      <c r="Z69" s="45">
        <v>49.4</v>
      </c>
      <c r="AA69" s="45">
        <v>60</v>
      </c>
      <c r="AB69" s="45">
        <v>59.7</v>
      </c>
      <c r="AC69" s="45">
        <v>59.7</v>
      </c>
      <c r="AD69" s="45">
        <v>39.1</v>
      </c>
      <c r="AE69" s="45">
        <v>20</v>
      </c>
      <c r="AF69" s="45">
        <v>12</v>
      </c>
      <c r="AG69" s="51">
        <v>60</v>
      </c>
      <c r="AH69" s="47">
        <f t="shared" si="2"/>
        <v>60</v>
      </c>
      <c r="AI69" s="48">
        <f t="shared" si="3"/>
        <v>0</v>
      </c>
      <c r="AK69" s="74"/>
    </row>
    <row r="70" spans="1:40" x14ac:dyDescent="0.25">
      <c r="A70" s="53" t="s">
        <v>86</v>
      </c>
      <c r="B70" s="64">
        <v>4.9000000000000004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11.7</v>
      </c>
      <c r="L70" s="64">
        <v>29.4</v>
      </c>
      <c r="M70" s="64">
        <v>22.7</v>
      </c>
      <c r="N70" s="64">
        <v>6</v>
      </c>
      <c r="O70" s="64">
        <v>6</v>
      </c>
      <c r="P70" s="64">
        <v>12.9</v>
      </c>
      <c r="Q70" s="64">
        <v>12.9</v>
      </c>
      <c r="R70" s="64">
        <v>15</v>
      </c>
      <c r="S70" s="64">
        <v>5.3</v>
      </c>
      <c r="T70" s="64">
        <v>5.3</v>
      </c>
      <c r="U70" s="64">
        <v>15.2</v>
      </c>
      <c r="V70" s="64">
        <v>5.3</v>
      </c>
      <c r="W70" s="64">
        <v>5.3</v>
      </c>
      <c r="X70" s="64">
        <v>0</v>
      </c>
      <c r="Y70" s="64">
        <v>0</v>
      </c>
      <c r="Z70" s="64">
        <v>13.3</v>
      </c>
      <c r="AA70" s="64">
        <v>30.2</v>
      </c>
      <c r="AB70" s="64">
        <v>31.2</v>
      </c>
      <c r="AC70" s="64">
        <v>31.2</v>
      </c>
      <c r="AD70" s="64">
        <v>21</v>
      </c>
      <c r="AE70" s="64">
        <v>9</v>
      </c>
      <c r="AF70" s="64">
        <v>4.8</v>
      </c>
      <c r="AG70" s="54">
        <v>32</v>
      </c>
      <c r="AH70" s="47">
        <f t="shared" si="2"/>
        <v>31.2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66">
        <v>1.8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4.3</v>
      </c>
      <c r="L71" s="66">
        <v>10.7</v>
      </c>
      <c r="M71" s="66">
        <v>8.3000000000000007</v>
      </c>
      <c r="N71" s="66">
        <v>2.2000000000000002</v>
      </c>
      <c r="O71" s="66">
        <v>2.2000000000000002</v>
      </c>
      <c r="P71" s="66">
        <v>4.7</v>
      </c>
      <c r="Q71" s="66">
        <v>4.7</v>
      </c>
      <c r="R71" s="66">
        <v>5.4</v>
      </c>
      <c r="S71" s="66">
        <v>1.9</v>
      </c>
      <c r="T71" s="66">
        <v>1.9</v>
      </c>
      <c r="U71" s="66">
        <v>5.6</v>
      </c>
      <c r="V71" s="66">
        <v>1.9</v>
      </c>
      <c r="W71" s="66">
        <v>1.9</v>
      </c>
      <c r="X71" s="66">
        <v>0</v>
      </c>
      <c r="Y71" s="66">
        <v>0</v>
      </c>
      <c r="Z71" s="66">
        <v>4.9000000000000004</v>
      </c>
      <c r="AA71" s="66">
        <v>11</v>
      </c>
      <c r="AB71" s="66">
        <v>11.4</v>
      </c>
      <c r="AC71" s="66">
        <v>11.4</v>
      </c>
      <c r="AD71" s="66">
        <v>7.6</v>
      </c>
      <c r="AE71" s="66">
        <v>3.3</v>
      </c>
      <c r="AF71" s="66">
        <v>1.8</v>
      </c>
      <c r="AG71" s="67">
        <v>14</v>
      </c>
      <c r="AH71" s="47">
        <f t="shared" si="2"/>
        <v>11.4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 t="shared" ref="B72:C72" si="12">B69+B70+B71</f>
        <v>20.3</v>
      </c>
      <c r="C72" s="59">
        <f t="shared" si="12"/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95</v>
      </c>
      <c r="M72" s="59">
        <f t="shared" ref="M72:AF72" si="13">M69+M70+M71</f>
        <v>80</v>
      </c>
      <c r="N72" s="59">
        <f t="shared" si="13"/>
        <v>22.2</v>
      </c>
      <c r="O72" s="59">
        <f t="shared" si="13"/>
        <v>22.2</v>
      </c>
      <c r="P72" s="59">
        <f t="shared" si="13"/>
        <v>42.400000000000006</v>
      </c>
      <c r="Q72" s="59">
        <f t="shared" si="13"/>
        <v>42.400000000000006</v>
      </c>
      <c r="R72" s="59">
        <f t="shared" si="13"/>
        <v>50.4</v>
      </c>
      <c r="S72" s="59">
        <f t="shared" si="13"/>
        <v>21.2</v>
      </c>
      <c r="T72" s="59">
        <f t="shared" si="13"/>
        <v>21.2</v>
      </c>
      <c r="U72" s="59">
        <f t="shared" si="13"/>
        <v>49.800000000000004</v>
      </c>
      <c r="V72" s="59">
        <f t="shared" si="13"/>
        <v>21.2</v>
      </c>
      <c r="W72" s="59">
        <f t="shared" si="13"/>
        <v>21.2</v>
      </c>
      <c r="X72" s="59">
        <f t="shared" si="13"/>
        <v>0</v>
      </c>
      <c r="Y72" s="59">
        <f t="shared" si="13"/>
        <v>0</v>
      </c>
      <c r="Z72" s="59">
        <f t="shared" si="13"/>
        <v>67.600000000000009</v>
      </c>
      <c r="AA72" s="59">
        <f t="shared" si="13"/>
        <v>101.2</v>
      </c>
      <c r="AB72" s="59">
        <f t="shared" si="13"/>
        <v>102.30000000000001</v>
      </c>
      <c r="AC72" s="59">
        <f t="shared" si="13"/>
        <v>102.30000000000001</v>
      </c>
      <c r="AD72" s="59">
        <f t="shared" si="13"/>
        <v>67.7</v>
      </c>
      <c r="AE72" s="59">
        <f t="shared" si="13"/>
        <v>32.299999999999997</v>
      </c>
      <c r="AF72" s="59">
        <f t="shared" si="13"/>
        <v>18.600000000000001</v>
      </c>
      <c r="AG72" s="60">
        <f>SUM(AG69:AG71)</f>
        <v>106</v>
      </c>
      <c r="AH72" s="47">
        <f t="shared" si="2"/>
        <v>102.30000000000001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56.1</v>
      </c>
      <c r="C73" s="45">
        <v>53</v>
      </c>
      <c r="D73" s="45">
        <v>22.9</v>
      </c>
      <c r="E73" s="45">
        <v>68</v>
      </c>
      <c r="F73" s="45">
        <v>12</v>
      </c>
      <c r="G73" s="45">
        <v>37.700000000000003</v>
      </c>
      <c r="H73" s="45">
        <v>11</v>
      </c>
      <c r="I73" s="45">
        <v>40.200000000000003</v>
      </c>
      <c r="J73" s="45">
        <v>19.2</v>
      </c>
      <c r="K73" s="45">
        <v>32.9</v>
      </c>
      <c r="L73" s="45">
        <v>26.4</v>
      </c>
      <c r="M73" s="45">
        <v>13.3</v>
      </c>
      <c r="N73" s="45">
        <v>35</v>
      </c>
      <c r="O73" s="45">
        <v>35</v>
      </c>
      <c r="P73" s="45">
        <v>14</v>
      </c>
      <c r="Q73" s="45">
        <v>14</v>
      </c>
      <c r="R73" s="45">
        <v>30</v>
      </c>
      <c r="S73" s="45">
        <v>25</v>
      </c>
      <c r="T73" s="45">
        <v>25</v>
      </c>
      <c r="U73" s="45">
        <v>27.2</v>
      </c>
      <c r="V73" s="45">
        <v>27.2</v>
      </c>
      <c r="W73" s="45">
        <v>52</v>
      </c>
      <c r="X73" s="45">
        <v>56.7</v>
      </c>
      <c r="Y73" s="45">
        <v>41.1</v>
      </c>
      <c r="Z73" s="45">
        <v>44.3</v>
      </c>
      <c r="AA73" s="45">
        <v>43.8</v>
      </c>
      <c r="AB73" s="45">
        <v>69.599999999999994</v>
      </c>
      <c r="AC73" s="45">
        <v>74.400000000000006</v>
      </c>
      <c r="AD73" s="45">
        <v>33</v>
      </c>
      <c r="AE73" s="45">
        <v>41.2</v>
      </c>
      <c r="AF73" s="45">
        <v>29.5</v>
      </c>
      <c r="AG73" s="51"/>
      <c r="AH73" s="47">
        <f t="shared" si="2"/>
        <v>74.400000000000006</v>
      </c>
      <c r="AI73" s="48">
        <f t="shared" si="3"/>
        <v>11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-271.39999999999998</v>
      </c>
      <c r="C75" s="64">
        <v>-286</v>
      </c>
      <c r="D75" s="64">
        <v>-297.8</v>
      </c>
      <c r="E75" s="64">
        <v>-325.39999999999998</v>
      </c>
      <c r="F75" s="64">
        <v>-355.5</v>
      </c>
      <c r="G75" s="64">
        <v>-372</v>
      </c>
      <c r="H75" s="64">
        <v>-372</v>
      </c>
      <c r="I75" s="64">
        <v>-400.1</v>
      </c>
      <c r="J75" s="64">
        <v>-375</v>
      </c>
      <c r="K75" s="64">
        <v>-324.39999999999998</v>
      </c>
      <c r="L75" s="64">
        <v>-329.5</v>
      </c>
      <c r="M75" s="64">
        <v>-315</v>
      </c>
      <c r="N75" s="64">
        <v>-208</v>
      </c>
      <c r="O75" s="64">
        <v>-227</v>
      </c>
      <c r="P75" s="64">
        <v>-177</v>
      </c>
      <c r="Q75" s="64">
        <v>-221</v>
      </c>
      <c r="R75" s="64">
        <v>-292</v>
      </c>
      <c r="S75" s="64">
        <v>-259</v>
      </c>
      <c r="T75" s="64">
        <v>-260</v>
      </c>
      <c r="U75" s="64">
        <v>-245</v>
      </c>
      <c r="V75" s="64">
        <v>-245</v>
      </c>
      <c r="W75" s="64">
        <v>-296</v>
      </c>
      <c r="X75" s="64">
        <v>-300.39999999999998</v>
      </c>
      <c r="Y75" s="64">
        <v>-295</v>
      </c>
      <c r="Z75" s="64">
        <v>-260.60000000000002</v>
      </c>
      <c r="AA75" s="64">
        <v>-269</v>
      </c>
      <c r="AB75" s="64">
        <v>-225</v>
      </c>
      <c r="AC75" s="64">
        <v>-241</v>
      </c>
      <c r="AD75" s="64">
        <v>-246</v>
      </c>
      <c r="AE75" s="64">
        <v>-265</v>
      </c>
      <c r="AF75" s="64">
        <v>-265</v>
      </c>
      <c r="AG75" s="75"/>
      <c r="AH75" s="47">
        <f t="shared" si="2"/>
        <v>-177</v>
      </c>
      <c r="AI75" s="48">
        <f t="shared" si="3"/>
        <v>-400.1</v>
      </c>
      <c r="AK75" s="74"/>
    </row>
    <row r="76" spans="1:40" x14ac:dyDescent="0.25">
      <c r="A76" s="53" t="s">
        <v>92</v>
      </c>
      <c r="B76" s="76">
        <v>0</v>
      </c>
      <c r="C76" s="76">
        <v>0</v>
      </c>
      <c r="D76" s="64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12</v>
      </c>
      <c r="AE76" s="76">
        <v>21.7</v>
      </c>
      <c r="AF76" s="76">
        <v>21.7</v>
      </c>
      <c r="AG76" s="75"/>
      <c r="AH76" s="47">
        <f t="shared" si="2"/>
        <v>21.7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64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32</v>
      </c>
      <c r="T77" s="45">
        <v>32</v>
      </c>
      <c r="U77" s="45">
        <v>32</v>
      </c>
      <c r="V77" s="45">
        <v>32</v>
      </c>
      <c r="W77" s="45">
        <v>32</v>
      </c>
      <c r="X77" s="45">
        <v>32</v>
      </c>
      <c r="Y77" s="45">
        <v>30</v>
      </c>
      <c r="Z77" s="45">
        <v>24</v>
      </c>
      <c r="AA77" s="45">
        <v>26</v>
      </c>
      <c r="AB77" s="45">
        <v>26.2</v>
      </c>
      <c r="AC77" s="45">
        <v>26.7</v>
      </c>
      <c r="AD77" s="45">
        <v>26.7</v>
      </c>
      <c r="AE77" s="45">
        <v>25</v>
      </c>
      <c r="AF77" s="45">
        <v>29.4</v>
      </c>
      <c r="AG77" s="75"/>
      <c r="AH77" s="47">
        <f t="shared" ref="AH77:AH120" si="14">MAX(B77:AF77)</f>
        <v>32</v>
      </c>
      <c r="AI77" s="48">
        <f t="shared" ref="AI77:AI120" si="15">MIN(B77:AF77)</f>
        <v>0</v>
      </c>
      <c r="AK77" s="74"/>
    </row>
    <row r="78" spans="1:40" x14ac:dyDescent="0.25">
      <c r="A78" s="53" t="s">
        <v>94</v>
      </c>
      <c r="B78" s="77">
        <v>0</v>
      </c>
      <c r="C78" s="77">
        <v>0</v>
      </c>
      <c r="D78" s="64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5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4"/>
        <v>5</v>
      </c>
      <c r="AI78" s="48">
        <f t="shared" si="15"/>
        <v>0</v>
      </c>
      <c r="AK78" s="74"/>
    </row>
    <row r="79" spans="1:40" ht="15.75" thickBot="1" x14ac:dyDescent="0.3">
      <c r="A79" s="53" t="s">
        <v>95</v>
      </c>
      <c r="B79" s="77">
        <v>0</v>
      </c>
      <c r="C79" s="77">
        <v>0</v>
      </c>
      <c r="D79" s="64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4"/>
        <v>0</v>
      </c>
      <c r="AI79" s="48">
        <f t="shared" si="15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77">
        <v>0</v>
      </c>
      <c r="C80" s="77">
        <v>0</v>
      </c>
      <c r="D80" s="64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14"/>
        <v>0</v>
      </c>
      <c r="AI80" s="48">
        <f t="shared" si="15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77">
        <v>0</v>
      </c>
      <c r="C81" s="77">
        <v>0</v>
      </c>
      <c r="D81" s="64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4"/>
        <v>0</v>
      </c>
      <c r="AI81" s="48">
        <f t="shared" si="15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77">
        <v>0</v>
      </c>
      <c r="C82" s="77">
        <v>0</v>
      </c>
      <c r="D82" s="64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4"/>
        <v>0</v>
      </c>
      <c r="AI82" s="48">
        <f t="shared" si="15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77">
        <v>0</v>
      </c>
      <c r="C83" s="77">
        <v>0</v>
      </c>
      <c r="D83" s="64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4"/>
        <v>0</v>
      </c>
      <c r="AI83" s="48">
        <f t="shared" si="15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C84" si="16">SUMIF(B73:B83,"&gt;0")</f>
        <v>56.1</v>
      </c>
      <c r="C84" s="59">
        <f t="shared" si="16"/>
        <v>53</v>
      </c>
      <c r="D84" s="59">
        <f t="shared" ref="D84:AF84" si="17">SUMIF(D73:D83,"&gt;0")</f>
        <v>22.9</v>
      </c>
      <c r="E84" s="59">
        <f t="shared" si="17"/>
        <v>68</v>
      </c>
      <c r="F84" s="59">
        <f t="shared" si="17"/>
        <v>12</v>
      </c>
      <c r="G84" s="59">
        <f t="shared" si="17"/>
        <v>37.700000000000003</v>
      </c>
      <c r="H84" s="59">
        <f t="shared" si="17"/>
        <v>11</v>
      </c>
      <c r="I84" s="59">
        <f t="shared" si="17"/>
        <v>40.200000000000003</v>
      </c>
      <c r="J84" s="59">
        <f t="shared" si="17"/>
        <v>19.2</v>
      </c>
      <c r="K84" s="59">
        <f t="shared" si="17"/>
        <v>32.9</v>
      </c>
      <c r="L84" s="59">
        <f t="shared" si="17"/>
        <v>26.4</v>
      </c>
      <c r="M84" s="59">
        <f t="shared" si="17"/>
        <v>13.3</v>
      </c>
      <c r="N84" s="59">
        <f t="shared" si="17"/>
        <v>35</v>
      </c>
      <c r="O84" s="59">
        <f t="shared" si="17"/>
        <v>35</v>
      </c>
      <c r="P84" s="59">
        <f t="shared" si="17"/>
        <v>14</v>
      </c>
      <c r="Q84" s="59">
        <f t="shared" si="17"/>
        <v>14</v>
      </c>
      <c r="R84" s="59">
        <f t="shared" si="17"/>
        <v>30</v>
      </c>
      <c r="S84" s="59">
        <f t="shared" si="17"/>
        <v>62</v>
      </c>
      <c r="T84" s="59">
        <f t="shared" si="17"/>
        <v>62</v>
      </c>
      <c r="U84" s="59">
        <f t="shared" si="17"/>
        <v>64.2</v>
      </c>
      <c r="V84" s="59">
        <f t="shared" si="17"/>
        <v>64.2</v>
      </c>
      <c r="W84" s="59">
        <f t="shared" si="17"/>
        <v>89</v>
      </c>
      <c r="X84" s="59">
        <f t="shared" si="17"/>
        <v>93.7</v>
      </c>
      <c r="Y84" s="59">
        <f t="shared" si="17"/>
        <v>76.099999999999994</v>
      </c>
      <c r="Z84" s="59">
        <f t="shared" si="17"/>
        <v>73.3</v>
      </c>
      <c r="AA84" s="59">
        <f t="shared" si="17"/>
        <v>69.8</v>
      </c>
      <c r="AB84" s="59">
        <f t="shared" si="17"/>
        <v>95.8</v>
      </c>
      <c r="AC84" s="59">
        <f t="shared" si="17"/>
        <v>101.10000000000001</v>
      </c>
      <c r="AD84" s="59">
        <f t="shared" si="17"/>
        <v>71.7</v>
      </c>
      <c r="AE84" s="59">
        <f t="shared" si="17"/>
        <v>87.9</v>
      </c>
      <c r="AF84" s="59">
        <f t="shared" si="17"/>
        <v>80.599999999999994</v>
      </c>
      <c r="AG84" s="88">
        <f>SUM(AG73:AG83)</f>
        <v>0</v>
      </c>
      <c r="AH84" s="47">
        <f t="shared" si="14"/>
        <v>101.10000000000001</v>
      </c>
      <c r="AI84" s="48">
        <f t="shared" si="15"/>
        <v>11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4"/>
        <v>0</v>
      </c>
      <c r="AI85" s="48">
        <f t="shared" si="15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4"/>
        <v>0</v>
      </c>
      <c r="AI86" s="48">
        <f t="shared" si="15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4"/>
        <v>0</v>
      </c>
      <c r="AI87" s="48">
        <f t="shared" si="15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14"/>
        <v>0</v>
      </c>
      <c r="AI88" s="48">
        <f t="shared" si="15"/>
        <v>0</v>
      </c>
    </row>
    <row r="89" spans="1:40" ht="15.75" thickBot="1" x14ac:dyDescent="0.3">
      <c r="A89" s="73" t="s">
        <v>108</v>
      </c>
      <c r="B89" s="95">
        <f t="shared" ref="B89:C89" si="18">B50+B54+B72+B68+B84+B88</f>
        <v>1903.2399999999998</v>
      </c>
      <c r="C89" s="95">
        <f t="shared" si="18"/>
        <v>1839.44</v>
      </c>
      <c r="D89" s="95">
        <f t="shared" ref="D89:AG89" si="19">D50+D54+D72+D68+D84+D88</f>
        <v>1845.54</v>
      </c>
      <c r="E89" s="95">
        <f t="shared" si="19"/>
        <v>1873.4399999999998</v>
      </c>
      <c r="F89" s="95">
        <f t="shared" si="19"/>
        <v>1817.4399999999998</v>
      </c>
      <c r="G89" s="95">
        <f t="shared" si="19"/>
        <v>1815.0399999999997</v>
      </c>
      <c r="H89" s="95">
        <f t="shared" si="19"/>
        <v>1788.3399999999997</v>
      </c>
      <c r="I89" s="95">
        <f t="shared" si="19"/>
        <v>1834.0399999999997</v>
      </c>
      <c r="J89" s="95">
        <f t="shared" si="19"/>
        <v>1822.9399999999998</v>
      </c>
      <c r="K89" s="95">
        <f t="shared" si="19"/>
        <v>1842.94</v>
      </c>
      <c r="L89" s="95">
        <f t="shared" si="19"/>
        <v>1925.84</v>
      </c>
      <c r="M89" s="95">
        <f t="shared" si="19"/>
        <v>1886.9399999999998</v>
      </c>
      <c r="N89" s="95">
        <f t="shared" si="19"/>
        <v>1850.84</v>
      </c>
      <c r="O89" s="95">
        <f t="shared" si="19"/>
        <v>1864.3400000000001</v>
      </c>
      <c r="P89" s="95">
        <f t="shared" si="19"/>
        <v>1866.6400000000003</v>
      </c>
      <c r="Q89" s="95">
        <f t="shared" si="19"/>
        <v>1866.6400000000003</v>
      </c>
      <c r="R89" s="95">
        <f t="shared" si="19"/>
        <v>1890.6400000000003</v>
      </c>
      <c r="S89" s="95">
        <f t="shared" si="19"/>
        <v>1917.1399999999999</v>
      </c>
      <c r="T89" s="95">
        <f t="shared" si="19"/>
        <v>1951.04</v>
      </c>
      <c r="U89" s="95">
        <f t="shared" si="19"/>
        <v>1968.7899999999997</v>
      </c>
      <c r="V89" s="95">
        <f t="shared" si="19"/>
        <v>1916.1899999999998</v>
      </c>
      <c r="W89" s="95">
        <f t="shared" si="19"/>
        <v>1940.9899999999998</v>
      </c>
      <c r="X89" s="95">
        <f t="shared" si="19"/>
        <v>1926.0900000000001</v>
      </c>
      <c r="Y89" s="95">
        <f t="shared" si="19"/>
        <v>1910.0499999999997</v>
      </c>
      <c r="Z89" s="95">
        <f t="shared" si="19"/>
        <v>1952.2499999999998</v>
      </c>
      <c r="AA89" s="95">
        <f t="shared" si="19"/>
        <v>1879.89</v>
      </c>
      <c r="AB89" s="95">
        <f t="shared" si="19"/>
        <v>2005.8500000000001</v>
      </c>
      <c r="AC89" s="95">
        <f t="shared" si="19"/>
        <v>2011.15</v>
      </c>
      <c r="AD89" s="95">
        <f t="shared" si="19"/>
        <v>1971.55</v>
      </c>
      <c r="AE89" s="95">
        <f t="shared" si="19"/>
        <v>1966.35</v>
      </c>
      <c r="AF89" s="95">
        <f t="shared" si="19"/>
        <v>1932.35</v>
      </c>
      <c r="AG89" s="60">
        <f t="shared" si="19"/>
        <v>2111.5500000000002</v>
      </c>
      <c r="AH89" s="47">
        <f t="shared" si="14"/>
        <v>2011.15</v>
      </c>
      <c r="AI89" s="48">
        <f t="shared" si="15"/>
        <v>1788.3399999999997</v>
      </c>
    </row>
    <row r="90" spans="1:40" ht="15.75" thickBot="1" x14ac:dyDescent="0.3">
      <c r="A90" s="96" t="s">
        <v>109</v>
      </c>
      <c r="B90" s="97">
        <v>50</v>
      </c>
      <c r="C90" s="97">
        <v>50</v>
      </c>
      <c r="D90" s="97">
        <v>50</v>
      </c>
      <c r="E90" s="97">
        <v>50</v>
      </c>
      <c r="F90" s="97">
        <v>50</v>
      </c>
      <c r="G90" s="97">
        <v>50</v>
      </c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14"/>
        <v>50</v>
      </c>
      <c r="AI90" s="48">
        <f t="shared" si="15"/>
        <v>50</v>
      </c>
    </row>
    <row r="91" spans="1:40" ht="15.75" thickBot="1" x14ac:dyDescent="0.3">
      <c r="A91" s="73" t="s">
        <v>110</v>
      </c>
      <c r="B91" s="95">
        <f t="shared" ref="B91:C91" si="20">B89+B90</f>
        <v>1953.2399999999998</v>
      </c>
      <c r="C91" s="95">
        <f t="shared" si="20"/>
        <v>1889.44</v>
      </c>
      <c r="D91" s="95">
        <f t="shared" ref="D91:AF91" si="21">D89+D90</f>
        <v>1895.54</v>
      </c>
      <c r="E91" s="95">
        <f t="shared" si="21"/>
        <v>1923.4399999999998</v>
      </c>
      <c r="F91" s="95">
        <f t="shared" si="21"/>
        <v>1867.4399999999998</v>
      </c>
      <c r="G91" s="95">
        <f t="shared" si="21"/>
        <v>1865.0399999999997</v>
      </c>
      <c r="H91" s="95">
        <f t="shared" si="21"/>
        <v>1788.3399999999997</v>
      </c>
      <c r="I91" s="95">
        <f t="shared" si="21"/>
        <v>1834.0399999999997</v>
      </c>
      <c r="J91" s="95">
        <f t="shared" si="21"/>
        <v>1822.9399999999998</v>
      </c>
      <c r="K91" s="95">
        <f t="shared" si="21"/>
        <v>1842.94</v>
      </c>
      <c r="L91" s="95">
        <f t="shared" si="21"/>
        <v>1925.84</v>
      </c>
      <c r="M91" s="95">
        <f t="shared" si="21"/>
        <v>1886.9399999999998</v>
      </c>
      <c r="N91" s="95">
        <f t="shared" si="21"/>
        <v>1850.84</v>
      </c>
      <c r="O91" s="95">
        <f t="shared" si="21"/>
        <v>1864.3400000000001</v>
      </c>
      <c r="P91" s="95">
        <f t="shared" si="21"/>
        <v>1866.6400000000003</v>
      </c>
      <c r="Q91" s="95">
        <f t="shared" si="21"/>
        <v>1866.6400000000003</v>
      </c>
      <c r="R91" s="95">
        <f t="shared" si="21"/>
        <v>1890.6400000000003</v>
      </c>
      <c r="S91" s="95">
        <f t="shared" si="21"/>
        <v>1917.1399999999999</v>
      </c>
      <c r="T91" s="95">
        <f t="shared" si="21"/>
        <v>1951.04</v>
      </c>
      <c r="U91" s="95">
        <f t="shared" si="21"/>
        <v>1968.7899999999997</v>
      </c>
      <c r="V91" s="95">
        <f t="shared" si="21"/>
        <v>1916.1899999999998</v>
      </c>
      <c r="W91" s="95">
        <f t="shared" si="21"/>
        <v>1940.9899999999998</v>
      </c>
      <c r="X91" s="95">
        <f t="shared" si="21"/>
        <v>1926.0900000000001</v>
      </c>
      <c r="Y91" s="95">
        <f t="shared" si="21"/>
        <v>1910.0499999999997</v>
      </c>
      <c r="Z91" s="95">
        <f t="shared" si="21"/>
        <v>1952.2499999999998</v>
      </c>
      <c r="AA91" s="95">
        <f t="shared" si="21"/>
        <v>1879.89</v>
      </c>
      <c r="AB91" s="95">
        <f t="shared" si="21"/>
        <v>2005.8500000000001</v>
      </c>
      <c r="AC91" s="95">
        <f t="shared" si="21"/>
        <v>2011.15</v>
      </c>
      <c r="AD91" s="95">
        <f t="shared" si="21"/>
        <v>1971.55</v>
      </c>
      <c r="AE91" s="95">
        <f t="shared" si="21"/>
        <v>1966.35</v>
      </c>
      <c r="AF91" s="95">
        <f t="shared" si="21"/>
        <v>1932.35</v>
      </c>
      <c r="AG91" s="88">
        <f>AG88+AG84+AG72+AG68+AG50+AG90</f>
        <v>1573.45</v>
      </c>
      <c r="AH91" s="47">
        <f t="shared" si="14"/>
        <v>2011.15</v>
      </c>
      <c r="AI91" s="48">
        <f t="shared" si="15"/>
        <v>1788.3399999999997</v>
      </c>
    </row>
    <row r="92" spans="1:40" ht="15.75" thickBot="1" x14ac:dyDescent="0.3">
      <c r="A92" s="73" t="s">
        <v>111</v>
      </c>
      <c r="B92" s="95">
        <f t="shared" ref="B92:C92" si="22">B91-B99</f>
        <v>1953.2399999999998</v>
      </c>
      <c r="C92" s="95">
        <f t="shared" si="22"/>
        <v>1889.44</v>
      </c>
      <c r="D92" s="95">
        <f t="shared" ref="D92:AF92" si="23">D91-D99</f>
        <v>1895.54</v>
      </c>
      <c r="E92" s="95">
        <f t="shared" si="23"/>
        <v>1923.4399999999998</v>
      </c>
      <c r="F92" s="95">
        <f t="shared" si="23"/>
        <v>1867.4399999999998</v>
      </c>
      <c r="G92" s="95">
        <f t="shared" si="23"/>
        <v>1865.0399999999997</v>
      </c>
      <c r="H92" s="95">
        <f t="shared" si="23"/>
        <v>1788.3399999999997</v>
      </c>
      <c r="I92" s="95">
        <f t="shared" si="23"/>
        <v>1834.0399999999997</v>
      </c>
      <c r="J92" s="95">
        <f t="shared" si="23"/>
        <v>1822.9399999999998</v>
      </c>
      <c r="K92" s="95">
        <f t="shared" si="23"/>
        <v>1842.94</v>
      </c>
      <c r="L92" s="95">
        <f t="shared" si="23"/>
        <v>1925.84</v>
      </c>
      <c r="M92" s="95">
        <f t="shared" si="23"/>
        <v>1886.9399999999998</v>
      </c>
      <c r="N92" s="95">
        <f t="shared" si="23"/>
        <v>1850.84</v>
      </c>
      <c r="O92" s="95">
        <f t="shared" si="23"/>
        <v>1864.3400000000001</v>
      </c>
      <c r="P92" s="95">
        <f t="shared" si="23"/>
        <v>1866.6400000000003</v>
      </c>
      <c r="Q92" s="95">
        <f t="shared" si="23"/>
        <v>1866.6400000000003</v>
      </c>
      <c r="R92" s="95">
        <f t="shared" si="23"/>
        <v>1890.6400000000003</v>
      </c>
      <c r="S92" s="95">
        <f t="shared" si="23"/>
        <v>1917.1399999999999</v>
      </c>
      <c r="T92" s="95">
        <f t="shared" si="23"/>
        <v>1951.04</v>
      </c>
      <c r="U92" s="95">
        <f t="shared" si="23"/>
        <v>1968.7899999999997</v>
      </c>
      <c r="V92" s="95">
        <f t="shared" si="23"/>
        <v>1916.1899999999998</v>
      </c>
      <c r="W92" s="95">
        <f t="shared" si="23"/>
        <v>1940.9899999999998</v>
      </c>
      <c r="X92" s="95">
        <f t="shared" si="23"/>
        <v>1926.0900000000001</v>
      </c>
      <c r="Y92" s="95">
        <f t="shared" si="23"/>
        <v>1910.0499999999997</v>
      </c>
      <c r="Z92" s="95">
        <f t="shared" si="23"/>
        <v>1952.2499999999998</v>
      </c>
      <c r="AA92" s="95">
        <f t="shared" si="23"/>
        <v>1879.89</v>
      </c>
      <c r="AB92" s="95">
        <f t="shared" si="23"/>
        <v>2005.8500000000001</v>
      </c>
      <c r="AC92" s="95">
        <f t="shared" si="23"/>
        <v>2011.15</v>
      </c>
      <c r="AD92" s="95">
        <f t="shared" si="23"/>
        <v>1971.55</v>
      </c>
      <c r="AE92" s="95">
        <f t="shared" si="23"/>
        <v>1966.35</v>
      </c>
      <c r="AF92" s="95">
        <f t="shared" si="23"/>
        <v>1932.35</v>
      </c>
      <c r="AG92" s="88"/>
      <c r="AH92" s="47">
        <f t="shared" si="14"/>
        <v>2011.15</v>
      </c>
      <c r="AI92" s="48">
        <f t="shared" si="15"/>
        <v>1788.3399999999997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4"/>
        <v>0</v>
      </c>
      <c r="AI93" s="48">
        <f t="shared" si="15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4"/>
        <v>0</v>
      </c>
      <c r="AI94" s="48">
        <f t="shared" si="15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4"/>
        <v>0</v>
      </c>
      <c r="AI95" s="48">
        <f t="shared" si="15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4"/>
        <v>0</v>
      </c>
      <c r="AI96" s="48">
        <f t="shared" si="15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4"/>
        <v>0</v>
      </c>
      <c r="AI97" s="48">
        <f t="shared" si="15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4"/>
        <v>0</v>
      </c>
      <c r="AI98" s="48">
        <f t="shared" si="15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14"/>
        <v>0</v>
      </c>
      <c r="AI99" s="48">
        <f t="shared" si="15"/>
        <v>0</v>
      </c>
      <c r="AK99" s="74"/>
    </row>
    <row r="100" spans="1:37" ht="15.75" thickBot="1" x14ac:dyDescent="0.3">
      <c r="A100" s="73" t="s">
        <v>116</v>
      </c>
      <c r="B100" s="59">
        <f t="shared" ref="B100:C100" si="24">B84-B99</f>
        <v>56.1</v>
      </c>
      <c r="C100" s="59">
        <f t="shared" si="24"/>
        <v>53</v>
      </c>
      <c r="D100" s="59">
        <f t="shared" ref="D100:AF100" si="25">D84-D99</f>
        <v>22.9</v>
      </c>
      <c r="E100" s="59">
        <f t="shared" si="25"/>
        <v>68</v>
      </c>
      <c r="F100" s="59">
        <f t="shared" si="25"/>
        <v>12</v>
      </c>
      <c r="G100" s="59">
        <f t="shared" si="25"/>
        <v>37.700000000000003</v>
      </c>
      <c r="H100" s="59">
        <f t="shared" si="25"/>
        <v>11</v>
      </c>
      <c r="I100" s="59">
        <f t="shared" si="25"/>
        <v>40.200000000000003</v>
      </c>
      <c r="J100" s="59">
        <f t="shared" si="25"/>
        <v>19.2</v>
      </c>
      <c r="K100" s="59">
        <f t="shared" si="25"/>
        <v>32.9</v>
      </c>
      <c r="L100" s="59">
        <f t="shared" si="25"/>
        <v>26.4</v>
      </c>
      <c r="M100" s="59">
        <f t="shared" si="25"/>
        <v>13.3</v>
      </c>
      <c r="N100" s="59">
        <f t="shared" si="25"/>
        <v>35</v>
      </c>
      <c r="O100" s="59">
        <f t="shared" si="25"/>
        <v>35</v>
      </c>
      <c r="P100" s="59">
        <f t="shared" si="25"/>
        <v>14</v>
      </c>
      <c r="Q100" s="59">
        <f t="shared" si="25"/>
        <v>14</v>
      </c>
      <c r="R100" s="59">
        <f t="shared" si="25"/>
        <v>30</v>
      </c>
      <c r="S100" s="59">
        <f t="shared" si="25"/>
        <v>62</v>
      </c>
      <c r="T100" s="59">
        <f t="shared" si="25"/>
        <v>62</v>
      </c>
      <c r="U100" s="59">
        <f t="shared" si="25"/>
        <v>64.2</v>
      </c>
      <c r="V100" s="59">
        <f t="shared" si="25"/>
        <v>64.2</v>
      </c>
      <c r="W100" s="59">
        <f t="shared" si="25"/>
        <v>89</v>
      </c>
      <c r="X100" s="59">
        <f t="shared" si="25"/>
        <v>93.7</v>
      </c>
      <c r="Y100" s="59">
        <f t="shared" si="25"/>
        <v>76.099999999999994</v>
      </c>
      <c r="Z100" s="59">
        <f t="shared" si="25"/>
        <v>73.3</v>
      </c>
      <c r="AA100" s="59">
        <f t="shared" si="25"/>
        <v>69.8</v>
      </c>
      <c r="AB100" s="59">
        <f t="shared" si="25"/>
        <v>95.8</v>
      </c>
      <c r="AC100" s="59">
        <f t="shared" si="25"/>
        <v>101.10000000000001</v>
      </c>
      <c r="AD100" s="59">
        <f t="shared" si="25"/>
        <v>71.7</v>
      </c>
      <c r="AE100" s="59">
        <f t="shared" si="25"/>
        <v>87.9</v>
      </c>
      <c r="AF100" s="59">
        <f t="shared" si="25"/>
        <v>80.599999999999994</v>
      </c>
      <c r="AG100" s="88"/>
      <c r="AH100" s="47">
        <f t="shared" si="14"/>
        <v>101.10000000000001</v>
      </c>
      <c r="AI100" s="48">
        <f t="shared" si="15"/>
        <v>11</v>
      </c>
    </row>
    <row r="101" spans="1:37" x14ac:dyDescent="0.25">
      <c r="A101" s="100" t="s">
        <v>117</v>
      </c>
      <c r="B101" s="101">
        <v>50.07</v>
      </c>
      <c r="C101" s="101">
        <v>49.9</v>
      </c>
      <c r="D101" s="101">
        <v>49.99</v>
      </c>
      <c r="E101" s="101">
        <v>50.027000000000001</v>
      </c>
      <c r="F101" s="101">
        <v>50.009</v>
      </c>
      <c r="G101" s="101">
        <v>50.003999999999998</v>
      </c>
      <c r="H101" s="101">
        <v>50.058</v>
      </c>
      <c r="I101" s="101">
        <v>49.917000000000002</v>
      </c>
      <c r="J101" s="101">
        <v>49.898000000000003</v>
      </c>
      <c r="K101" s="101">
        <v>50.043999999999997</v>
      </c>
      <c r="L101" s="101">
        <v>49.97</v>
      </c>
      <c r="M101" s="101">
        <v>50.084000000000003</v>
      </c>
      <c r="N101" s="101">
        <v>50.165999999999997</v>
      </c>
      <c r="O101" s="101">
        <v>49.893000000000001</v>
      </c>
      <c r="P101" s="101">
        <v>50.052999999999997</v>
      </c>
      <c r="Q101" s="101">
        <v>50.070999999999998</v>
      </c>
      <c r="R101" s="101">
        <v>50.070999999999998</v>
      </c>
      <c r="S101" s="101">
        <v>49.933</v>
      </c>
      <c r="T101" s="101">
        <v>49.933</v>
      </c>
      <c r="U101" s="101">
        <v>50.155999999999999</v>
      </c>
      <c r="V101" s="101">
        <v>50.155999999999999</v>
      </c>
      <c r="W101" s="101">
        <v>50.155999999999999</v>
      </c>
      <c r="X101" s="101">
        <v>50.073</v>
      </c>
      <c r="Y101" s="101">
        <v>49.970999999999997</v>
      </c>
      <c r="Z101" s="101">
        <v>50.015999999999998</v>
      </c>
      <c r="AA101" s="101">
        <v>49.959000000000003</v>
      </c>
      <c r="AB101" s="101">
        <v>50.1</v>
      </c>
      <c r="AC101" s="101">
        <v>50.06</v>
      </c>
      <c r="AD101" s="101">
        <v>50.087000000000003</v>
      </c>
      <c r="AE101" s="101">
        <v>49.942999999999998</v>
      </c>
      <c r="AF101" s="101">
        <v>50.057000000000002</v>
      </c>
      <c r="AG101" s="102"/>
      <c r="AH101" s="47">
        <f t="shared" si="14"/>
        <v>50.165999999999997</v>
      </c>
      <c r="AI101" s="48">
        <f t="shared" si="15"/>
        <v>49.893000000000001</v>
      </c>
    </row>
    <row r="102" spans="1:37" x14ac:dyDescent="0.25">
      <c r="A102" s="103" t="s">
        <v>118</v>
      </c>
      <c r="B102" s="64">
        <v>121.3</v>
      </c>
      <c r="C102" s="64">
        <v>122</v>
      </c>
      <c r="D102" s="64">
        <v>123.3</v>
      </c>
      <c r="E102" s="64">
        <v>122.7</v>
      </c>
      <c r="F102" s="64">
        <v>125.1</v>
      </c>
      <c r="G102" s="64">
        <v>123.6</v>
      </c>
      <c r="H102" s="64">
        <v>124.2</v>
      </c>
      <c r="I102" s="64">
        <v>123.8</v>
      </c>
      <c r="J102" s="64">
        <v>123.1</v>
      </c>
      <c r="K102" s="64">
        <v>123.6</v>
      </c>
      <c r="L102" s="64">
        <v>124.8</v>
      </c>
      <c r="M102" s="64">
        <v>124.1</v>
      </c>
      <c r="N102" s="64">
        <v>120.6</v>
      </c>
      <c r="O102" s="64">
        <v>118.7</v>
      </c>
      <c r="P102" s="64">
        <v>119.2</v>
      </c>
      <c r="Q102" s="64">
        <v>121.3</v>
      </c>
      <c r="R102" s="64">
        <v>121.3</v>
      </c>
      <c r="S102" s="64">
        <v>122.1</v>
      </c>
      <c r="T102" s="64">
        <v>122.1</v>
      </c>
      <c r="U102" s="64">
        <v>123.5</v>
      </c>
      <c r="V102" s="64">
        <v>123.5</v>
      </c>
      <c r="W102" s="64">
        <v>123.5</v>
      </c>
      <c r="X102" s="64">
        <v>124.1</v>
      </c>
      <c r="Y102" s="64">
        <v>123.9</v>
      </c>
      <c r="Z102" s="64">
        <v>126.2</v>
      </c>
      <c r="AA102" s="64">
        <v>123.7</v>
      </c>
      <c r="AB102" s="64">
        <v>126</v>
      </c>
      <c r="AC102" s="64">
        <v>125.9</v>
      </c>
      <c r="AD102" s="64">
        <v>125.3</v>
      </c>
      <c r="AE102" s="64">
        <v>124.1</v>
      </c>
      <c r="AF102" s="64">
        <v>123.7</v>
      </c>
      <c r="AG102" s="104"/>
      <c r="AH102" s="47">
        <f t="shared" si="14"/>
        <v>126.2</v>
      </c>
      <c r="AI102" s="48">
        <f t="shared" si="15"/>
        <v>118.7</v>
      </c>
    </row>
    <row r="103" spans="1:37" x14ac:dyDescent="0.25">
      <c r="A103" s="103" t="s">
        <v>119</v>
      </c>
      <c r="B103" s="64">
        <v>128</v>
      </c>
      <c r="C103" s="64">
        <v>128.4</v>
      </c>
      <c r="D103" s="64">
        <v>129.19999999999999</v>
      </c>
      <c r="E103" s="64">
        <v>128.9</v>
      </c>
      <c r="F103" s="64">
        <v>130.19999999999999</v>
      </c>
      <c r="G103" s="64">
        <v>129.30000000000001</v>
      </c>
      <c r="H103" s="64">
        <v>129.19999999999999</v>
      </c>
      <c r="I103" s="64">
        <v>128.1</v>
      </c>
      <c r="J103" s="64">
        <v>127.1</v>
      </c>
      <c r="K103" s="64">
        <v>127.7</v>
      </c>
      <c r="L103" s="64">
        <v>129</v>
      </c>
      <c r="M103" s="64">
        <v>127.8</v>
      </c>
      <c r="N103" s="64">
        <v>125.4</v>
      </c>
      <c r="O103" s="64">
        <v>123.7</v>
      </c>
      <c r="P103" s="64">
        <v>124.7</v>
      </c>
      <c r="Q103" s="64">
        <v>126.1</v>
      </c>
      <c r="R103" s="64">
        <v>126.1</v>
      </c>
      <c r="S103" s="64">
        <v>125.4</v>
      </c>
      <c r="T103" s="64">
        <v>125.4</v>
      </c>
      <c r="U103" s="64">
        <v>126.4</v>
      </c>
      <c r="V103" s="64">
        <v>126.4</v>
      </c>
      <c r="W103" s="64">
        <v>126.4</v>
      </c>
      <c r="X103" s="64">
        <v>127.6</v>
      </c>
      <c r="Y103" s="64">
        <v>127.7</v>
      </c>
      <c r="Z103" s="64">
        <v>129</v>
      </c>
      <c r="AA103" s="64">
        <v>128</v>
      </c>
      <c r="AB103" s="64">
        <v>129.1</v>
      </c>
      <c r="AC103" s="64">
        <v>129.5</v>
      </c>
      <c r="AD103" s="64">
        <v>129.19999999999999</v>
      </c>
      <c r="AE103" s="64">
        <v>128.69999999999999</v>
      </c>
      <c r="AF103" s="64">
        <v>129.1</v>
      </c>
      <c r="AG103" s="104"/>
      <c r="AH103" s="47">
        <f t="shared" si="14"/>
        <v>130.19999999999999</v>
      </c>
      <c r="AI103" s="48">
        <f t="shared" si="15"/>
        <v>123.7</v>
      </c>
    </row>
    <row r="104" spans="1:37" x14ac:dyDescent="0.25">
      <c r="A104" s="103" t="s">
        <v>120</v>
      </c>
      <c r="B104" s="64">
        <v>126.6</v>
      </c>
      <c r="C104" s="64">
        <v>126.7</v>
      </c>
      <c r="D104" s="64">
        <v>128.19999999999999</v>
      </c>
      <c r="E104" s="64">
        <v>128</v>
      </c>
      <c r="F104" s="64">
        <v>127.7</v>
      </c>
      <c r="G104" s="64">
        <v>127.5</v>
      </c>
      <c r="H104" s="64">
        <v>130.30000000000001</v>
      </c>
      <c r="I104" s="64">
        <v>126.2</v>
      </c>
      <c r="J104" s="64">
        <v>127.7</v>
      </c>
      <c r="K104" s="64">
        <v>125.9</v>
      </c>
      <c r="L104" s="64">
        <v>123.7</v>
      </c>
      <c r="M104" s="64">
        <v>128.9</v>
      </c>
      <c r="N104" s="64">
        <v>125.4</v>
      </c>
      <c r="O104" s="64">
        <v>121</v>
      </c>
      <c r="P104" s="64">
        <v>119.7</v>
      </c>
      <c r="Q104" s="64">
        <v>125.8</v>
      </c>
      <c r="R104" s="64">
        <v>125.8</v>
      </c>
      <c r="S104" s="64">
        <v>122.7</v>
      </c>
      <c r="T104" s="64">
        <v>122.7</v>
      </c>
      <c r="U104" s="64">
        <v>129.5</v>
      </c>
      <c r="V104" s="64">
        <v>129.5</v>
      </c>
      <c r="W104" s="64">
        <v>129.5</v>
      </c>
      <c r="X104" s="64">
        <v>132.5</v>
      </c>
      <c r="Y104" s="64">
        <v>123.5</v>
      </c>
      <c r="Z104" s="64">
        <v>126.6</v>
      </c>
      <c r="AA104" s="64">
        <v>123.5</v>
      </c>
      <c r="AB104" s="64">
        <v>125.9</v>
      </c>
      <c r="AC104" s="64">
        <v>123.4</v>
      </c>
      <c r="AD104" s="64">
        <v>121</v>
      </c>
      <c r="AE104" s="64">
        <v>129</v>
      </c>
      <c r="AF104" s="64">
        <v>126.3</v>
      </c>
      <c r="AG104" s="104"/>
      <c r="AH104" s="47">
        <f t="shared" si="14"/>
        <v>132.5</v>
      </c>
      <c r="AI104" s="48">
        <f t="shared" si="15"/>
        <v>119.7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4"/>
        <v>0</v>
      </c>
      <c r="AI105" s="48">
        <f t="shared" si="15"/>
        <v>0</v>
      </c>
    </row>
    <row r="106" spans="1:37" x14ac:dyDescent="0.25">
      <c r="A106" s="105" t="s">
        <v>122</v>
      </c>
      <c r="B106" s="106">
        <v>130.19999999999999</v>
      </c>
      <c r="C106" s="106">
        <v>132.9</v>
      </c>
      <c r="D106" s="106">
        <v>130.80000000000001</v>
      </c>
      <c r="E106" s="106">
        <v>130.6</v>
      </c>
      <c r="F106" s="106">
        <v>132.4</v>
      </c>
      <c r="G106" s="106">
        <v>131.69999999999999</v>
      </c>
      <c r="H106" s="106">
        <v>132.30000000000001</v>
      </c>
      <c r="I106" s="106">
        <v>128.9</v>
      </c>
      <c r="J106" s="106">
        <v>130.4</v>
      </c>
      <c r="K106" s="106">
        <v>128</v>
      </c>
      <c r="L106" s="106">
        <v>132.6</v>
      </c>
      <c r="M106" s="106">
        <v>129</v>
      </c>
      <c r="N106" s="106">
        <v>127.1</v>
      </c>
      <c r="O106" s="106">
        <v>130</v>
      </c>
      <c r="P106" s="106">
        <v>128.6</v>
      </c>
      <c r="Q106" s="106">
        <v>132.4</v>
      </c>
      <c r="R106" s="106">
        <v>132.4</v>
      </c>
      <c r="S106" s="106">
        <v>130.5</v>
      </c>
      <c r="T106" s="106">
        <v>130.5</v>
      </c>
      <c r="U106" s="106">
        <v>131.80000000000001</v>
      </c>
      <c r="V106" s="106">
        <v>131.80000000000001</v>
      </c>
      <c r="W106" s="106">
        <v>131.80000000000001</v>
      </c>
      <c r="X106" s="106">
        <v>133.1</v>
      </c>
      <c r="Y106" s="106">
        <v>132.30000000000001</v>
      </c>
      <c r="Z106" s="106">
        <v>134.88999999999999</v>
      </c>
      <c r="AA106" s="106">
        <v>133.5</v>
      </c>
      <c r="AB106" s="106">
        <v>132.69999999999999</v>
      </c>
      <c r="AC106" s="106">
        <v>131.69999999999999</v>
      </c>
      <c r="AD106" s="106">
        <v>131</v>
      </c>
      <c r="AE106" s="106">
        <v>129</v>
      </c>
      <c r="AF106" s="106">
        <v>128.30000000000001</v>
      </c>
      <c r="AG106" s="107"/>
      <c r="AH106" s="47">
        <f t="shared" si="14"/>
        <v>134.88999999999999</v>
      </c>
      <c r="AI106" s="48">
        <f t="shared" si="15"/>
        <v>127.1</v>
      </c>
    </row>
    <row r="107" spans="1:37" x14ac:dyDescent="0.25">
      <c r="A107" s="103" t="s">
        <v>123</v>
      </c>
      <c r="B107" s="64">
        <v>132.1</v>
      </c>
      <c r="C107" s="64">
        <v>133.80000000000001</v>
      </c>
      <c r="D107" s="64">
        <v>134.1</v>
      </c>
      <c r="E107" s="64">
        <v>125.6</v>
      </c>
      <c r="F107" s="64">
        <v>131</v>
      </c>
      <c r="G107" s="64">
        <v>131.30000000000001</v>
      </c>
      <c r="H107" s="64">
        <v>132</v>
      </c>
      <c r="I107" s="64">
        <v>128.1</v>
      </c>
      <c r="J107" s="64">
        <v>127.5</v>
      </c>
      <c r="K107" s="64">
        <v>130</v>
      </c>
      <c r="L107" s="64">
        <v>133.30000000000001</v>
      </c>
      <c r="M107" s="64">
        <v>126.9</v>
      </c>
      <c r="N107" s="64">
        <v>128</v>
      </c>
      <c r="O107" s="64"/>
      <c r="P107" s="64">
        <v>130.9</v>
      </c>
      <c r="Q107" s="64">
        <v>130.19999999999999</v>
      </c>
      <c r="R107" s="64">
        <v>130.19999999999999</v>
      </c>
      <c r="S107" s="64">
        <v>126.6</v>
      </c>
      <c r="T107" s="64">
        <v>126.6</v>
      </c>
      <c r="U107" s="64">
        <v>126.4</v>
      </c>
      <c r="V107" s="64">
        <v>126.4</v>
      </c>
      <c r="W107" s="64">
        <v>126.4</v>
      </c>
      <c r="X107" s="64">
        <v>128.19999999999999</v>
      </c>
      <c r="Y107" s="64">
        <v>128.1</v>
      </c>
      <c r="Z107" s="64">
        <v>127.4</v>
      </c>
      <c r="AA107" s="64">
        <v>129.19999999999999</v>
      </c>
      <c r="AB107" s="64">
        <v>130.1</v>
      </c>
      <c r="AC107" s="64">
        <v>129.69999999999999</v>
      </c>
      <c r="AD107" s="64">
        <v>129.5</v>
      </c>
      <c r="AE107" s="64">
        <v>126.3</v>
      </c>
      <c r="AF107" s="64">
        <v>125.8</v>
      </c>
      <c r="AG107" s="104"/>
      <c r="AH107" s="47">
        <f t="shared" si="14"/>
        <v>134.1</v>
      </c>
      <c r="AI107" s="48">
        <f t="shared" si="15"/>
        <v>125.6</v>
      </c>
    </row>
    <row r="108" spans="1:37" ht="15.75" thickBot="1" x14ac:dyDescent="0.3">
      <c r="A108" s="103" t="s">
        <v>124</v>
      </c>
      <c r="B108" s="92">
        <v>64.400000000000006</v>
      </c>
      <c r="C108" s="92">
        <v>64.8</v>
      </c>
      <c r="D108" s="92">
        <v>65.2</v>
      </c>
      <c r="E108" s="92">
        <v>65</v>
      </c>
      <c r="F108" s="92">
        <v>65.5</v>
      </c>
      <c r="G108" s="92">
        <v>65.2</v>
      </c>
      <c r="H108" s="92">
        <v>64.900000000000006</v>
      </c>
      <c r="I108" s="92">
        <v>64.099999999999994</v>
      </c>
      <c r="J108" s="92">
        <v>63.7</v>
      </c>
      <c r="K108" s="92">
        <v>64.2</v>
      </c>
      <c r="L108" s="92">
        <v>64.400000000000006</v>
      </c>
      <c r="M108" s="92">
        <v>64.3</v>
      </c>
      <c r="N108" s="92">
        <v>62.1</v>
      </c>
      <c r="O108" s="92">
        <v>61.6</v>
      </c>
      <c r="P108" s="92">
        <v>62.2</v>
      </c>
      <c r="Q108" s="92">
        <v>63.3</v>
      </c>
      <c r="R108" s="92">
        <v>63.3</v>
      </c>
      <c r="S108" s="92">
        <v>62.7</v>
      </c>
      <c r="T108" s="92">
        <v>62.7</v>
      </c>
      <c r="U108" s="92">
        <v>63</v>
      </c>
      <c r="V108" s="92">
        <v>63</v>
      </c>
      <c r="W108" s="92">
        <v>63</v>
      </c>
      <c r="X108" s="92">
        <v>63.1</v>
      </c>
      <c r="Y108" s="92">
        <v>63.3</v>
      </c>
      <c r="Z108" s="92">
        <v>64.400000000000006</v>
      </c>
      <c r="AA108" s="92">
        <v>64</v>
      </c>
      <c r="AB108" s="92">
        <v>64.599999999999994</v>
      </c>
      <c r="AC108" s="92">
        <v>65</v>
      </c>
      <c r="AD108" s="92">
        <v>64.8</v>
      </c>
      <c r="AE108" s="92">
        <v>64.8</v>
      </c>
      <c r="AF108" s="92">
        <v>64.900000000000006</v>
      </c>
      <c r="AG108" s="108"/>
      <c r="AH108" s="47">
        <f t="shared" si="14"/>
        <v>65.5</v>
      </c>
      <c r="AI108" s="48">
        <f t="shared" si="15"/>
        <v>61.6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4"/>
        <v>0</v>
      </c>
      <c r="AI109" s="48">
        <f t="shared" si="15"/>
        <v>0</v>
      </c>
    </row>
    <row r="110" spans="1:37" ht="15.75" thickBot="1" x14ac:dyDescent="0.3">
      <c r="A110" s="110" t="s">
        <v>126</v>
      </c>
      <c r="B110" s="111">
        <f t="shared" ref="B110:C110" si="26">SUM(B20,B26,B29:B30,B58,B60:B61,B63,B65,B111:B115,B138,B144,B150,B159,B161,B173,B180,B183:B184,B191,B193,B195,B199:B201,B203:B205,B210,B216:B217,B219:B221,B229,B234)</f>
        <v>83.499999999999986</v>
      </c>
      <c r="C110" s="111">
        <f t="shared" si="26"/>
        <v>59.639999999999979</v>
      </c>
      <c r="D110" s="111">
        <f t="shared" ref="D110:O110" si="27">SUM(D20,D26,D29:D30,D58,D60:D61,D63,D65,D111:D115,D138,D144,D150,D159,D161,D173,D180,D183:D184,D191,D193,D195,D199:D201,D203:D205,D210,D216:D217,D219:D221,D229,D234)</f>
        <v>55.839999999999996</v>
      </c>
      <c r="E110" s="111">
        <f t="shared" si="27"/>
        <v>46.239999999999995</v>
      </c>
      <c r="F110" s="111">
        <f t="shared" si="27"/>
        <v>55.34</v>
      </c>
      <c r="G110" s="111">
        <f t="shared" si="27"/>
        <v>56.640000000000022</v>
      </c>
      <c r="H110" s="111">
        <f t="shared" si="27"/>
        <v>82.839999999999989</v>
      </c>
      <c r="I110" s="111">
        <f t="shared" si="27"/>
        <v>118.93999999999994</v>
      </c>
      <c r="J110" s="111">
        <f t="shared" si="27"/>
        <v>146.73999999999998</v>
      </c>
      <c r="K110" s="111">
        <f t="shared" si="27"/>
        <v>156.74000000000007</v>
      </c>
      <c r="L110" s="111">
        <f t="shared" si="27"/>
        <v>131.84000000000003</v>
      </c>
      <c r="M110" s="111">
        <f t="shared" si="27"/>
        <v>174.24</v>
      </c>
      <c r="N110" s="111">
        <f t="shared" si="27"/>
        <v>168.64000000000001</v>
      </c>
      <c r="O110" s="111">
        <f t="shared" si="27"/>
        <v>206.04</v>
      </c>
      <c r="P110" s="111">
        <v>42</v>
      </c>
      <c r="Q110" s="111">
        <f t="shared" ref="Q110:AF110" si="28">SUM(Q20,Q26,Q29:Q30,Q58,Q60:Q61,Q63,Q65,Q111:Q115,Q138,Q144,Q150,Q159,Q161,Q173,Q180,Q183:Q184,Q191,Q193,Q195,Q199:Q201,Q203:Q205,Q210,Q216:Q217,Q219:Q221,Q229,Q234)</f>
        <v>186.39999999999995</v>
      </c>
      <c r="R110" s="111">
        <f t="shared" si="28"/>
        <v>191.10000000000002</v>
      </c>
      <c r="S110" s="111">
        <f t="shared" si="28"/>
        <v>204.79999999999995</v>
      </c>
      <c r="T110" s="111">
        <f t="shared" si="28"/>
        <v>203.99999999999997</v>
      </c>
      <c r="U110" s="111">
        <f t="shared" si="28"/>
        <v>194.29999999999995</v>
      </c>
      <c r="V110" s="111">
        <f t="shared" si="28"/>
        <v>213</v>
      </c>
      <c r="W110" s="111">
        <f t="shared" si="28"/>
        <v>218.69999999999996</v>
      </c>
      <c r="X110" s="111">
        <f t="shared" si="28"/>
        <v>217.6</v>
      </c>
      <c r="Y110" s="111">
        <f t="shared" si="28"/>
        <v>202.89999999999998</v>
      </c>
      <c r="Z110" s="111">
        <f t="shared" si="28"/>
        <v>250.70000000000002</v>
      </c>
      <c r="AA110" s="111">
        <f t="shared" si="28"/>
        <v>198.2</v>
      </c>
      <c r="AB110" s="111">
        <f t="shared" si="28"/>
        <v>260.79999999999995</v>
      </c>
      <c r="AC110" s="111">
        <f t="shared" si="28"/>
        <v>229.3</v>
      </c>
      <c r="AD110" s="111"/>
      <c r="AE110" s="111">
        <f t="shared" si="28"/>
        <v>129.60000000000002</v>
      </c>
      <c r="AF110" s="111">
        <f t="shared" si="28"/>
        <v>89.300000000000011</v>
      </c>
      <c r="AG110" s="112"/>
      <c r="AH110" s="47">
        <f t="shared" si="14"/>
        <v>260.79999999999995</v>
      </c>
      <c r="AI110" s="48">
        <f t="shared" si="15"/>
        <v>42</v>
      </c>
    </row>
    <row r="111" spans="1:37" x14ac:dyDescent="0.25">
      <c r="A111" s="100" t="s">
        <v>127</v>
      </c>
      <c r="B111" s="113">
        <v>28.2</v>
      </c>
      <c r="C111" s="113">
        <v>33</v>
      </c>
      <c r="D111" s="113">
        <v>29.7</v>
      </c>
      <c r="E111" s="113">
        <v>37.6</v>
      </c>
      <c r="F111" s="113">
        <v>41.2</v>
      </c>
      <c r="G111" s="113">
        <v>44.4</v>
      </c>
      <c r="H111" s="113">
        <v>48.4</v>
      </c>
      <c r="I111" s="113">
        <v>49.1</v>
      </c>
      <c r="J111" s="113">
        <v>55.4</v>
      </c>
      <c r="K111" s="113">
        <v>55.2</v>
      </c>
      <c r="L111" s="113">
        <v>52</v>
      </c>
      <c r="M111" s="113">
        <v>57.1</v>
      </c>
      <c r="N111" s="113">
        <v>48.5</v>
      </c>
      <c r="O111" s="113">
        <v>61.1</v>
      </c>
      <c r="P111" s="113">
        <v>51.2</v>
      </c>
      <c r="Q111" s="113">
        <v>43.6</v>
      </c>
      <c r="R111" s="113">
        <v>45</v>
      </c>
      <c r="S111" s="113">
        <v>55.2</v>
      </c>
      <c r="T111" s="113">
        <v>51.8</v>
      </c>
      <c r="U111" s="113">
        <v>39</v>
      </c>
      <c r="V111" s="113">
        <v>50</v>
      </c>
      <c r="W111" s="113">
        <v>55</v>
      </c>
      <c r="X111" s="113">
        <v>62.2</v>
      </c>
      <c r="Y111" s="113">
        <v>62.9</v>
      </c>
      <c r="Z111" s="113">
        <v>53</v>
      </c>
      <c r="AA111" s="113">
        <v>43.1</v>
      </c>
      <c r="AB111" s="113">
        <v>39.6</v>
      </c>
      <c r="AC111" s="113">
        <v>40</v>
      </c>
      <c r="AD111" s="113">
        <v>31.6</v>
      </c>
      <c r="AE111" s="113">
        <v>38.200000000000003</v>
      </c>
      <c r="AF111" s="113">
        <v>33.5</v>
      </c>
      <c r="AG111" s="114">
        <v>75</v>
      </c>
      <c r="AH111" s="47">
        <f t="shared" si="14"/>
        <v>62.9</v>
      </c>
      <c r="AI111" s="48">
        <f t="shared" si="15"/>
        <v>28.2</v>
      </c>
    </row>
    <row r="112" spans="1:37" x14ac:dyDescent="0.25">
      <c r="A112" s="103" t="s">
        <v>128</v>
      </c>
      <c r="B112" s="115">
        <v>53.2</v>
      </c>
      <c r="C112" s="115">
        <v>59.6</v>
      </c>
      <c r="D112" s="115">
        <v>55.4</v>
      </c>
      <c r="E112" s="115">
        <v>65.400000000000006</v>
      </c>
      <c r="F112" s="115">
        <v>42.7</v>
      </c>
      <c r="G112" s="115">
        <v>72.599999999999994</v>
      </c>
      <c r="H112" s="115">
        <v>79.2</v>
      </c>
      <c r="I112" s="115">
        <v>79.099999999999994</v>
      </c>
      <c r="J112" s="115">
        <v>86.9</v>
      </c>
      <c r="K112" s="115">
        <v>83.4</v>
      </c>
      <c r="L112" s="115">
        <v>76.5</v>
      </c>
      <c r="M112" s="115">
        <v>84.3</v>
      </c>
      <c r="N112" s="115">
        <v>67</v>
      </c>
      <c r="O112" s="115">
        <v>88</v>
      </c>
      <c r="P112" s="115">
        <v>75.75</v>
      </c>
      <c r="Q112" s="115">
        <v>64.599999999999994</v>
      </c>
      <c r="R112" s="115">
        <v>66</v>
      </c>
      <c r="S112" s="115">
        <v>80.3</v>
      </c>
      <c r="T112" s="115">
        <v>77.2</v>
      </c>
      <c r="U112" s="115">
        <v>59.7</v>
      </c>
      <c r="V112" s="115">
        <v>76</v>
      </c>
      <c r="W112" s="115">
        <v>81</v>
      </c>
      <c r="X112" s="115">
        <v>87.7</v>
      </c>
      <c r="Y112" s="115">
        <v>59.8</v>
      </c>
      <c r="Z112" s="115">
        <v>76.2</v>
      </c>
      <c r="AA112" s="115">
        <v>59.7</v>
      </c>
      <c r="AB112" s="115">
        <v>57</v>
      </c>
      <c r="AC112" s="115">
        <v>58.5</v>
      </c>
      <c r="AD112" s="115">
        <v>52.1</v>
      </c>
      <c r="AE112" s="115">
        <v>61.3</v>
      </c>
      <c r="AF112" s="115">
        <v>56.2</v>
      </c>
      <c r="AG112" s="114">
        <v>240</v>
      </c>
      <c r="AH112" s="47">
        <f t="shared" si="14"/>
        <v>88</v>
      </c>
      <c r="AI112" s="48">
        <f t="shared" si="15"/>
        <v>42.7</v>
      </c>
    </row>
    <row r="113" spans="1:37" x14ac:dyDescent="0.25">
      <c r="A113" s="103" t="s">
        <v>129</v>
      </c>
      <c r="B113" s="115">
        <f>-85.5-89.4</f>
        <v>-174.9</v>
      </c>
      <c r="C113" s="115">
        <f>-91.8-94.7</f>
        <v>-186.5</v>
      </c>
      <c r="D113" s="115">
        <f>-90.7-94.3</f>
        <v>-185</v>
      </c>
      <c r="E113" s="115">
        <v>-194</v>
      </c>
      <c r="F113" s="115">
        <v>-205.2</v>
      </c>
      <c r="G113" s="115">
        <v>-204</v>
      </c>
      <c r="H113" s="115">
        <v>-191</v>
      </c>
      <c r="I113" s="115">
        <v>-161</v>
      </c>
      <c r="J113" s="115">
        <v>-152</v>
      </c>
      <c r="K113" s="115">
        <v>-171</v>
      </c>
      <c r="L113" s="115">
        <v>-182</v>
      </c>
      <c r="M113" s="115">
        <v>-150</v>
      </c>
      <c r="N113" s="115">
        <v>-110</v>
      </c>
      <c r="O113" s="115">
        <v>-115</v>
      </c>
      <c r="P113" s="115">
        <v>-100</v>
      </c>
      <c r="Q113" s="115">
        <v>-95</v>
      </c>
      <c r="R113" s="115">
        <v>-96</v>
      </c>
      <c r="S113" s="115">
        <v>-126.3</v>
      </c>
      <c r="T113" s="115">
        <v>-120</v>
      </c>
      <c r="U113" s="115">
        <v>-108.3</v>
      </c>
      <c r="V113" s="115">
        <v>-103</v>
      </c>
      <c r="W113" s="115">
        <v>-110.3</v>
      </c>
      <c r="X113" s="115">
        <v>-112.7</v>
      </c>
      <c r="Y113" s="115">
        <v>-108.7</v>
      </c>
      <c r="Z113" s="115">
        <v>-102.6</v>
      </c>
      <c r="AA113" s="115">
        <v>-104.6</v>
      </c>
      <c r="AB113" s="115">
        <f>-24-34.9</f>
        <v>-58.9</v>
      </c>
      <c r="AC113" s="115">
        <v>-88</v>
      </c>
      <c r="AD113" s="115">
        <v>-117</v>
      </c>
      <c r="AE113" s="115">
        <v>-153</v>
      </c>
      <c r="AF113" s="115">
        <v>-172</v>
      </c>
      <c r="AG113" s="114">
        <v>240</v>
      </c>
      <c r="AH113" s="47">
        <f t="shared" si="14"/>
        <v>-58.9</v>
      </c>
      <c r="AI113" s="48">
        <f t="shared" si="15"/>
        <v>-205.2</v>
      </c>
    </row>
    <row r="114" spans="1:37" x14ac:dyDescent="0.25">
      <c r="A114" s="103" t="s">
        <v>130</v>
      </c>
      <c r="B114" s="115">
        <v>0</v>
      </c>
      <c r="C114" s="115">
        <v>-13.1</v>
      </c>
      <c r="D114" s="115">
        <v>-15.7</v>
      </c>
      <c r="E114" s="115">
        <v>-20.3</v>
      </c>
      <c r="F114" s="115">
        <v>19.3</v>
      </c>
      <c r="G114" s="115">
        <v>-18.899999999999999</v>
      </c>
      <c r="H114" s="115">
        <v>-15.9</v>
      </c>
      <c r="I114" s="115">
        <v>-11.2</v>
      </c>
      <c r="J114" s="115">
        <v>-9.6</v>
      </c>
      <c r="K114" s="115">
        <v>23.5</v>
      </c>
      <c r="L114" s="115">
        <v>25</v>
      </c>
      <c r="M114" s="115">
        <v>22.4</v>
      </c>
      <c r="N114" s="115">
        <v>3.5</v>
      </c>
      <c r="O114" s="115">
        <v>1.8</v>
      </c>
      <c r="P114" s="115">
        <v>11.8</v>
      </c>
      <c r="Q114" s="115">
        <v>8.1</v>
      </c>
      <c r="R114" s="115">
        <v>9</v>
      </c>
      <c r="S114" s="115">
        <v>10.199999999999999</v>
      </c>
      <c r="T114" s="115">
        <v>9.6</v>
      </c>
      <c r="U114" s="115">
        <v>20.2</v>
      </c>
      <c r="V114" s="115">
        <v>10.3</v>
      </c>
      <c r="W114" s="115">
        <v>12</v>
      </c>
      <c r="X114" s="115">
        <v>-1.6</v>
      </c>
      <c r="Y114" s="115">
        <v>6.7</v>
      </c>
      <c r="Z114" s="115">
        <v>42.9</v>
      </c>
      <c r="AA114" s="115">
        <v>44.1</v>
      </c>
      <c r="AB114" s="115">
        <v>43.5</v>
      </c>
      <c r="AC114" s="115">
        <v>38.700000000000003</v>
      </c>
      <c r="AD114" s="115">
        <v>24</v>
      </c>
      <c r="AE114" s="115">
        <v>2</v>
      </c>
      <c r="AF114" s="115">
        <v>-10</v>
      </c>
      <c r="AG114" s="114">
        <v>60</v>
      </c>
      <c r="AH114" s="47">
        <f t="shared" si="14"/>
        <v>44.1</v>
      </c>
      <c r="AI114" s="48">
        <f t="shared" si="15"/>
        <v>-20.3</v>
      </c>
    </row>
    <row r="115" spans="1:37" x14ac:dyDescent="0.25">
      <c r="A115" s="116" t="s">
        <v>131</v>
      </c>
      <c r="B115" s="117">
        <v>18.7</v>
      </c>
      <c r="C115" s="117">
        <v>18.5</v>
      </c>
      <c r="D115" s="117">
        <v>18.600000000000001</v>
      </c>
      <c r="E115" s="117">
        <v>19</v>
      </c>
      <c r="F115" s="117">
        <v>18.8</v>
      </c>
      <c r="G115" s="117">
        <v>19</v>
      </c>
      <c r="H115" s="117">
        <v>18.600000000000001</v>
      </c>
      <c r="I115" s="117">
        <v>18.399999999999999</v>
      </c>
      <c r="J115" s="117">
        <v>18.5</v>
      </c>
      <c r="K115" s="117">
        <v>18.5</v>
      </c>
      <c r="L115" s="117">
        <v>18.8</v>
      </c>
      <c r="M115" s="117">
        <v>18.899999999999999</v>
      </c>
      <c r="N115" s="117">
        <v>18.100000000000001</v>
      </c>
      <c r="O115" s="117">
        <v>19.100000000000001</v>
      </c>
      <c r="P115" s="117">
        <v>18.8</v>
      </c>
      <c r="Q115" s="117">
        <v>15</v>
      </c>
      <c r="R115" s="117">
        <v>17</v>
      </c>
      <c r="S115" s="117">
        <v>18</v>
      </c>
      <c r="T115" s="117">
        <v>18</v>
      </c>
      <c r="U115" s="117">
        <v>16.3</v>
      </c>
      <c r="V115" s="117">
        <v>12.3</v>
      </c>
      <c r="W115" s="117">
        <v>13.6</v>
      </c>
      <c r="X115" s="117">
        <v>17.8</v>
      </c>
      <c r="Y115" s="117">
        <v>17.7</v>
      </c>
      <c r="Z115" s="117">
        <v>16.899999999999999</v>
      </c>
      <c r="AA115" s="117">
        <v>16.3</v>
      </c>
      <c r="AB115" s="117">
        <v>16.5</v>
      </c>
      <c r="AC115" s="117">
        <v>17</v>
      </c>
      <c r="AD115" s="117">
        <v>17</v>
      </c>
      <c r="AE115" s="117">
        <v>18</v>
      </c>
      <c r="AF115" s="117">
        <v>18.5</v>
      </c>
      <c r="AG115" s="118">
        <v>120</v>
      </c>
      <c r="AH115" s="47">
        <f t="shared" si="14"/>
        <v>19.100000000000001</v>
      </c>
      <c r="AI115" s="48">
        <f t="shared" si="15"/>
        <v>12.3</v>
      </c>
    </row>
    <row r="116" spans="1:37" x14ac:dyDescent="0.25">
      <c r="A116" s="116" t="s">
        <v>132</v>
      </c>
      <c r="B116" s="117">
        <v>54.3</v>
      </c>
      <c r="C116" s="117">
        <v>52.5</v>
      </c>
      <c r="D116" s="117">
        <v>49.5</v>
      </c>
      <c r="E116" s="117">
        <v>44</v>
      </c>
      <c r="F116" s="117">
        <v>24.3</v>
      </c>
      <c r="G116" s="117">
        <v>34.700000000000003</v>
      </c>
      <c r="H116" s="117">
        <v>37.299999999999997</v>
      </c>
      <c r="I116" s="117">
        <v>52.4</v>
      </c>
      <c r="J116" s="117">
        <v>53</v>
      </c>
      <c r="K116" s="117">
        <v>31.4</v>
      </c>
      <c r="L116" s="117">
        <v>31.1</v>
      </c>
      <c r="M116" s="117">
        <v>37.200000000000003</v>
      </c>
      <c r="N116" s="117">
        <v>92.6</v>
      </c>
      <c r="O116" s="117">
        <v>80.8</v>
      </c>
      <c r="P116" s="117">
        <v>98.3</v>
      </c>
      <c r="Q116" s="117">
        <v>69.599999999999994</v>
      </c>
      <c r="R116" s="117">
        <v>52</v>
      </c>
      <c r="S116" s="117">
        <v>71</v>
      </c>
      <c r="T116" s="117">
        <v>78.900000000000006</v>
      </c>
      <c r="U116" s="117">
        <v>68.3</v>
      </c>
      <c r="V116" s="117">
        <v>58.6</v>
      </c>
      <c r="W116" s="117">
        <v>60</v>
      </c>
      <c r="X116" s="117">
        <v>58.2</v>
      </c>
      <c r="Y116" s="117">
        <v>61</v>
      </c>
      <c r="Z116" s="117">
        <v>57.6</v>
      </c>
      <c r="AA116" s="117">
        <v>58.9</v>
      </c>
      <c r="AB116" s="117">
        <v>64.5</v>
      </c>
      <c r="AC116" s="117">
        <v>38</v>
      </c>
      <c r="AD116" s="117">
        <v>43</v>
      </c>
      <c r="AE116" s="117">
        <v>41</v>
      </c>
      <c r="AF116" s="117">
        <v>39</v>
      </c>
      <c r="AG116" s="118"/>
      <c r="AH116" s="47">
        <f t="shared" si="14"/>
        <v>98.3</v>
      </c>
      <c r="AI116" s="48">
        <f t="shared" si="15"/>
        <v>24.3</v>
      </c>
    </row>
    <row r="117" spans="1:37" x14ac:dyDescent="0.25">
      <c r="A117" s="116" t="s">
        <v>133</v>
      </c>
      <c r="B117" s="117">
        <v>48.9</v>
      </c>
      <c r="C117" s="117">
        <v>51.2</v>
      </c>
      <c r="D117" s="117">
        <v>54.5</v>
      </c>
      <c r="E117" s="117">
        <v>40.200000000000003</v>
      </c>
      <c r="F117" s="117">
        <v>34</v>
      </c>
      <c r="G117" s="117">
        <v>36.200000000000003</v>
      </c>
      <c r="H117" s="117">
        <v>31.5</v>
      </c>
      <c r="I117" s="117">
        <v>29.3</v>
      </c>
      <c r="J117" s="117">
        <v>25.3</v>
      </c>
      <c r="K117" s="117">
        <v>27.3</v>
      </c>
      <c r="L117" s="117">
        <v>25.4</v>
      </c>
      <c r="M117" s="117">
        <v>16.899999999999999</v>
      </c>
      <c r="N117" s="117">
        <v>25.4</v>
      </c>
      <c r="O117" s="117">
        <v>21</v>
      </c>
      <c r="P117" s="117">
        <v>30.12</v>
      </c>
      <c r="Q117" s="117">
        <v>34.4</v>
      </c>
      <c r="R117" s="117">
        <v>39</v>
      </c>
      <c r="S117" s="117">
        <v>26.9</v>
      </c>
      <c r="T117" s="117">
        <v>29.8</v>
      </c>
      <c r="U117" s="117">
        <v>38.799999999999997</v>
      </c>
      <c r="V117" s="117">
        <v>29</v>
      </c>
      <c r="W117" s="117">
        <v>20</v>
      </c>
      <c r="X117" s="117">
        <v>16.100000000000001</v>
      </c>
      <c r="Y117" s="117">
        <v>16.600000000000001</v>
      </c>
      <c r="Z117" s="117">
        <v>28</v>
      </c>
      <c r="AA117" s="117">
        <v>42.8</v>
      </c>
      <c r="AB117" s="117">
        <v>43.4</v>
      </c>
      <c r="AC117" s="117">
        <v>43</v>
      </c>
      <c r="AD117" s="117">
        <v>56</v>
      </c>
      <c r="AE117" s="117">
        <v>42</v>
      </c>
      <c r="AF117" s="117">
        <v>53</v>
      </c>
      <c r="AG117" s="119"/>
      <c r="AH117" s="47">
        <f t="shared" si="14"/>
        <v>56</v>
      </c>
      <c r="AI117" s="48">
        <f t="shared" si="15"/>
        <v>16.100000000000001</v>
      </c>
    </row>
    <row r="118" spans="1:37" x14ac:dyDescent="0.25">
      <c r="A118" s="120" t="s">
        <v>134</v>
      </c>
      <c r="B118" s="106">
        <v>28</v>
      </c>
      <c r="C118" s="106">
        <v>29.3</v>
      </c>
      <c r="D118" s="106">
        <v>33.1</v>
      </c>
      <c r="E118" s="106">
        <v>40.299999999999997</v>
      </c>
      <c r="F118" s="106">
        <v>41.2</v>
      </c>
      <c r="G118" s="106">
        <v>41.4</v>
      </c>
      <c r="H118" s="106">
        <v>34.799999999999997</v>
      </c>
      <c r="I118" s="106">
        <v>29.6</v>
      </c>
      <c r="J118" s="106">
        <v>24.5</v>
      </c>
      <c r="K118" s="106">
        <v>18.3</v>
      </c>
      <c r="L118" s="106">
        <v>16.7</v>
      </c>
      <c r="M118" s="106">
        <v>18.2</v>
      </c>
      <c r="N118" s="106">
        <v>19.399999999999999</v>
      </c>
      <c r="O118" s="106">
        <v>17.2</v>
      </c>
      <c r="P118" s="106">
        <v>18.7</v>
      </c>
      <c r="Q118" s="106">
        <v>22.2</v>
      </c>
      <c r="R118" s="106">
        <v>25</v>
      </c>
      <c r="S118" s="106">
        <v>15.1</v>
      </c>
      <c r="T118" s="106">
        <v>15.6</v>
      </c>
      <c r="U118" s="106">
        <v>20.399999999999999</v>
      </c>
      <c r="V118" s="106">
        <v>18</v>
      </c>
      <c r="W118" s="106">
        <v>16</v>
      </c>
      <c r="X118" s="106">
        <v>15.7</v>
      </c>
      <c r="Y118" s="106">
        <v>19.399999999999999</v>
      </c>
      <c r="Z118" s="106">
        <v>12.4</v>
      </c>
      <c r="AA118" s="106">
        <v>14.7</v>
      </c>
      <c r="AB118" s="106">
        <v>13.1</v>
      </c>
      <c r="AC118" s="106">
        <v>10</v>
      </c>
      <c r="AD118" s="106">
        <v>14</v>
      </c>
      <c r="AE118" s="106">
        <v>17</v>
      </c>
      <c r="AF118" s="106">
        <v>23</v>
      </c>
      <c r="AG118" s="119"/>
      <c r="AH118" s="47">
        <f t="shared" si="14"/>
        <v>41.4</v>
      </c>
      <c r="AI118" s="48">
        <f t="shared" si="15"/>
        <v>10</v>
      </c>
    </row>
    <row r="119" spans="1:37" x14ac:dyDescent="0.25">
      <c r="A119" s="121" t="s">
        <v>284</v>
      </c>
      <c r="B119" s="106">
        <v>71.5</v>
      </c>
      <c r="C119" s="106">
        <v>94.8</v>
      </c>
      <c r="D119" s="106">
        <v>91.9</v>
      </c>
      <c r="E119" s="106">
        <v>98</v>
      </c>
      <c r="F119" s="106">
        <v>105.8</v>
      </c>
      <c r="G119" s="106">
        <v>103.7</v>
      </c>
      <c r="H119" s="106">
        <v>93.2</v>
      </c>
      <c r="I119" s="106">
        <v>81</v>
      </c>
      <c r="J119" s="106">
        <v>75</v>
      </c>
      <c r="K119" s="106">
        <v>88.5</v>
      </c>
      <c r="L119" s="106">
        <v>93.1</v>
      </c>
      <c r="M119" s="106">
        <v>90.1</v>
      </c>
      <c r="N119" s="106">
        <v>0</v>
      </c>
      <c r="O119" s="106">
        <v>0</v>
      </c>
      <c r="P119" s="106">
        <v>0</v>
      </c>
      <c r="Q119" s="106">
        <v>0</v>
      </c>
      <c r="R119" s="106">
        <v>0</v>
      </c>
      <c r="S119" s="106">
        <v>0</v>
      </c>
      <c r="T119" s="106">
        <v>0</v>
      </c>
      <c r="U119" s="106">
        <v>0</v>
      </c>
      <c r="V119" s="106">
        <v>0</v>
      </c>
      <c r="W119" s="106">
        <v>0</v>
      </c>
      <c r="X119" s="106"/>
      <c r="Y119" s="106">
        <v>0</v>
      </c>
      <c r="Z119" s="106">
        <v>0</v>
      </c>
      <c r="AA119" s="106">
        <v>47</v>
      </c>
      <c r="AB119" s="106">
        <v>49.1</v>
      </c>
      <c r="AC119" s="106">
        <v>65</v>
      </c>
      <c r="AD119" s="106">
        <v>68</v>
      </c>
      <c r="AE119" s="106">
        <v>79</v>
      </c>
      <c r="AF119" s="106">
        <v>84</v>
      </c>
      <c r="AG119" s="119"/>
      <c r="AH119" s="47">
        <f t="shared" si="14"/>
        <v>105.8</v>
      </c>
      <c r="AI119" s="48">
        <f t="shared" si="15"/>
        <v>0</v>
      </c>
    </row>
    <row r="120" spans="1:37" ht="15.75" thickBot="1" x14ac:dyDescent="0.3">
      <c r="A120" s="120" t="s">
        <v>136</v>
      </c>
      <c r="B120" s="106">
        <v>54.9</v>
      </c>
      <c r="C120" s="106">
        <v>54.5</v>
      </c>
      <c r="D120" s="106">
        <v>51.4</v>
      </c>
      <c r="E120" s="106">
        <v>43.8</v>
      </c>
      <c r="F120" s="106">
        <v>37.6</v>
      </c>
      <c r="G120" s="106">
        <v>38.200000000000003</v>
      </c>
      <c r="H120" s="106">
        <v>22.4</v>
      </c>
      <c r="I120" s="106">
        <v>35.1</v>
      </c>
      <c r="J120" s="106">
        <v>51.1</v>
      </c>
      <c r="K120" s="106">
        <v>54.2</v>
      </c>
      <c r="L120" s="106">
        <v>68.5</v>
      </c>
      <c r="M120" s="106">
        <v>67.599999999999994</v>
      </c>
      <c r="N120" s="106"/>
      <c r="O120" s="106">
        <v>74.099999999999994</v>
      </c>
      <c r="P120" s="106">
        <v>72</v>
      </c>
      <c r="Q120" s="106"/>
      <c r="R120" s="106"/>
      <c r="S120" s="106">
        <v>69</v>
      </c>
      <c r="T120" s="106">
        <v>70</v>
      </c>
      <c r="U120" s="106">
        <v>71.5</v>
      </c>
      <c r="V120" s="106">
        <v>66</v>
      </c>
      <c r="W120" s="106">
        <v>62</v>
      </c>
      <c r="X120" s="106">
        <v>48</v>
      </c>
      <c r="Y120" s="106">
        <v>52.6</v>
      </c>
      <c r="Z120" s="106">
        <v>65.599999999999994</v>
      </c>
      <c r="AA120" s="106">
        <v>58.8</v>
      </c>
      <c r="AB120" s="106">
        <v>78.099999999999994</v>
      </c>
      <c r="AC120" s="106">
        <v>78</v>
      </c>
      <c r="AD120" s="106">
        <v>84</v>
      </c>
      <c r="AE120" s="106"/>
      <c r="AF120" s="106">
        <v>77</v>
      </c>
      <c r="AG120" s="119"/>
      <c r="AH120" s="47">
        <f t="shared" si="14"/>
        <v>84</v>
      </c>
      <c r="AI120" s="48">
        <f t="shared" si="15"/>
        <v>22.4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 t="s">
        <v>268</v>
      </c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29">SUM(B122:B226)</f>
        <v>0</v>
      </c>
      <c r="C227" s="137">
        <f t="shared" si="29"/>
        <v>0</v>
      </c>
      <c r="D227" s="137">
        <f t="shared" si="29"/>
        <v>0</v>
      </c>
      <c r="E227" s="137">
        <f t="shared" si="29"/>
        <v>0</v>
      </c>
      <c r="F227" s="137">
        <f t="shared" si="29"/>
        <v>0</v>
      </c>
      <c r="G227" s="137">
        <f t="shared" si="29"/>
        <v>0</v>
      </c>
      <c r="H227" s="137">
        <f t="shared" si="29"/>
        <v>0</v>
      </c>
      <c r="I227" s="137">
        <f t="shared" si="29"/>
        <v>0</v>
      </c>
      <c r="J227" s="137">
        <f t="shared" si="29"/>
        <v>0</v>
      </c>
      <c r="K227" s="137">
        <f t="shared" si="29"/>
        <v>0</v>
      </c>
      <c r="L227" s="137">
        <f t="shared" si="29"/>
        <v>0</v>
      </c>
      <c r="M227" s="137">
        <f t="shared" si="29"/>
        <v>0</v>
      </c>
      <c r="N227" s="137">
        <f t="shared" si="29"/>
        <v>0</v>
      </c>
      <c r="O227" s="137">
        <f t="shared" si="29"/>
        <v>0</v>
      </c>
      <c r="P227" s="137">
        <f t="shared" si="29"/>
        <v>0</v>
      </c>
      <c r="Q227" s="137">
        <f t="shared" si="29"/>
        <v>0</v>
      </c>
      <c r="R227" s="137">
        <f t="shared" si="29"/>
        <v>0</v>
      </c>
      <c r="S227" s="137">
        <f t="shared" si="29"/>
        <v>0</v>
      </c>
      <c r="T227" s="137">
        <f t="shared" si="29"/>
        <v>0</v>
      </c>
      <c r="U227" s="137">
        <f t="shared" si="29"/>
        <v>0</v>
      </c>
      <c r="V227" s="137">
        <f t="shared" si="29"/>
        <v>0</v>
      </c>
      <c r="W227" s="137">
        <f t="shared" si="29"/>
        <v>0</v>
      </c>
      <c r="X227" s="137">
        <f t="shared" si="29"/>
        <v>0</v>
      </c>
      <c r="Y227" s="137">
        <f t="shared" si="29"/>
        <v>0</v>
      </c>
      <c r="Z227" s="137">
        <f t="shared" si="29"/>
        <v>0</v>
      </c>
      <c r="AA227" s="137">
        <f t="shared" si="29"/>
        <v>0</v>
      </c>
      <c r="AB227" s="137">
        <f t="shared" si="29"/>
        <v>0</v>
      </c>
      <c r="AC227" s="137">
        <f t="shared" si="29"/>
        <v>0</v>
      </c>
      <c r="AD227" s="137">
        <f t="shared" si="29"/>
        <v>0</v>
      </c>
      <c r="AE227" s="137">
        <f t="shared" si="29"/>
        <v>0</v>
      </c>
      <c r="AF227" s="138">
        <f t="shared" si="29"/>
        <v>0</v>
      </c>
      <c r="AG227" s="139">
        <f t="shared" si="29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30">AF229</f>
        <v>0</v>
      </c>
      <c r="C229" s="141">
        <v>0.3</v>
      </c>
      <c r="D229" s="141">
        <f t="shared" ref="D229:P234" si="31">C229</f>
        <v>0.3</v>
      </c>
      <c r="E229" s="141">
        <f t="shared" si="31"/>
        <v>0.3</v>
      </c>
      <c r="F229" s="141">
        <f t="shared" si="31"/>
        <v>0.3</v>
      </c>
      <c r="G229" s="141">
        <f t="shared" si="31"/>
        <v>0.3</v>
      </c>
      <c r="H229" s="141">
        <f t="shared" si="31"/>
        <v>0.3</v>
      </c>
      <c r="I229" s="141">
        <f t="shared" si="31"/>
        <v>0.3</v>
      </c>
      <c r="J229" s="141">
        <f t="shared" si="31"/>
        <v>0.3</v>
      </c>
      <c r="K229" s="141">
        <f t="shared" si="31"/>
        <v>0.3</v>
      </c>
      <c r="L229" s="141">
        <f t="shared" si="31"/>
        <v>0.3</v>
      </c>
      <c r="M229" s="141">
        <f t="shared" si="31"/>
        <v>0.3</v>
      </c>
      <c r="N229" s="141">
        <f t="shared" si="31"/>
        <v>0.3</v>
      </c>
      <c r="O229" s="141">
        <f t="shared" si="31"/>
        <v>0.3</v>
      </c>
      <c r="P229" s="141">
        <f t="shared" si="31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30"/>
        <v>0</v>
      </c>
      <c r="C230" s="129">
        <v>0.4</v>
      </c>
      <c r="D230" s="129">
        <f t="shared" si="31"/>
        <v>0.4</v>
      </c>
      <c r="E230" s="129">
        <f t="shared" si="31"/>
        <v>0.4</v>
      </c>
      <c r="F230" s="129">
        <f t="shared" si="31"/>
        <v>0.4</v>
      </c>
      <c r="G230" s="129">
        <f t="shared" si="31"/>
        <v>0.4</v>
      </c>
      <c r="H230" s="129">
        <f t="shared" si="31"/>
        <v>0.4</v>
      </c>
      <c r="I230" s="129">
        <f t="shared" si="31"/>
        <v>0.4</v>
      </c>
      <c r="J230" s="129">
        <f t="shared" si="31"/>
        <v>0.4</v>
      </c>
      <c r="K230" s="129">
        <f t="shared" si="31"/>
        <v>0.4</v>
      </c>
      <c r="L230" s="129">
        <f t="shared" si="31"/>
        <v>0.4</v>
      </c>
      <c r="M230" s="129">
        <f t="shared" si="31"/>
        <v>0.4</v>
      </c>
      <c r="N230" s="129">
        <f t="shared" si="31"/>
        <v>0.4</v>
      </c>
      <c r="O230" s="129">
        <f t="shared" si="31"/>
        <v>0.4</v>
      </c>
      <c r="P230" s="129">
        <f t="shared" si="31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30"/>
        <v>0</v>
      </c>
      <c r="C231" s="129">
        <v>1.5</v>
      </c>
      <c r="D231" s="129">
        <f t="shared" si="31"/>
        <v>1.5</v>
      </c>
      <c r="E231" s="129">
        <f t="shared" si="31"/>
        <v>1.5</v>
      </c>
      <c r="F231" s="129">
        <f t="shared" si="31"/>
        <v>1.5</v>
      </c>
      <c r="G231" s="129">
        <f t="shared" si="31"/>
        <v>1.5</v>
      </c>
      <c r="H231" s="129">
        <f t="shared" si="31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31"/>
        <v>123.21900000000009</v>
      </c>
      <c r="K231" s="129">
        <f t="shared" ca="1" si="31"/>
        <v>123.21900000000009</v>
      </c>
      <c r="L231" s="129">
        <f t="shared" ca="1" si="31"/>
        <v>123.21900000000009</v>
      </c>
      <c r="M231" s="129">
        <f t="shared" ca="1" si="31"/>
        <v>119.19900000000008</v>
      </c>
      <c r="N231" s="129">
        <f t="shared" ca="1" si="31"/>
        <v>119.19900000000008</v>
      </c>
      <c r="O231" s="129">
        <f t="shared" ca="1" si="31"/>
        <v>119.19900000000008</v>
      </c>
      <c r="P231" s="129">
        <f t="shared" ca="1" si="31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30"/>
        <v>0</v>
      </c>
      <c r="C232" s="129">
        <v>0.3</v>
      </c>
      <c r="D232" s="129">
        <f t="shared" si="31"/>
        <v>0.3</v>
      </c>
      <c r="E232" s="129">
        <f t="shared" si="31"/>
        <v>0.3</v>
      </c>
      <c r="F232" s="129">
        <f t="shared" si="31"/>
        <v>0.3</v>
      </c>
      <c r="G232" s="129">
        <f t="shared" si="31"/>
        <v>0.3</v>
      </c>
      <c r="H232" s="129">
        <f t="shared" si="31"/>
        <v>0.3</v>
      </c>
      <c r="I232" s="129">
        <f t="shared" si="31"/>
        <v>0.3</v>
      </c>
      <c r="J232" s="129">
        <f t="shared" si="31"/>
        <v>0.3</v>
      </c>
      <c r="K232" s="129">
        <f t="shared" si="31"/>
        <v>0.3</v>
      </c>
      <c r="L232" s="129">
        <f t="shared" si="31"/>
        <v>0.3</v>
      </c>
      <c r="M232" s="129">
        <f t="shared" si="31"/>
        <v>0.3</v>
      </c>
      <c r="N232" s="129">
        <f t="shared" si="31"/>
        <v>0.3</v>
      </c>
      <c r="O232" s="129">
        <f t="shared" si="31"/>
        <v>0.3</v>
      </c>
      <c r="P232" s="129">
        <f t="shared" si="31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30"/>
        <v>0</v>
      </c>
      <c r="C233" s="129">
        <v>0.4</v>
      </c>
      <c r="D233" s="129">
        <f t="shared" si="31"/>
        <v>0.4</v>
      </c>
      <c r="E233" s="129">
        <f t="shared" si="31"/>
        <v>0.4</v>
      </c>
      <c r="F233" s="129">
        <f t="shared" si="31"/>
        <v>0.4</v>
      </c>
      <c r="G233" s="129">
        <f t="shared" si="31"/>
        <v>0.4</v>
      </c>
      <c r="H233" s="129">
        <f t="shared" si="31"/>
        <v>0.4</v>
      </c>
      <c r="I233" s="129">
        <f t="shared" si="31"/>
        <v>0.4</v>
      </c>
      <c r="J233" s="129">
        <f t="shared" si="31"/>
        <v>0.4</v>
      </c>
      <c r="K233" s="129">
        <f t="shared" si="31"/>
        <v>0.4</v>
      </c>
      <c r="L233" s="129">
        <f t="shared" si="31"/>
        <v>0.4</v>
      </c>
      <c r="M233" s="129">
        <f t="shared" si="31"/>
        <v>0.4</v>
      </c>
      <c r="N233" s="129">
        <f t="shared" si="31"/>
        <v>0.4</v>
      </c>
      <c r="O233" s="129">
        <f t="shared" si="31"/>
        <v>0.4</v>
      </c>
      <c r="P233" s="129">
        <f t="shared" si="31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30"/>
        <v>0</v>
      </c>
      <c r="C234" s="133">
        <v>0.64</v>
      </c>
      <c r="D234" s="133">
        <f t="shared" si="31"/>
        <v>0.64</v>
      </c>
      <c r="E234" s="133">
        <f t="shared" si="31"/>
        <v>0.64</v>
      </c>
      <c r="F234" s="133">
        <f t="shared" si="31"/>
        <v>0.64</v>
      </c>
      <c r="G234" s="133">
        <f t="shared" si="31"/>
        <v>0.64</v>
      </c>
      <c r="H234" s="133">
        <f t="shared" si="31"/>
        <v>0.64</v>
      </c>
      <c r="I234" s="133">
        <f t="shared" si="31"/>
        <v>0.64</v>
      </c>
      <c r="J234" s="133">
        <f t="shared" si="31"/>
        <v>0.64</v>
      </c>
      <c r="K234" s="133">
        <f t="shared" si="31"/>
        <v>0.64</v>
      </c>
      <c r="L234" s="133">
        <f t="shared" si="31"/>
        <v>0.64</v>
      </c>
      <c r="M234" s="133">
        <f t="shared" si="31"/>
        <v>0.64</v>
      </c>
      <c r="N234" s="133">
        <f t="shared" si="31"/>
        <v>0.64</v>
      </c>
      <c r="O234" s="133">
        <f t="shared" si="31"/>
        <v>0.64</v>
      </c>
      <c r="P234" s="133">
        <f t="shared" si="31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32">SUM(B229:B234)</f>
        <v>0</v>
      </c>
      <c r="C235" s="137">
        <f t="shared" si="32"/>
        <v>3.54</v>
      </c>
      <c r="D235" s="137">
        <f t="shared" si="32"/>
        <v>3.54</v>
      </c>
      <c r="E235" s="137">
        <f t="shared" si="32"/>
        <v>3.54</v>
      </c>
      <c r="F235" s="137">
        <f t="shared" si="32"/>
        <v>3.54</v>
      </c>
      <c r="G235" s="137">
        <f t="shared" si="32"/>
        <v>3.54</v>
      </c>
      <c r="H235" s="137">
        <f t="shared" si="32"/>
        <v>3.54</v>
      </c>
      <c r="I235" s="137">
        <f t="shared" ca="1" si="32"/>
        <v>121.23900000000009</v>
      </c>
      <c r="J235" s="137">
        <f t="shared" ca="1" si="32"/>
        <v>121.23900000000009</v>
      </c>
      <c r="K235" s="137">
        <f t="shared" ca="1" si="32"/>
        <v>121.23900000000009</v>
      </c>
      <c r="L235" s="137">
        <f t="shared" ca="1" si="32"/>
        <v>125.2590000000001</v>
      </c>
      <c r="M235" s="137">
        <f t="shared" ca="1" si="32"/>
        <v>121.23900000000009</v>
      </c>
      <c r="N235" s="137">
        <f t="shared" ca="1" si="32"/>
        <v>121.23900000000009</v>
      </c>
      <c r="O235" s="137">
        <f t="shared" ca="1" si="32"/>
        <v>121.23900000000009</v>
      </c>
      <c r="P235" s="137">
        <f t="shared" ca="1" si="32"/>
        <v>121.23900000000009</v>
      </c>
      <c r="Q235" s="137">
        <f t="shared" si="32"/>
        <v>0</v>
      </c>
      <c r="R235" s="137">
        <f t="shared" si="32"/>
        <v>0</v>
      </c>
      <c r="S235" s="137">
        <f t="shared" si="32"/>
        <v>0</v>
      </c>
      <c r="T235" s="137">
        <f t="shared" si="32"/>
        <v>0</v>
      </c>
      <c r="U235" s="137">
        <f t="shared" si="32"/>
        <v>0</v>
      </c>
      <c r="V235" s="137">
        <f t="shared" si="32"/>
        <v>0</v>
      </c>
      <c r="W235" s="137">
        <f t="shared" si="32"/>
        <v>0</v>
      </c>
      <c r="X235" s="137">
        <f t="shared" si="32"/>
        <v>0</v>
      </c>
      <c r="Y235" s="137">
        <f t="shared" si="32"/>
        <v>0</v>
      </c>
      <c r="Z235" s="137">
        <f t="shared" si="32"/>
        <v>0</v>
      </c>
      <c r="AA235" s="137">
        <f t="shared" si="32"/>
        <v>0</v>
      </c>
      <c r="AB235" s="137">
        <f t="shared" si="32"/>
        <v>0</v>
      </c>
      <c r="AC235" s="137">
        <f t="shared" si="32"/>
        <v>0</v>
      </c>
      <c r="AD235" s="137">
        <f t="shared" si="32"/>
        <v>0</v>
      </c>
      <c r="AE235" s="137">
        <f t="shared" si="32"/>
        <v>0</v>
      </c>
      <c r="AF235" s="137">
        <f t="shared" si="32"/>
        <v>0</v>
      </c>
      <c r="AG235" s="146">
        <f t="shared" si="32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1925.84</v>
      </c>
      <c r="C244" s="162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10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2080/03/10)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2080/03/10)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33">B91</f>
        <v>1953.2399999999998</v>
      </c>
      <c r="U249" s="171">
        <f t="shared" si="33"/>
        <v>1889.44</v>
      </c>
      <c r="V249" s="171">
        <f t="shared" si="33"/>
        <v>1895.54</v>
      </c>
      <c r="W249" s="171">
        <f t="shared" si="33"/>
        <v>1923.4399999999998</v>
      </c>
      <c r="X249" s="171">
        <f t="shared" si="33"/>
        <v>1867.4399999999998</v>
      </c>
      <c r="Y249" s="171">
        <f t="shared" si="33"/>
        <v>1865.0399999999997</v>
      </c>
      <c r="Z249" s="171">
        <f t="shared" si="33"/>
        <v>1788.3399999999997</v>
      </c>
      <c r="AA249" s="171">
        <f t="shared" si="33"/>
        <v>1834.0399999999997</v>
      </c>
      <c r="AB249" s="171">
        <f t="shared" si="33"/>
        <v>1822.9399999999998</v>
      </c>
      <c r="AC249" s="171">
        <f t="shared" si="33"/>
        <v>1842.94</v>
      </c>
      <c r="AD249" s="171">
        <f t="shared" si="33"/>
        <v>1925.84</v>
      </c>
      <c r="AE249" s="171">
        <f t="shared" si="33"/>
        <v>1886.9399999999998</v>
      </c>
      <c r="AF249" s="171">
        <f t="shared" si="33"/>
        <v>1850.84</v>
      </c>
      <c r="AG249" s="171">
        <f t="shared" si="33"/>
        <v>1864.3400000000001</v>
      </c>
      <c r="AH249" s="171">
        <f t="shared" si="33"/>
        <v>1866.6400000000003</v>
      </c>
      <c r="AI249" s="171">
        <f t="shared" si="33"/>
        <v>1866.6400000000003</v>
      </c>
      <c r="AJ249" s="171">
        <f t="shared" si="33"/>
        <v>1890.6400000000003</v>
      </c>
      <c r="AK249" s="171">
        <f t="shared" si="33"/>
        <v>1917.1399999999999</v>
      </c>
      <c r="AL249" s="171">
        <f t="shared" si="33"/>
        <v>1951.04</v>
      </c>
      <c r="AM249" s="171">
        <f t="shared" si="33"/>
        <v>1968.7899999999997</v>
      </c>
      <c r="AN249" s="171">
        <f t="shared" si="33"/>
        <v>1916.1899999999998</v>
      </c>
      <c r="AO249" s="171">
        <f t="shared" si="33"/>
        <v>1940.9899999999998</v>
      </c>
      <c r="AP249" s="171">
        <f t="shared" si="33"/>
        <v>1926.0900000000001</v>
      </c>
      <c r="AQ249" s="171">
        <f t="shared" si="33"/>
        <v>1910.0499999999997</v>
      </c>
      <c r="AR249" s="171">
        <f t="shared" si="33"/>
        <v>1952.2499999999998</v>
      </c>
      <c r="AS249" s="171">
        <f t="shared" si="33"/>
        <v>1879.89</v>
      </c>
      <c r="AT249" s="171">
        <f t="shared" si="33"/>
        <v>2005.8500000000001</v>
      </c>
      <c r="AU249" s="171">
        <f t="shared" si="33"/>
        <v>2011.15</v>
      </c>
      <c r="AV249" s="171">
        <f t="shared" si="33"/>
        <v>1971.55</v>
      </c>
      <c r="AW249" s="171">
        <f t="shared" si="33"/>
        <v>1966.35</v>
      </c>
      <c r="AX249" s="171">
        <f t="shared" si="33"/>
        <v>1932.35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34">C234</f>
        <v>0.64</v>
      </c>
      <c r="C270" s="174">
        <f t="shared" si="34"/>
        <v>0.64</v>
      </c>
      <c r="D270" s="174">
        <f t="shared" si="34"/>
        <v>0.64</v>
      </c>
      <c r="E270" s="174">
        <f t="shared" si="34"/>
        <v>0.64</v>
      </c>
      <c r="F270" s="174">
        <f t="shared" si="34"/>
        <v>0.64</v>
      </c>
      <c r="G270" s="174">
        <f t="shared" si="34"/>
        <v>0.64</v>
      </c>
      <c r="H270" s="174">
        <f t="shared" si="34"/>
        <v>0.64</v>
      </c>
      <c r="I270" s="174">
        <f t="shared" si="34"/>
        <v>0.64</v>
      </c>
      <c r="J270" s="174">
        <f t="shared" si="34"/>
        <v>0.64</v>
      </c>
      <c r="K270" s="174">
        <f t="shared" si="34"/>
        <v>0.64</v>
      </c>
      <c r="L270" s="174">
        <f t="shared" si="34"/>
        <v>0.64</v>
      </c>
      <c r="M270" s="174">
        <f t="shared" si="34"/>
        <v>0.64</v>
      </c>
      <c r="N270" s="174">
        <f t="shared" si="34"/>
        <v>0.64</v>
      </c>
      <c r="O270" s="174">
        <f t="shared" si="34"/>
        <v>0.64</v>
      </c>
      <c r="P270" s="174">
        <f t="shared" si="34"/>
        <v>0</v>
      </c>
      <c r="Q270" s="174">
        <f t="shared" si="34"/>
        <v>0</v>
      </c>
      <c r="R270" s="174">
        <f t="shared" si="34"/>
        <v>0</v>
      </c>
      <c r="S270" s="174">
        <f t="shared" si="34"/>
        <v>0</v>
      </c>
      <c r="T270" s="174">
        <f t="shared" si="34"/>
        <v>0</v>
      </c>
      <c r="U270" s="174">
        <f t="shared" si="34"/>
        <v>0</v>
      </c>
      <c r="V270" s="174">
        <f t="shared" si="34"/>
        <v>0</v>
      </c>
      <c r="W270" s="174">
        <f t="shared" si="34"/>
        <v>0</v>
      </c>
      <c r="X270" s="174">
        <f t="shared" si="34"/>
        <v>0</v>
      </c>
      <c r="Y270" s="174">
        <f t="shared" si="34"/>
        <v>0</v>
      </c>
      <c r="Z270" s="174">
        <f t="shared" si="34"/>
        <v>0</v>
      </c>
      <c r="AA270" s="174">
        <f t="shared" si="34"/>
        <v>0</v>
      </c>
      <c r="AB270" s="174">
        <f t="shared" si="34"/>
        <v>0</v>
      </c>
      <c r="AC270" s="174">
        <f t="shared" si="34"/>
        <v>0</v>
      </c>
      <c r="AD270" s="174">
        <f t="shared" si="34"/>
        <v>0</v>
      </c>
      <c r="AE270" s="174">
        <f t="shared" si="34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35">IF(B238&lt;100,"",B238-520)</f>
        <v/>
      </c>
      <c r="C271" s="175" t="str">
        <f t="shared" si="35"/>
        <v/>
      </c>
      <c r="D271" s="175" t="str">
        <f t="shared" si="35"/>
        <v/>
      </c>
      <c r="E271" s="175" t="str">
        <f t="shared" si="35"/>
        <v/>
      </c>
      <c r="F271" s="175" t="str">
        <f t="shared" si="35"/>
        <v/>
      </c>
      <c r="G271" s="175" t="str">
        <f t="shared" si="35"/>
        <v/>
      </c>
      <c r="H271" s="175" t="str">
        <f t="shared" si="35"/>
        <v/>
      </c>
      <c r="I271" s="175" t="str">
        <f t="shared" si="35"/>
        <v/>
      </c>
      <c r="J271" s="175" t="str">
        <f t="shared" si="35"/>
        <v/>
      </c>
      <c r="K271" s="175" t="str">
        <f t="shared" si="35"/>
        <v/>
      </c>
      <c r="L271" s="175" t="str">
        <f t="shared" si="35"/>
        <v/>
      </c>
      <c r="M271" s="175" t="str">
        <f t="shared" si="35"/>
        <v/>
      </c>
      <c r="N271" s="175" t="str">
        <f t="shared" si="35"/>
        <v/>
      </c>
      <c r="O271" s="175" t="str">
        <f t="shared" si="35"/>
        <v/>
      </c>
      <c r="P271" s="175" t="str">
        <f t="shared" si="35"/>
        <v/>
      </c>
      <c r="Q271" s="175" t="str">
        <f t="shared" si="35"/>
        <v/>
      </c>
      <c r="R271" s="175" t="str">
        <f t="shared" si="35"/>
        <v/>
      </c>
      <c r="S271" s="175" t="str">
        <f t="shared" si="35"/>
        <v/>
      </c>
      <c r="T271" s="175" t="str">
        <f t="shared" si="35"/>
        <v/>
      </c>
      <c r="U271" s="175" t="str">
        <f t="shared" si="35"/>
        <v/>
      </c>
      <c r="V271" s="175" t="str">
        <f t="shared" si="35"/>
        <v/>
      </c>
      <c r="W271" s="175" t="str">
        <f t="shared" si="35"/>
        <v/>
      </c>
      <c r="X271" s="175" t="str">
        <f t="shared" si="35"/>
        <v/>
      </c>
      <c r="Y271" s="175" t="str">
        <f t="shared" si="35"/>
        <v/>
      </c>
      <c r="Z271" s="175" t="str">
        <f t="shared" si="35"/>
        <v/>
      </c>
      <c r="AA271" s="175" t="str">
        <f t="shared" si="35"/>
        <v/>
      </c>
      <c r="AB271" s="175" t="str">
        <f t="shared" si="35"/>
        <v/>
      </c>
      <c r="AC271" s="175" t="str">
        <f t="shared" si="35"/>
        <v/>
      </c>
      <c r="AD271" s="175" t="str">
        <f t="shared" si="35"/>
        <v/>
      </c>
      <c r="AE271" s="175" t="str">
        <f t="shared" si="35"/>
        <v/>
      </c>
      <c r="AF271" s="175" t="str">
        <f t="shared" si="35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36">IF(B239&lt;100,"",B239-620)</f>
        <v/>
      </c>
      <c r="C272" s="175" t="str">
        <f t="shared" si="36"/>
        <v/>
      </c>
      <c r="D272" s="175" t="str">
        <f t="shared" si="36"/>
        <v/>
      </c>
      <c r="E272" s="175" t="str">
        <f t="shared" si="36"/>
        <v/>
      </c>
      <c r="F272" s="175" t="str">
        <f t="shared" si="36"/>
        <v/>
      </c>
      <c r="G272" s="175" t="str">
        <f t="shared" si="36"/>
        <v/>
      </c>
      <c r="H272" s="175" t="str">
        <f t="shared" si="36"/>
        <v/>
      </c>
      <c r="I272" s="175" t="str">
        <f t="shared" si="36"/>
        <v/>
      </c>
      <c r="J272" s="175" t="str">
        <f t="shared" si="36"/>
        <v/>
      </c>
      <c r="K272" s="175" t="str">
        <f t="shared" si="36"/>
        <v/>
      </c>
      <c r="L272" s="175" t="str">
        <f t="shared" si="36"/>
        <v/>
      </c>
      <c r="M272" s="175" t="str">
        <f t="shared" si="36"/>
        <v/>
      </c>
      <c r="N272" s="175" t="str">
        <f t="shared" si="36"/>
        <v/>
      </c>
      <c r="O272" s="175" t="str">
        <f t="shared" si="36"/>
        <v/>
      </c>
      <c r="P272" s="175" t="str">
        <f t="shared" si="36"/>
        <v/>
      </c>
      <c r="Q272" s="175" t="str">
        <f t="shared" si="36"/>
        <v/>
      </c>
      <c r="R272" s="175" t="str">
        <f t="shared" si="36"/>
        <v/>
      </c>
      <c r="S272" s="175" t="str">
        <f t="shared" si="36"/>
        <v/>
      </c>
      <c r="T272" s="175" t="str">
        <f t="shared" si="36"/>
        <v/>
      </c>
      <c r="U272" s="175" t="str">
        <f t="shared" si="36"/>
        <v/>
      </c>
      <c r="V272" s="175" t="str">
        <f t="shared" si="36"/>
        <v/>
      </c>
      <c r="W272" s="175" t="str">
        <f t="shared" si="36"/>
        <v/>
      </c>
      <c r="X272" s="175" t="str">
        <f t="shared" si="36"/>
        <v/>
      </c>
      <c r="Y272" s="175" t="str">
        <f t="shared" si="36"/>
        <v/>
      </c>
      <c r="Z272" s="175" t="str">
        <f t="shared" si="36"/>
        <v/>
      </c>
      <c r="AA272" s="175" t="str">
        <f t="shared" si="36"/>
        <v/>
      </c>
      <c r="AB272" s="175" t="str">
        <f t="shared" si="36"/>
        <v/>
      </c>
      <c r="AC272" s="175" t="str">
        <f t="shared" si="36"/>
        <v/>
      </c>
      <c r="AD272" s="175" t="str">
        <f t="shared" si="36"/>
        <v/>
      </c>
      <c r="AE272" s="175" t="str">
        <f t="shared" si="36"/>
        <v/>
      </c>
      <c r="AF272" s="175" t="str">
        <f t="shared" si="36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37">IF(B240&lt;100,"",B240-330)</f>
        <v/>
      </c>
      <c r="C273" s="175" t="str">
        <f t="shared" si="37"/>
        <v/>
      </c>
      <c r="D273" s="175" t="str">
        <f t="shared" si="37"/>
        <v/>
      </c>
      <c r="E273" s="175" t="str">
        <f t="shared" si="37"/>
        <v/>
      </c>
      <c r="F273" s="175" t="str">
        <f t="shared" si="37"/>
        <v/>
      </c>
      <c r="G273" s="175" t="str">
        <f t="shared" si="37"/>
        <v/>
      </c>
      <c r="H273" s="175" t="str">
        <f t="shared" si="37"/>
        <v/>
      </c>
      <c r="I273" s="175" t="str">
        <f t="shared" si="37"/>
        <v/>
      </c>
      <c r="J273" s="175" t="str">
        <f t="shared" si="37"/>
        <v/>
      </c>
      <c r="K273" s="175" t="str">
        <f t="shared" si="37"/>
        <v/>
      </c>
      <c r="L273" s="175" t="str">
        <f t="shared" si="37"/>
        <v/>
      </c>
      <c r="M273" s="175" t="str">
        <f t="shared" si="37"/>
        <v/>
      </c>
      <c r="N273" s="175" t="str">
        <f t="shared" si="37"/>
        <v/>
      </c>
      <c r="O273" s="175" t="str">
        <f t="shared" si="37"/>
        <v/>
      </c>
      <c r="P273" s="175" t="str">
        <f t="shared" si="37"/>
        <v/>
      </c>
      <c r="Q273" s="175" t="str">
        <f t="shared" si="37"/>
        <v/>
      </c>
      <c r="R273" s="175" t="str">
        <f t="shared" si="37"/>
        <v/>
      </c>
      <c r="S273" s="175" t="str">
        <f t="shared" si="37"/>
        <v/>
      </c>
      <c r="T273" s="175" t="str">
        <f t="shared" si="37"/>
        <v/>
      </c>
      <c r="U273" s="175" t="str">
        <f t="shared" si="37"/>
        <v/>
      </c>
      <c r="V273" s="175" t="str">
        <f t="shared" si="37"/>
        <v/>
      </c>
      <c r="W273" s="175" t="str">
        <f t="shared" si="37"/>
        <v/>
      </c>
      <c r="X273" s="175" t="str">
        <f t="shared" si="37"/>
        <v/>
      </c>
      <c r="Y273" s="175" t="str">
        <f t="shared" si="37"/>
        <v/>
      </c>
      <c r="Z273" s="175" t="str">
        <f t="shared" si="37"/>
        <v/>
      </c>
      <c r="AA273" s="175" t="str">
        <f t="shared" si="37"/>
        <v/>
      </c>
      <c r="AB273" s="175" t="str">
        <f t="shared" si="37"/>
        <v/>
      </c>
      <c r="AC273" s="175" t="str">
        <f t="shared" si="37"/>
        <v/>
      </c>
      <c r="AD273" s="175" t="str">
        <f t="shared" si="37"/>
        <v/>
      </c>
      <c r="AE273" s="175" t="str">
        <f t="shared" si="37"/>
        <v/>
      </c>
      <c r="AF273" s="175" t="str">
        <f t="shared" si="37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38">IF(B241&lt;100,"",B241-1500)</f>
        <v/>
      </c>
      <c r="C274" s="175" t="str">
        <f t="shared" si="38"/>
        <v/>
      </c>
      <c r="D274" s="175" t="str">
        <f t="shared" si="38"/>
        <v/>
      </c>
      <c r="E274" s="175" t="str">
        <f t="shared" si="38"/>
        <v/>
      </c>
      <c r="F274" s="175" t="str">
        <f t="shared" si="38"/>
        <v/>
      </c>
      <c r="G274" s="175" t="str">
        <f t="shared" si="38"/>
        <v/>
      </c>
      <c r="H274" s="175" t="str">
        <f t="shared" si="38"/>
        <v/>
      </c>
      <c r="I274" s="175" t="str">
        <f t="shared" si="38"/>
        <v/>
      </c>
      <c r="J274" s="175" t="str">
        <f t="shared" si="38"/>
        <v/>
      </c>
      <c r="K274" s="175" t="str">
        <f t="shared" si="38"/>
        <v/>
      </c>
      <c r="L274" s="175" t="str">
        <f t="shared" si="38"/>
        <v/>
      </c>
      <c r="M274" s="175" t="str">
        <f t="shared" si="38"/>
        <v/>
      </c>
      <c r="N274" s="175" t="str">
        <f t="shared" si="38"/>
        <v/>
      </c>
      <c r="O274" s="175" t="str">
        <f t="shared" si="38"/>
        <v/>
      </c>
      <c r="P274" s="175" t="str">
        <f t="shared" si="38"/>
        <v/>
      </c>
      <c r="Q274" s="175" t="str">
        <f t="shared" si="38"/>
        <v/>
      </c>
      <c r="R274" s="175" t="str">
        <f t="shared" si="38"/>
        <v/>
      </c>
      <c r="S274" s="175" t="str">
        <f t="shared" si="38"/>
        <v/>
      </c>
      <c r="T274" s="175" t="str">
        <f t="shared" si="38"/>
        <v/>
      </c>
      <c r="U274" s="175" t="str">
        <f t="shared" si="38"/>
        <v/>
      </c>
      <c r="V274" s="175" t="str">
        <f t="shared" si="38"/>
        <v/>
      </c>
      <c r="W274" s="175" t="str">
        <f t="shared" si="38"/>
        <v/>
      </c>
      <c r="X274" s="175" t="str">
        <f t="shared" si="38"/>
        <v/>
      </c>
      <c r="Y274" s="175" t="str">
        <f t="shared" si="38"/>
        <v/>
      </c>
      <c r="Z274" s="175" t="str">
        <f t="shared" si="38"/>
        <v/>
      </c>
      <c r="AA274" s="175" t="str">
        <f t="shared" si="38"/>
        <v/>
      </c>
      <c r="AB274" s="175" t="str">
        <f t="shared" si="38"/>
        <v/>
      </c>
      <c r="AC274" s="175" t="str">
        <f t="shared" si="38"/>
        <v/>
      </c>
      <c r="AD274" s="175" t="str">
        <f t="shared" si="38"/>
        <v/>
      </c>
      <c r="AE274" s="175" t="str">
        <f t="shared" si="38"/>
        <v/>
      </c>
      <c r="AF274" s="175" t="str">
        <f t="shared" si="38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1791" priority="406">
      <formula>$AH11=0</formula>
    </cfRule>
  </conditionalFormatting>
  <conditionalFormatting sqref="B8 M8 S8 AB8">
    <cfRule type="expression" dxfId="1790" priority="659">
      <formula>AND(C$9&gt;=8/24,C$9&lt;14/24)</formula>
    </cfRule>
    <cfRule type="expression" dxfId="1789" priority="658">
      <formula>AND(C$9&gt;=14/24,C$9&lt;20/24)</formula>
    </cfRule>
    <cfRule type="expression" dxfId="1788" priority="660">
      <formula>C$9&lt;8/24</formula>
    </cfRule>
  </conditionalFormatting>
  <conditionalFormatting sqref="B49:C49 B69:AF71">
    <cfRule type="expression" dxfId="1787" priority="110">
      <formula>AND(B$9&gt;=14/24,B$9&lt;20/24)</formula>
    </cfRule>
    <cfRule type="expression" dxfId="1786" priority="112">
      <formula>B$9&lt;8/24</formula>
    </cfRule>
    <cfRule type="expression" dxfId="1785" priority="111">
      <formula>AND(B$9&gt;=8/24,B$9&lt;14/24)</formula>
    </cfRule>
  </conditionalFormatting>
  <conditionalFormatting sqref="B49:C66">
    <cfRule type="expression" dxfId="1784" priority="9">
      <formula>B49&gt;$AG49</formula>
    </cfRule>
  </conditionalFormatting>
  <conditionalFormatting sqref="B51:C66">
    <cfRule type="expression" dxfId="1783" priority="10">
      <formula>B$9&gt;=20/24</formula>
    </cfRule>
    <cfRule type="expression" dxfId="1782" priority="11">
      <formula>AND(B$9&gt;=14/24,B$9&lt;20/24)</formula>
    </cfRule>
    <cfRule type="expression" dxfId="1781" priority="12">
      <formula>AND(B$9&gt;=8/24,B$9&lt;14/24)</formula>
    </cfRule>
    <cfRule type="expression" dxfId="1780" priority="13">
      <formula>B$9&lt;8/24</formula>
    </cfRule>
  </conditionalFormatting>
  <conditionalFormatting sqref="B72:C75 B93:AF109">
    <cfRule type="expression" dxfId="1779" priority="77">
      <formula>B$9&lt;8/24</formula>
    </cfRule>
    <cfRule type="expression" dxfId="1778" priority="75">
      <formula>AND(B$9&gt;=14/24,B$9&lt;20/24)</formula>
    </cfRule>
    <cfRule type="expression" dxfId="1777" priority="74">
      <formula>B$9&gt;=20/24</formula>
    </cfRule>
    <cfRule type="expression" dxfId="1776" priority="76">
      <formula>AND(B$9&gt;=8/24,B$9&lt;14/24)</formula>
    </cfRule>
  </conditionalFormatting>
  <conditionalFormatting sqref="B76:C91">
    <cfRule type="expression" dxfId="1775" priority="1">
      <formula>B$9&gt;=20/24</formula>
    </cfRule>
    <cfRule type="expression" dxfId="1774" priority="2">
      <formula>AND(B$9&gt;=14/24,B$9&lt;20/24)</formula>
    </cfRule>
    <cfRule type="expression" dxfId="1773" priority="3">
      <formula>AND(B$9&gt;=8/24,B$9&lt;14/24)</formula>
    </cfRule>
    <cfRule type="expression" dxfId="1772" priority="4">
      <formula>B$9&lt;8/24</formula>
    </cfRule>
  </conditionalFormatting>
  <conditionalFormatting sqref="B29:Y34">
    <cfRule type="expression" dxfId="1771" priority="20">
      <formula>B$9&gt;=20/24</formula>
    </cfRule>
    <cfRule type="expression" dxfId="1770" priority="21">
      <formula>AND(B$9&gt;=14/24,B$9&lt;20/24)</formula>
    </cfRule>
    <cfRule type="expression" dxfId="1769" priority="22">
      <formula>AND(B$9&gt;=8/24,B$9&lt;14/24)</formula>
    </cfRule>
    <cfRule type="expression" dxfId="1768" priority="23">
      <formula>B$9&lt;8/24</formula>
    </cfRule>
    <cfRule type="expression" dxfId="1767" priority="19">
      <formula>B29&gt;$AG29</formula>
    </cfRule>
  </conditionalFormatting>
  <conditionalFormatting sqref="B18:Z18">
    <cfRule type="expression" dxfId="1766" priority="42">
      <formula>B$9&lt;8/24</formula>
    </cfRule>
    <cfRule type="expression" dxfId="1765" priority="41">
      <formula>AND(B$9&gt;=8/24,B$9&lt;14/24)</formula>
    </cfRule>
    <cfRule type="expression" dxfId="1764" priority="40">
      <formula>AND(B$9&gt;=14/24,B$9&lt;20/24)</formula>
    </cfRule>
    <cfRule type="expression" dxfId="1763" priority="39">
      <formula>B$9&gt;=20/24</formula>
    </cfRule>
    <cfRule type="expression" dxfId="1762" priority="38">
      <formula>B18&gt;$AG18</formula>
    </cfRule>
  </conditionalFormatting>
  <conditionalFormatting sqref="B35:Z45">
    <cfRule type="expression" dxfId="1761" priority="37">
      <formula>B$9&lt;8/24</formula>
    </cfRule>
    <cfRule type="expression" dxfId="1760" priority="34">
      <formula>B$9&gt;=20/24</formula>
    </cfRule>
    <cfRule type="expression" dxfId="1759" priority="35">
      <formula>AND(B$9&gt;=14/24,B$9&lt;20/24)</formula>
    </cfRule>
    <cfRule type="expression" dxfId="1758" priority="36">
      <formula>AND(B$9&gt;=8/24,B$9&lt;14/24)</formula>
    </cfRule>
  </conditionalFormatting>
  <conditionalFormatting sqref="B35:Z46">
    <cfRule type="expression" dxfId="1757" priority="32">
      <formula>B35&gt;$AG35</formula>
    </cfRule>
  </conditionalFormatting>
  <conditionalFormatting sqref="B47:Z47">
    <cfRule type="expression" dxfId="1756" priority="63">
      <formula>B47&gt;$AG47</formula>
    </cfRule>
  </conditionalFormatting>
  <conditionalFormatting sqref="B9:AF17">
    <cfRule type="expression" dxfId="1755" priority="47">
      <formula>B$9&lt;8/24</formula>
    </cfRule>
    <cfRule type="expression" dxfId="1754" priority="46">
      <formula>AND(B$9&gt;=8/24,B$9&lt;14/24)</formula>
    </cfRule>
    <cfRule type="expression" dxfId="1753" priority="45">
      <formula>AND(B$9&gt;=14/24,B$9&lt;20/24)</formula>
    </cfRule>
    <cfRule type="expression" dxfId="1752" priority="44">
      <formula>B$9&gt;=20/24</formula>
    </cfRule>
  </conditionalFormatting>
  <conditionalFormatting sqref="B11:AF17">
    <cfRule type="expression" dxfId="1751" priority="43">
      <formula>B11&gt;$AG11</formula>
    </cfRule>
  </conditionalFormatting>
  <conditionalFormatting sqref="B46:AF46">
    <cfRule type="expression" dxfId="1750" priority="28">
      <formula>B$9&gt;=20/24</formula>
    </cfRule>
    <cfRule type="expression" dxfId="1749" priority="29">
      <formula>AND(B$9&gt;=14/24,B$9&lt;20/24)</formula>
    </cfRule>
    <cfRule type="expression" dxfId="1748" priority="30">
      <formula>AND(B$9&gt;=8/24,B$9&lt;14/24)</formula>
    </cfRule>
    <cfRule type="expression" dxfId="1747" priority="31">
      <formula>B$9&lt;8/24</formula>
    </cfRule>
  </conditionalFormatting>
  <conditionalFormatting sqref="B47:AF48">
    <cfRule type="expression" dxfId="1746" priority="50">
      <formula>B$9&gt;=20/24</formula>
    </cfRule>
    <cfRule type="expression" dxfId="1745" priority="51">
      <formula>AND(B$9&gt;=14/24,B$9&lt;20/24)</formula>
    </cfRule>
    <cfRule type="expression" dxfId="1744" priority="52">
      <formula>AND(B$9&gt;=8/24,B$9&lt;14/24)</formula>
    </cfRule>
    <cfRule type="expression" dxfId="1743" priority="53">
      <formula>B$9&lt;8/24</formula>
    </cfRule>
  </conditionalFormatting>
  <conditionalFormatting sqref="B48:AF48">
    <cfRule type="expression" dxfId="1742" priority="49">
      <formula>B48&gt;$AG48</formula>
    </cfRule>
  </conditionalFormatting>
  <conditionalFormatting sqref="B69:AF71 B49:C49">
    <cfRule type="expression" dxfId="1741" priority="109">
      <formula>B$9&gt;=20/24</formula>
    </cfRule>
  </conditionalFormatting>
  <conditionalFormatting sqref="B69:AF71">
    <cfRule type="expression" dxfId="1740" priority="108">
      <formula>B69&gt;$AG69</formula>
    </cfRule>
  </conditionalFormatting>
  <conditionalFormatting sqref="B111:AF120">
    <cfRule type="expression" dxfId="1739" priority="25">
      <formula>AND(B$9&gt;=14/24,B$9&lt;20/24)</formula>
    </cfRule>
    <cfRule type="expression" dxfId="1738" priority="26">
      <formula>AND(B$9&gt;=8/24,B$9&lt;14/24)</formula>
    </cfRule>
    <cfRule type="expression" dxfId="1737" priority="27">
      <formula>B$9&lt;8/24</formula>
    </cfRule>
    <cfRule type="expression" dxfId="1736" priority="24">
      <formula>B$9&gt;=20/24</formula>
    </cfRule>
  </conditionalFormatting>
  <conditionalFormatting sqref="B227:AF227 D229:AF230 B229:B235 D231:H231 J231:AF231 D232:AF235 U248:AF248">
    <cfRule type="expression" dxfId="1735" priority="651">
      <formula>B$9&gt;=20/24</formula>
    </cfRule>
    <cfRule type="expression" dxfId="1734" priority="654">
      <formula>B$9&lt;8/24</formula>
    </cfRule>
    <cfRule type="expression" dxfId="1733" priority="653">
      <formula>AND(B$9&gt;=8/24,B$9&lt;14/24)</formula>
    </cfRule>
    <cfRule type="expression" dxfId="1732" priority="652">
      <formula>AND(B$9&gt;=14/24,B$9&lt;20/24)</formula>
    </cfRule>
  </conditionalFormatting>
  <conditionalFormatting sqref="B67:AG68 B72:AG72">
    <cfRule type="expression" dxfId="1731" priority="73">
      <formula>B67&gt;$AG67</formula>
    </cfRule>
  </conditionalFormatting>
  <conditionalFormatting sqref="D55:J59">
    <cfRule type="expression" dxfId="1730" priority="463">
      <formula>AND(D$9&gt;=14/24,D$9&lt;20/24)</formula>
    </cfRule>
    <cfRule type="expression" dxfId="1729" priority="464">
      <formula>AND(D$9&gt;=8/24,D$9&lt;14/24)</formula>
    </cfRule>
    <cfRule type="expression" dxfId="1728" priority="462">
      <formula>D$9&gt;=20/24</formula>
    </cfRule>
    <cfRule type="expression" dxfId="1727" priority="465">
      <formula>D$9&lt;8/24</formula>
    </cfRule>
  </conditionalFormatting>
  <conditionalFormatting sqref="D60:Z64 D65:AB66">
    <cfRule type="expression" dxfId="1726" priority="436">
      <formula>D$9&lt;8/24</formula>
    </cfRule>
    <cfRule type="expression" dxfId="1725" priority="433">
      <formula>D$9&gt;=20/24</formula>
    </cfRule>
    <cfRule type="expression" dxfId="1724" priority="434">
      <formula>AND(D$9&gt;=14/24,D$9&lt;20/24)</formula>
    </cfRule>
    <cfRule type="expression" dxfId="1723" priority="435">
      <formula>AND(D$9&gt;=8/24,D$9&lt;14/24)</formula>
    </cfRule>
  </conditionalFormatting>
  <conditionalFormatting sqref="D49:AF49">
    <cfRule type="expression" dxfId="1722" priority="372">
      <formula>D$9&gt;=20/24</formula>
    </cfRule>
    <cfRule type="expression" dxfId="1721" priority="373">
      <formula>AND(D$9&gt;=14/24,D$9&lt;20/24)</formula>
    </cfRule>
    <cfRule type="expression" dxfId="1720" priority="374">
      <formula>AND(D$9&gt;=8/24,D$9&lt;14/24)</formula>
    </cfRule>
    <cfRule type="expression" dxfId="1719" priority="375">
      <formula>D$9&lt;8/24</formula>
    </cfRule>
  </conditionalFormatting>
  <conditionalFormatting sqref="D49:AF53">
    <cfRule type="expression" dxfId="1718" priority="301">
      <formula>D49&gt;$AG49</formula>
    </cfRule>
  </conditionalFormatting>
  <conditionalFormatting sqref="D51:AF53">
    <cfRule type="expression" dxfId="1717" priority="355">
      <formula>AND(D$9&gt;=14/24,D$9&lt;20/24)</formula>
    </cfRule>
    <cfRule type="expression" dxfId="1716" priority="354">
      <formula>D$9&gt;=20/24</formula>
    </cfRule>
    <cfRule type="expression" dxfId="1715" priority="356">
      <formula>AND(D$9&gt;=8/24,D$9&lt;14/24)</formula>
    </cfRule>
    <cfRule type="expression" dxfId="1714" priority="357">
      <formula>D$9&lt;8/24</formula>
    </cfRule>
  </conditionalFormatting>
  <conditionalFormatting sqref="D55:AF66">
    <cfRule type="expression" dxfId="1713" priority="432">
      <formula>D55&gt;$AG55</formula>
    </cfRule>
  </conditionalFormatting>
  <conditionalFormatting sqref="D73:AF91">
    <cfRule type="expression" dxfId="1712" priority="460">
      <formula>D$9&lt;8/24</formula>
    </cfRule>
    <cfRule type="expression" dxfId="1711" priority="459">
      <formula>AND(D$9&gt;=8/24,D$9&lt;14/24)</formula>
    </cfRule>
    <cfRule type="expression" dxfId="1710" priority="457">
      <formula>D$9&gt;=20/24</formula>
    </cfRule>
    <cfRule type="expression" dxfId="1709" priority="458">
      <formula>AND(D$9&gt;=14/24,D$9&lt;20/24)</formula>
    </cfRule>
  </conditionalFormatting>
  <conditionalFormatting sqref="D54:AG54">
    <cfRule type="expression" dxfId="1708" priority="506">
      <formula>D$9&lt;8/24</formula>
    </cfRule>
    <cfRule type="expression" dxfId="1707" priority="505">
      <formula>AND(D$9&gt;=8/24,D$9&lt;14/24)</formula>
    </cfRule>
    <cfRule type="expression" dxfId="1706" priority="504">
      <formula>AND(D$9&gt;=14/24,D$9&lt;20/24)</formula>
    </cfRule>
    <cfRule type="expression" dxfId="1705" priority="502">
      <formula>D54&gt;$AG54</formula>
    </cfRule>
    <cfRule type="expression" dxfId="1704" priority="503">
      <formula>D$9&gt;=20/24</formula>
    </cfRule>
  </conditionalFormatting>
  <conditionalFormatting sqref="D72:AG72">
    <cfRule type="expression" dxfId="1703" priority="516">
      <formula>D$9&gt;=20/24</formula>
    </cfRule>
    <cfRule type="expression" dxfId="1702" priority="519">
      <formula>D$9&lt;8/24</formula>
    </cfRule>
    <cfRule type="expression" dxfId="1701" priority="518">
      <formula>AND(D$9&gt;=8/24,D$9&lt;14/24)</formula>
    </cfRule>
    <cfRule type="expression" dxfId="1700" priority="517">
      <formula>AND(D$9&gt;=14/24,D$9&lt;20/24)</formula>
    </cfRule>
  </conditionalFormatting>
  <conditionalFormatting sqref="J19:Y19 B19:I25 J20:X25 B26:X28">
    <cfRule type="expression" dxfId="1699" priority="82">
      <formula>B19&gt;$AG19</formula>
    </cfRule>
    <cfRule type="expression" dxfId="1698" priority="83">
      <formula>B$9&gt;=20/24</formula>
    </cfRule>
    <cfRule type="expression" dxfId="1697" priority="84">
      <formula>AND(B$9&gt;=14/24,B$9&lt;20/24)</formula>
    </cfRule>
    <cfRule type="expression" dxfId="1696" priority="85">
      <formula>AND(B$9&gt;=8/24,B$9&lt;14/24)</formula>
    </cfRule>
    <cfRule type="expression" dxfId="1695" priority="86">
      <formula>B$9&lt;8/24</formula>
    </cfRule>
  </conditionalFormatting>
  <conditionalFormatting sqref="K55:Z57">
    <cfRule type="expression" dxfId="1694" priority="589">
      <formula>K$9&gt;=20/24</formula>
    </cfRule>
    <cfRule type="expression" dxfId="1693" priority="590">
      <formula>AND(K$9&gt;=14/24,K$9&lt;20/24)</formula>
    </cfRule>
    <cfRule type="expression" dxfId="1692" priority="591">
      <formula>AND(K$9&gt;=8/24,K$9&lt;14/24)</formula>
    </cfRule>
    <cfRule type="expression" dxfId="1691" priority="592">
      <formula>K$9&lt;8/24</formula>
    </cfRule>
  </conditionalFormatting>
  <conditionalFormatting sqref="K59:Z59">
    <cfRule type="expression" dxfId="1690" priority="468">
      <formula>AND(K$9&gt;=8/24,K$9&lt;14/24)</formula>
    </cfRule>
    <cfRule type="expression" dxfId="1689" priority="469">
      <formula>K$9&lt;8/24</formula>
    </cfRule>
    <cfRule type="expression" dxfId="1688" priority="466">
      <formula>K$9&gt;=20/24</formula>
    </cfRule>
    <cfRule type="expression" dxfId="1687" priority="467">
      <formula>AND(K$9&gt;=14/24,K$9&lt;20/24)</formula>
    </cfRule>
  </conditionalFormatting>
  <conditionalFormatting sqref="O3:P3">
    <cfRule type="iconSet" priority="65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686" priority="657">
      <formula>C$9&gt;=20/24</formula>
    </cfRule>
  </conditionalFormatting>
  <conditionalFormatting sqref="S8">
    <cfRule type="expression" dxfId="1685" priority="630">
      <formula>U$9&gt;=20/24</formula>
    </cfRule>
    <cfRule type="expression" dxfId="1684" priority="631">
      <formula>AND(U$9&gt;=14/24,U$9&lt;20/24)</formula>
    </cfRule>
    <cfRule type="expression" dxfId="1683" priority="632">
      <formula>AND(U$9&gt;=8/24,U$9&lt;14/24)</formula>
    </cfRule>
    <cfRule type="expression" dxfId="1682" priority="633">
      <formula>U$9&lt;8/24</formula>
    </cfRule>
  </conditionalFormatting>
  <conditionalFormatting sqref="T248">
    <cfRule type="expression" dxfId="1681" priority="673">
      <formula>AX$9&lt;8/24</formula>
    </cfRule>
    <cfRule type="expression" dxfId="1680" priority="670">
      <formula>AX$9&gt;=20/24</formula>
    </cfRule>
    <cfRule type="expression" dxfId="1679" priority="671">
      <formula>AND(AX$9&gt;=14/24,AX$9&lt;20/24)</formula>
    </cfRule>
    <cfRule type="expression" dxfId="1678" priority="672">
      <formula>AND(AX$9&gt;=8/24,AX$9&lt;14/24)</formula>
    </cfRule>
  </conditionalFormatting>
  <conditionalFormatting sqref="V3 AB3">
    <cfRule type="iconSet" priority="656">
      <iconSet iconSet="3TrafficLights2" reverse="1">
        <cfvo type="percent" val="0"/>
        <cfvo type="num" val="1"/>
        <cfvo type="num" val="1"/>
      </iconSet>
    </cfRule>
  </conditionalFormatting>
  <conditionalFormatting sqref="Z19:Z24 Y20:Y24">
    <cfRule type="expression" dxfId="1677" priority="529">
      <formula>Y19&gt;$AG19</formula>
    </cfRule>
    <cfRule type="expression" dxfId="1676" priority="534">
      <formula>Y$9&gt;=20/24</formula>
    </cfRule>
    <cfRule type="expression" dxfId="1675" priority="535">
      <formula>AND(Y$9&gt;=14/24,Y$9&lt;20/24)</formula>
    </cfRule>
    <cfRule type="expression" dxfId="1674" priority="536">
      <formula>AND(Y$9&gt;=8/24,Y$9&lt;14/24)</formula>
    </cfRule>
    <cfRule type="expression" dxfId="1673" priority="537">
      <formula>Y$9&lt;8/24</formula>
    </cfRule>
  </conditionalFormatting>
  <conditionalFormatting sqref="AA61:AB64 AC61:AF66">
    <cfRule type="expression" dxfId="1672" priority="497">
      <formula>AA$9&lt;8/24</formula>
    </cfRule>
    <cfRule type="expression" dxfId="1671" priority="496">
      <formula>AND(AA$9&gt;=8/24,AA$9&lt;14/24)</formula>
    </cfRule>
    <cfRule type="expression" dxfId="1670" priority="495">
      <formula>AND(AA$9&gt;=14/24,AA$9&lt;20/24)</formula>
    </cfRule>
    <cfRule type="expression" dxfId="1669" priority="494">
      <formula>AA$9&gt;=20/24</formula>
    </cfRule>
  </conditionalFormatting>
  <conditionalFormatting sqref="AA18:AF45 Y25:Z27 Y28 Z28:Z34">
    <cfRule type="expression" dxfId="1668" priority="341">
      <formula>Y$9&gt;=20/24</formula>
    </cfRule>
    <cfRule type="expression" dxfId="1667" priority="342">
      <formula>AND(Y$9&gt;=14/24,Y$9&lt;20/24)</formula>
    </cfRule>
    <cfRule type="expression" dxfId="1666" priority="343">
      <formula>AND(Y$9&gt;=8/24,Y$9&lt;14/24)</formula>
    </cfRule>
    <cfRule type="expression" dxfId="1665" priority="344">
      <formula>Y$9&lt;8/24</formula>
    </cfRule>
  </conditionalFormatting>
  <conditionalFormatting sqref="AA18:AF47 Y25:Z27 Y28 Z28:Z34">
    <cfRule type="expression" dxfId="1664" priority="340">
      <formula>Y18&gt;$AG18</formula>
    </cfRule>
  </conditionalFormatting>
  <conditionalFormatting sqref="AA55:AF60">
    <cfRule type="expression" dxfId="1663" priority="609">
      <formula>AND(AA$9&gt;=8/24,AA$9&lt;14/24)</formula>
    </cfRule>
    <cfRule type="expression" dxfId="1662" priority="610">
      <formula>AA$9&lt;8/24</formula>
    </cfRule>
    <cfRule type="expression" dxfId="1661" priority="607">
      <formula>AA$9&gt;=20/24</formula>
    </cfRule>
    <cfRule type="expression" dxfId="1660" priority="608">
      <formula>AND(AA$9&gt;=14/24,AA$9&lt;20/24)</formula>
    </cfRule>
  </conditionalFormatting>
  <conditionalFormatting sqref="AB8">
    <cfRule type="expression" dxfId="1659" priority="626">
      <formula>AD$9&gt;=20/24</formula>
    </cfRule>
    <cfRule type="expression" dxfId="1658" priority="628">
      <formula>AND(AD$9&gt;=8/24,AD$9&lt;14/24)</formula>
    </cfRule>
    <cfRule type="expression" dxfId="1657" priority="629">
      <formula>AD$9&lt;8/24</formula>
    </cfRule>
    <cfRule type="expression" dxfId="1656" priority="627">
      <formula>AND(AD$9&gt;=14/24,AD$9&lt;20/24)</formula>
    </cfRule>
  </conditionalFormatting>
  <conditionalFormatting sqref="AG50">
    <cfRule type="expression" dxfId="1655" priority="583">
      <formula>AG50&gt;$AG50</formula>
    </cfRule>
  </conditionalFormatting>
  <conditionalFormatting sqref="AG89">
    <cfRule type="expression" dxfId="1654" priority="584">
      <formula>AG$9&gt;=20/24</formula>
    </cfRule>
    <cfRule type="expression" dxfId="1653" priority="587">
      <formula>AG$9&lt;8/24</formula>
    </cfRule>
    <cfRule type="expression" dxfId="1652" priority="586">
      <formula>AND(AG$9&gt;=8/24,AG$9&lt;14/24)</formula>
    </cfRule>
    <cfRule type="expression" dxfId="1651" priority="585">
      <formula>AND(AG$9&gt;=14/24,AG$9&lt;20/24)</formula>
    </cfRule>
  </conditionalFormatting>
  <conditionalFormatting sqref="AG248">
    <cfRule type="expression" dxfId="1650" priority="665">
      <formula>B$9&lt;8/24</formula>
    </cfRule>
    <cfRule type="expression" dxfId="1649" priority="664">
      <formula>AND(B$9&gt;=8/24,B$9&lt;14/24)</formula>
    </cfRule>
    <cfRule type="expression" dxfId="1648" priority="663">
      <formula>AND(B$9&gt;=14/24,B$9&lt;20/24)</formula>
    </cfRule>
    <cfRule type="expression" dxfId="1647" priority="662">
      <formula>B$9&gt;=20/24</formula>
    </cfRule>
  </conditionalFormatting>
  <conditionalFormatting sqref="AH248:AX248">
    <cfRule type="expression" dxfId="1646" priority="667">
      <formula>AND(AG$9&gt;=14/24,AG$9&lt;20/24)</formula>
    </cfRule>
    <cfRule type="expression" dxfId="1645" priority="666">
      <formula>AG$9&gt;=20/24</formula>
    </cfRule>
    <cfRule type="expression" dxfId="1644" priority="668">
      <formula>AND(AG$9&gt;=8/24,AG$9&lt;14/24)</formula>
    </cfRule>
    <cfRule type="expression" dxfId="1643" priority="669">
      <formula>AG$9&lt;8/24</formula>
    </cfRule>
  </conditionalFormatting>
  <conditionalFormatting sqref="AL4:AL6">
    <cfRule type="iconSet" priority="65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42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54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41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54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55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64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63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40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67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642" priority="678">
      <formula>AJ$9&lt;8/24</formula>
    </cfRule>
    <cfRule type="expression" dxfId="1641" priority="675">
      <formula>AJ$9&gt;=20/24</formula>
    </cfRule>
    <cfRule type="expression" dxfId="1640" priority="676">
      <formula>AND(AJ$9&gt;=14/24,AJ$9&lt;20/24)</formula>
    </cfRule>
    <cfRule type="expression" dxfId="1639" priority="677">
      <formula>AND(AJ$9&gt;=8/24,AJ$9&lt;14/24)</formula>
    </cfRule>
  </conditionalFormatting>
  <conditionalFormatting sqref="AL80:AN80 AL86:AN86">
    <cfRule type="expression" dxfId="1638" priority="475">
      <formula>AL$9&gt;=20/24</formula>
    </cfRule>
    <cfRule type="expression" dxfId="1637" priority="476">
      <formula>AND(AL$9&gt;=14/24,AL$9&lt;20/24)</formula>
    </cfRule>
    <cfRule type="expression" dxfId="1636" priority="477">
      <formula>AND(AL$9&gt;=8/24,AL$9&lt;14/24)</formula>
    </cfRule>
    <cfRule type="expression" dxfId="1635" priority="478">
      <formula>AL$9&lt;8/24</formula>
    </cfRule>
  </conditionalFormatting>
  <conditionalFormatting sqref="AN81:AN84">
    <cfRule type="expression" dxfId="1634" priority="473">
      <formula>AND(AN$9&gt;=8/24,AN$9&lt;14/24)</formula>
    </cfRule>
    <cfRule type="expression" dxfId="1633" priority="474">
      <formula>AN$9&lt;8/24</formula>
    </cfRule>
    <cfRule type="expression" dxfId="1632" priority="471">
      <formula>AN$9&gt;=20/24</formula>
    </cfRule>
    <cfRule type="expression" dxfId="1631" priority="472">
      <formula>AND(AN$9&gt;=14/24,AN$9&lt;20/24)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57EA-7297-4EF0-9FA4-580D52689030}">
  <dimension ref="A1:CJ281"/>
  <sheetViews>
    <sheetView zoomScale="90" zoomScaleNormal="90" workbookViewId="0">
      <pane xSplit="1" ySplit="10" topLeftCell="B55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L68" sqref="AL6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10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2080/03/11</v>
      </c>
      <c r="C4" s="187"/>
      <c r="D4" s="187"/>
      <c r="E4" s="188" t="str">
        <f ca="1">"2079/"&amp;"12/"&amp;INT(MID(CELL("filename",G6),FIND("]",CELL("filename",G6))+1,200))</f>
        <v>2079/12/11</v>
      </c>
      <c r="F4" s="188"/>
      <c r="G4" s="188"/>
      <c r="H4" s="188" t="str">
        <f ca="1">TEXT(E4,"dddd")</f>
        <v>Monday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60.7</v>
      </c>
      <c r="C5" s="30">
        <f t="shared" si="0"/>
        <v>50.5</v>
      </c>
      <c r="D5" s="30">
        <f t="shared" si="0"/>
        <v>19.5</v>
      </c>
      <c r="E5" s="30">
        <f t="shared" si="0"/>
        <v>6</v>
      </c>
      <c r="F5" s="30">
        <f t="shared" si="0"/>
        <v>0</v>
      </c>
      <c r="G5" s="30">
        <f t="shared" si="0"/>
        <v>28.1</v>
      </c>
      <c r="H5" s="30">
        <f t="shared" si="0"/>
        <v>24.7</v>
      </c>
      <c r="I5" s="30">
        <f t="shared" si="0"/>
        <v>29.7</v>
      </c>
      <c r="J5" s="30">
        <f t="shared" si="0"/>
        <v>24.5</v>
      </c>
      <c r="K5" s="30">
        <f t="shared" si="0"/>
        <v>35.700000000000003</v>
      </c>
      <c r="L5" s="30">
        <f t="shared" si="0"/>
        <v>15.5</v>
      </c>
      <c r="M5" s="30">
        <f t="shared" si="0"/>
        <v>18.5</v>
      </c>
      <c r="N5" s="30">
        <f t="shared" si="0"/>
        <v>35.700000000000003</v>
      </c>
      <c r="O5" s="30">
        <f t="shared" si="0"/>
        <v>40</v>
      </c>
      <c r="P5" s="30">
        <f t="shared" si="0"/>
        <v>44</v>
      </c>
      <c r="Q5" s="30">
        <f t="shared" si="0"/>
        <v>36</v>
      </c>
      <c r="R5" s="30">
        <f t="shared" si="0"/>
        <v>36.299999999999997</v>
      </c>
      <c r="S5" s="30">
        <f t="shared" si="0"/>
        <v>46.3</v>
      </c>
      <c r="T5" s="30">
        <f t="shared" si="0"/>
        <v>46.3</v>
      </c>
      <c r="U5" s="30">
        <f t="shared" si="0"/>
        <v>25.8</v>
      </c>
      <c r="V5" s="30">
        <f t="shared" si="0"/>
        <v>66.8</v>
      </c>
      <c r="W5" s="30">
        <f t="shared" si="0"/>
        <v>66.8</v>
      </c>
      <c r="X5" s="30">
        <f t="shared" si="0"/>
        <v>55.6</v>
      </c>
      <c r="Y5" s="30">
        <f t="shared" si="0"/>
        <v>25.1</v>
      </c>
      <c r="Z5" s="30">
        <f t="shared" si="0"/>
        <v>35</v>
      </c>
      <c r="AA5" s="30">
        <f t="shared" si="0"/>
        <v>57.6</v>
      </c>
      <c r="AB5" s="30">
        <f t="shared" si="0"/>
        <v>49.4</v>
      </c>
      <c r="AC5" s="30">
        <f t="shared" si="0"/>
        <v>46.3</v>
      </c>
      <c r="AD5" s="30">
        <f t="shared" si="0"/>
        <v>69.900000000000006</v>
      </c>
      <c r="AE5" s="30">
        <f t="shared" si="0"/>
        <v>64.099999999999994</v>
      </c>
      <c r="AF5" s="30">
        <f>B84</f>
        <v>89.300000000000011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1940MW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Load=1757</v>
      </c>
      <c r="B7" s="35">
        <f t="shared" ref="B7:AF7" si="1">B91</f>
        <v>1931.2499999999998</v>
      </c>
      <c r="C7" s="35">
        <f t="shared" si="1"/>
        <v>1873.95</v>
      </c>
      <c r="D7" s="35">
        <f t="shared" si="1"/>
        <v>1854.1499999999999</v>
      </c>
      <c r="E7" s="35">
        <f t="shared" si="1"/>
        <v>1810.2499999999998</v>
      </c>
      <c r="F7" s="35">
        <f t="shared" si="1"/>
        <v>1756.95</v>
      </c>
      <c r="G7" s="35">
        <f t="shared" si="1"/>
        <v>1810.65</v>
      </c>
      <c r="H7" s="35">
        <f t="shared" si="1"/>
        <v>1839.1499999999999</v>
      </c>
      <c r="I7" s="35">
        <f t="shared" si="1"/>
        <v>1842.75</v>
      </c>
      <c r="J7" s="35">
        <f t="shared" si="1"/>
        <v>1852.75</v>
      </c>
      <c r="K7" s="35">
        <f t="shared" si="1"/>
        <v>1874.95</v>
      </c>
      <c r="L7" s="35">
        <f t="shared" si="1"/>
        <v>1939.55</v>
      </c>
      <c r="M7" s="35">
        <f t="shared" si="1"/>
        <v>1863.4499999999998</v>
      </c>
      <c r="N7" s="35">
        <f>N91</f>
        <v>1830.9499999999998</v>
      </c>
      <c r="O7" s="35">
        <f t="shared" si="1"/>
        <v>1858.1499999999999</v>
      </c>
      <c r="P7" s="35">
        <f t="shared" si="1"/>
        <v>1862.4499999999998</v>
      </c>
      <c r="Q7" s="35">
        <f t="shared" si="1"/>
        <v>1877.9499999999998</v>
      </c>
      <c r="R7" s="35">
        <f t="shared" si="1"/>
        <v>1874.9499999999998</v>
      </c>
      <c r="S7" s="35">
        <f t="shared" si="1"/>
        <v>1886.61</v>
      </c>
      <c r="T7" s="35">
        <f t="shared" si="1"/>
        <v>1896.61</v>
      </c>
      <c r="U7" s="35">
        <f t="shared" si="1"/>
        <v>1899.61</v>
      </c>
      <c r="V7" s="35">
        <f t="shared" si="1"/>
        <v>1863.8500000000001</v>
      </c>
      <c r="W7" s="35">
        <f t="shared" si="1"/>
        <v>1895.95</v>
      </c>
      <c r="X7" s="35">
        <f t="shared" si="1"/>
        <v>1895.95</v>
      </c>
      <c r="Y7" s="35">
        <f t="shared" si="1"/>
        <v>1861.6499999999999</v>
      </c>
      <c r="Z7" s="35">
        <f t="shared" si="1"/>
        <v>1845.1499999999999</v>
      </c>
      <c r="AA7" s="35">
        <f t="shared" si="1"/>
        <v>1985.2499999999998</v>
      </c>
      <c r="AB7" s="35">
        <f t="shared" si="1"/>
        <v>1996.1499999999996</v>
      </c>
      <c r="AC7" s="35">
        <f t="shared" si="1"/>
        <v>2010.0499999999997</v>
      </c>
      <c r="AD7" s="35">
        <f t="shared" si="1"/>
        <v>2029.2499999999998</v>
      </c>
      <c r="AE7" s="35">
        <f t="shared" si="1"/>
        <v>1995.75</v>
      </c>
      <c r="AF7" s="35">
        <f t="shared" si="1"/>
        <v>1918.9499999999998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60.5</v>
      </c>
      <c r="C11" s="45">
        <v>60.5</v>
      </c>
      <c r="D11" s="45">
        <v>60.5</v>
      </c>
      <c r="E11" s="45">
        <v>60.5</v>
      </c>
      <c r="F11" s="45">
        <v>60.5</v>
      </c>
      <c r="G11" s="45">
        <v>60.5</v>
      </c>
      <c r="H11" s="45">
        <v>60.5</v>
      </c>
      <c r="I11" s="45">
        <v>60.5</v>
      </c>
      <c r="J11" s="45">
        <v>60.5</v>
      </c>
      <c r="K11" s="45">
        <v>60.5</v>
      </c>
      <c r="L11" s="45">
        <v>60.5</v>
      </c>
      <c r="M11" s="45">
        <v>60.5</v>
      </c>
      <c r="N11" s="45">
        <v>60.5</v>
      </c>
      <c r="O11" s="45">
        <v>60.5</v>
      </c>
      <c r="P11" s="45">
        <v>60.5</v>
      </c>
      <c r="Q11" s="45">
        <v>60.5</v>
      </c>
      <c r="R11" s="45">
        <v>60.5</v>
      </c>
      <c r="S11" s="45">
        <v>60.5</v>
      </c>
      <c r="T11" s="45">
        <v>60.5</v>
      </c>
      <c r="U11" s="45">
        <v>60.5</v>
      </c>
      <c r="V11" s="45">
        <v>60.5</v>
      </c>
      <c r="W11" s="45">
        <v>60.5</v>
      </c>
      <c r="X11" s="45">
        <v>60.5</v>
      </c>
      <c r="Y11" s="45">
        <v>60.5</v>
      </c>
      <c r="Z11" s="45">
        <v>60.5</v>
      </c>
      <c r="AA11" s="45">
        <v>60.5</v>
      </c>
      <c r="AB11" s="45">
        <v>60.5</v>
      </c>
      <c r="AC11" s="45">
        <v>60.5</v>
      </c>
      <c r="AD11" s="45">
        <v>60.5</v>
      </c>
      <c r="AE11" s="45">
        <v>60.5</v>
      </c>
      <c r="AF11" s="45">
        <v>60.5</v>
      </c>
      <c r="AG11" s="46">
        <v>86</v>
      </c>
      <c r="AH11" s="47">
        <f t="shared" ref="AH11:AH76" si="2">MAX(B11:AF11)</f>
        <v>60.5</v>
      </c>
      <c r="AI11" s="48">
        <f t="shared" ref="AI11:AI76" si="3">MIN(B11:AF11)</f>
        <v>60.5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5">
        <v>0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3</v>
      </c>
      <c r="V12" s="45">
        <v>3</v>
      </c>
      <c r="W12" s="45">
        <v>5</v>
      </c>
      <c r="X12" s="45">
        <v>5</v>
      </c>
      <c r="Y12" s="45">
        <v>5</v>
      </c>
      <c r="Z12" s="45">
        <v>11</v>
      </c>
      <c r="AA12" s="45">
        <v>11</v>
      </c>
      <c r="AB12" s="45">
        <v>11</v>
      </c>
      <c r="AC12" s="45">
        <v>11</v>
      </c>
      <c r="AD12" s="45">
        <v>11</v>
      </c>
      <c r="AE12" s="45">
        <v>11</v>
      </c>
      <c r="AF12" s="45">
        <v>15</v>
      </c>
      <c r="AG12" s="49">
        <v>54</v>
      </c>
      <c r="AH12" s="47">
        <f t="shared" si="2"/>
        <v>15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53.9</v>
      </c>
      <c r="C13" s="45">
        <v>53.9</v>
      </c>
      <c r="D13" s="45">
        <v>53.9</v>
      </c>
      <c r="E13" s="45">
        <v>53.9</v>
      </c>
      <c r="F13" s="45">
        <v>53.9</v>
      </c>
      <c r="G13" s="45">
        <v>53.9</v>
      </c>
      <c r="H13" s="45">
        <v>53.9</v>
      </c>
      <c r="I13" s="45">
        <v>53.9</v>
      </c>
      <c r="J13" s="45">
        <v>53.9</v>
      </c>
      <c r="K13" s="45">
        <v>53.9</v>
      </c>
      <c r="L13" s="45">
        <v>53.9</v>
      </c>
      <c r="M13" s="45">
        <v>53.9</v>
      </c>
      <c r="N13" s="45">
        <v>53.9</v>
      </c>
      <c r="O13" s="45">
        <v>53.9</v>
      </c>
      <c r="P13" s="45">
        <v>53.9</v>
      </c>
      <c r="Q13" s="45">
        <v>53.9</v>
      </c>
      <c r="R13" s="45">
        <v>53.9</v>
      </c>
      <c r="S13" s="45">
        <v>53.9</v>
      </c>
      <c r="T13" s="45">
        <v>53.9</v>
      </c>
      <c r="U13" s="45">
        <v>53.9</v>
      </c>
      <c r="V13" s="45">
        <v>53.9</v>
      </c>
      <c r="W13" s="45">
        <v>54.4</v>
      </c>
      <c r="X13" s="45">
        <v>54.4</v>
      </c>
      <c r="Y13" s="45">
        <v>54.4</v>
      </c>
      <c r="Z13" s="45">
        <v>54.4</v>
      </c>
      <c r="AA13" s="45">
        <v>54.4</v>
      </c>
      <c r="AB13" s="45">
        <v>54.4</v>
      </c>
      <c r="AC13" s="45">
        <v>54.4</v>
      </c>
      <c r="AD13" s="45">
        <v>54.4</v>
      </c>
      <c r="AE13" s="45">
        <v>54.4</v>
      </c>
      <c r="AF13" s="45">
        <v>54.4</v>
      </c>
      <c r="AG13" s="46">
        <v>52.4</v>
      </c>
      <c r="AH13" s="47">
        <f t="shared" si="2"/>
        <v>54.4</v>
      </c>
      <c r="AI13" s="48">
        <f t="shared" si="3"/>
        <v>53.9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50.2</v>
      </c>
      <c r="C14" s="50">
        <v>50.2</v>
      </c>
      <c r="D14" s="50">
        <v>50.2</v>
      </c>
      <c r="E14" s="50">
        <v>50.2</v>
      </c>
      <c r="F14" s="50">
        <v>50.2</v>
      </c>
      <c r="G14" s="50">
        <v>50.2</v>
      </c>
      <c r="H14" s="50">
        <v>50.2</v>
      </c>
      <c r="I14" s="50">
        <v>50.2</v>
      </c>
      <c r="J14" s="50">
        <v>50.2</v>
      </c>
      <c r="K14" s="50">
        <v>50.2</v>
      </c>
      <c r="L14" s="50">
        <v>50.2</v>
      </c>
      <c r="M14" s="50">
        <v>50.2</v>
      </c>
      <c r="N14" s="50">
        <v>50.2</v>
      </c>
      <c r="O14" s="50">
        <v>50.2</v>
      </c>
      <c r="P14" s="50">
        <v>50.2</v>
      </c>
      <c r="Q14" s="50">
        <v>50.2</v>
      </c>
      <c r="R14" s="50">
        <v>50.2</v>
      </c>
      <c r="S14" s="50">
        <v>50.2</v>
      </c>
      <c r="T14" s="50">
        <v>50.2</v>
      </c>
      <c r="U14" s="50">
        <v>50.2</v>
      </c>
      <c r="V14" s="50">
        <v>50.2</v>
      </c>
      <c r="W14" s="50">
        <v>50.2</v>
      </c>
      <c r="X14" s="50">
        <v>50.2</v>
      </c>
      <c r="Y14" s="50">
        <v>50.2</v>
      </c>
      <c r="Z14" s="50">
        <v>50.2</v>
      </c>
      <c r="AA14" s="45">
        <v>50.4</v>
      </c>
      <c r="AB14" s="45">
        <v>50.4</v>
      </c>
      <c r="AC14" s="45">
        <v>50.4</v>
      </c>
      <c r="AD14" s="45">
        <v>50.4</v>
      </c>
      <c r="AE14" s="45">
        <v>50.4</v>
      </c>
      <c r="AF14" s="45">
        <v>50.4</v>
      </c>
      <c r="AG14" s="49">
        <v>50</v>
      </c>
      <c r="AH14" s="47">
        <f t="shared" si="2"/>
        <v>50.4</v>
      </c>
      <c r="AI14" s="48">
        <f t="shared" si="3"/>
        <v>50.2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45.9</v>
      </c>
      <c r="C15" s="45">
        <v>45.9</v>
      </c>
      <c r="D15" s="45">
        <v>45.9</v>
      </c>
      <c r="E15" s="45">
        <v>45.9</v>
      </c>
      <c r="F15" s="45">
        <v>45.9</v>
      </c>
      <c r="G15" s="45">
        <v>45.9</v>
      </c>
      <c r="H15" s="45">
        <v>45.9</v>
      </c>
      <c r="I15" s="45">
        <v>45.9</v>
      </c>
      <c r="J15" s="45">
        <v>45.9</v>
      </c>
      <c r="K15" s="45">
        <v>45.9</v>
      </c>
      <c r="L15" s="45">
        <v>45.9</v>
      </c>
      <c r="M15" s="45">
        <v>45.9</v>
      </c>
      <c r="N15" s="45">
        <v>45.9</v>
      </c>
      <c r="O15" s="45">
        <v>45.9</v>
      </c>
      <c r="P15" s="45">
        <v>45.9</v>
      </c>
      <c r="Q15" s="45">
        <v>45.9</v>
      </c>
      <c r="R15" s="45">
        <v>45.9</v>
      </c>
      <c r="S15" s="45">
        <v>45.9</v>
      </c>
      <c r="T15" s="45">
        <v>45.9</v>
      </c>
      <c r="U15" s="45">
        <v>45.9</v>
      </c>
      <c r="V15" s="45">
        <v>45.9</v>
      </c>
      <c r="W15" s="45">
        <v>45.9</v>
      </c>
      <c r="X15" s="45">
        <v>45.9</v>
      </c>
      <c r="Y15" s="45">
        <v>45.9</v>
      </c>
      <c r="Z15" s="45">
        <v>45.9</v>
      </c>
      <c r="AA15" s="45">
        <v>45.9</v>
      </c>
      <c r="AB15" s="45">
        <v>45.9</v>
      </c>
      <c r="AC15" s="45">
        <v>45.9</v>
      </c>
      <c r="AD15" s="45">
        <v>45.9</v>
      </c>
      <c r="AE15" s="45">
        <v>45.9</v>
      </c>
      <c r="AF15" s="45">
        <v>45.9</v>
      </c>
      <c r="AG15" s="49">
        <v>45</v>
      </c>
      <c r="AH15" s="47">
        <f t="shared" si="2"/>
        <v>45.9</v>
      </c>
      <c r="AI15" s="48">
        <f t="shared" si="3"/>
        <v>45.9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40</v>
      </c>
      <c r="C17" s="45">
        <v>36</v>
      </c>
      <c r="D17" s="45">
        <v>36</v>
      </c>
      <c r="E17" s="45">
        <v>32</v>
      </c>
      <c r="F17" s="45">
        <v>34</v>
      </c>
      <c r="G17" s="45">
        <v>34</v>
      </c>
      <c r="H17" s="45">
        <v>34</v>
      </c>
      <c r="I17" s="45">
        <v>34</v>
      </c>
      <c r="J17" s="45">
        <v>34</v>
      </c>
      <c r="K17" s="45">
        <v>34</v>
      </c>
      <c r="L17" s="45">
        <v>34</v>
      </c>
      <c r="M17" s="45">
        <v>34</v>
      </c>
      <c r="N17" s="45">
        <v>32</v>
      </c>
      <c r="O17" s="45">
        <v>32</v>
      </c>
      <c r="P17" s="45">
        <v>32</v>
      </c>
      <c r="Q17" s="45">
        <v>32</v>
      </c>
      <c r="R17" s="45">
        <v>32</v>
      </c>
      <c r="S17" s="45">
        <v>32</v>
      </c>
      <c r="T17" s="45">
        <v>32</v>
      </c>
      <c r="U17" s="45">
        <v>32</v>
      </c>
      <c r="V17" s="45">
        <v>32</v>
      </c>
      <c r="W17" s="45">
        <v>32</v>
      </c>
      <c r="X17" s="45">
        <v>32</v>
      </c>
      <c r="Y17" s="45">
        <v>32</v>
      </c>
      <c r="Z17" s="45">
        <v>40</v>
      </c>
      <c r="AA17" s="45">
        <v>40</v>
      </c>
      <c r="AB17" s="45">
        <v>40</v>
      </c>
      <c r="AC17" s="45">
        <v>40</v>
      </c>
      <c r="AD17" s="45">
        <v>36</v>
      </c>
      <c r="AE17" s="45">
        <v>32.5</v>
      </c>
      <c r="AF17" s="45">
        <v>32.5</v>
      </c>
      <c r="AG17" s="49">
        <v>42</v>
      </c>
      <c r="AH17" s="47">
        <f t="shared" si="2"/>
        <v>40</v>
      </c>
      <c r="AI17" s="48">
        <f t="shared" si="3"/>
        <v>32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28.2</v>
      </c>
      <c r="C18" s="45">
        <v>28.2</v>
      </c>
      <c r="D18" s="45">
        <v>28.2</v>
      </c>
      <c r="E18" s="45">
        <v>28.2</v>
      </c>
      <c r="F18" s="45">
        <v>28.2</v>
      </c>
      <c r="G18" s="45">
        <v>28.2</v>
      </c>
      <c r="H18" s="45">
        <v>28.2</v>
      </c>
      <c r="I18" s="45">
        <v>28.2</v>
      </c>
      <c r="J18" s="45">
        <v>28.2</v>
      </c>
      <c r="K18" s="45">
        <v>28.2</v>
      </c>
      <c r="L18" s="45">
        <v>28.2</v>
      </c>
      <c r="M18" s="45">
        <v>28.2</v>
      </c>
      <c r="N18" s="45">
        <v>28.2</v>
      </c>
      <c r="O18" s="45">
        <v>28.2</v>
      </c>
      <c r="P18" s="45">
        <v>28.2</v>
      </c>
      <c r="Q18" s="45">
        <v>28.2</v>
      </c>
      <c r="R18" s="45">
        <v>28.2</v>
      </c>
      <c r="S18" s="45">
        <v>28.2</v>
      </c>
      <c r="T18" s="45">
        <v>28.2</v>
      </c>
      <c r="U18" s="45">
        <v>28.2</v>
      </c>
      <c r="V18" s="45">
        <v>28.2</v>
      </c>
      <c r="W18" s="45">
        <v>28.2</v>
      </c>
      <c r="X18" s="45">
        <v>28.2</v>
      </c>
      <c r="Y18" s="45">
        <v>28.2</v>
      </c>
      <c r="Z18" s="45">
        <v>28.2</v>
      </c>
      <c r="AA18" s="45">
        <v>28.2</v>
      </c>
      <c r="AB18" s="45">
        <v>28.2</v>
      </c>
      <c r="AC18" s="45">
        <v>28.2</v>
      </c>
      <c r="AD18" s="45">
        <v>28.2</v>
      </c>
      <c r="AE18" s="45">
        <v>28.2</v>
      </c>
      <c r="AF18" s="45">
        <v>28.2</v>
      </c>
      <c r="AG18" s="49">
        <v>38.46</v>
      </c>
      <c r="AH18" s="47">
        <f t="shared" si="2"/>
        <v>28.2</v>
      </c>
      <c r="AI18" s="48">
        <f t="shared" si="3"/>
        <v>28.2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25</v>
      </c>
      <c r="T19" s="45">
        <v>25</v>
      </c>
      <c r="U19" s="45">
        <v>25</v>
      </c>
      <c r="V19" s="45">
        <v>25</v>
      </c>
      <c r="W19" s="45">
        <v>25</v>
      </c>
      <c r="X19" s="45">
        <v>25</v>
      </c>
      <c r="Y19" s="45">
        <v>25</v>
      </c>
      <c r="Z19" s="45">
        <v>25</v>
      </c>
      <c r="AA19" s="45">
        <v>25</v>
      </c>
      <c r="AB19" s="45">
        <v>25</v>
      </c>
      <c r="AC19" s="45">
        <v>25</v>
      </c>
      <c r="AD19" s="45">
        <v>25</v>
      </c>
      <c r="AE19" s="45">
        <v>25</v>
      </c>
      <c r="AF19" s="45">
        <v>25</v>
      </c>
      <c r="AG19" s="49">
        <v>36</v>
      </c>
      <c r="AH19" s="47">
        <f t="shared" si="2"/>
        <v>25</v>
      </c>
      <c r="AI19" s="48">
        <f t="shared" si="3"/>
        <v>25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28.6</v>
      </c>
      <c r="C20" s="45">
        <v>28.6</v>
      </c>
      <c r="D20" s="45">
        <v>26</v>
      </c>
      <c r="E20" s="45">
        <v>21</v>
      </c>
      <c r="F20" s="45">
        <v>28.9</v>
      </c>
      <c r="G20" s="45">
        <v>28.9</v>
      </c>
      <c r="H20" s="45">
        <v>28.9</v>
      </c>
      <c r="I20" s="45">
        <v>28.9</v>
      </c>
      <c r="J20" s="45">
        <v>28.9</v>
      </c>
      <c r="K20" s="45">
        <v>28.9</v>
      </c>
      <c r="L20" s="45">
        <v>28.9</v>
      </c>
      <c r="M20" s="45">
        <v>28.9</v>
      </c>
      <c r="N20" s="45">
        <v>28.9</v>
      </c>
      <c r="O20" s="45">
        <v>28.9</v>
      </c>
      <c r="P20" s="45">
        <v>28.9</v>
      </c>
      <c r="Q20" s="45">
        <v>28.9</v>
      </c>
      <c r="R20" s="45">
        <v>28.9</v>
      </c>
      <c r="S20" s="45">
        <v>28.9</v>
      </c>
      <c r="T20" s="45">
        <v>28.9</v>
      </c>
      <c r="U20" s="45">
        <v>28.9</v>
      </c>
      <c r="V20" s="45">
        <v>28.9</v>
      </c>
      <c r="W20" s="45">
        <v>28.9</v>
      </c>
      <c r="X20" s="45">
        <v>28.9</v>
      </c>
      <c r="Y20" s="45">
        <v>28.9</v>
      </c>
      <c r="Z20" s="45">
        <v>28.9</v>
      </c>
      <c r="AA20" s="45">
        <v>28.9</v>
      </c>
      <c r="AB20" s="45">
        <v>28.9</v>
      </c>
      <c r="AC20" s="45">
        <v>28.9</v>
      </c>
      <c r="AD20" s="45">
        <v>28.9</v>
      </c>
      <c r="AE20" s="45">
        <v>28.9</v>
      </c>
      <c r="AF20" s="45">
        <v>28.9</v>
      </c>
      <c r="AG20" s="51">
        <v>30</v>
      </c>
      <c r="AH20" s="47">
        <f t="shared" si="2"/>
        <v>28.9</v>
      </c>
      <c r="AI20" s="48">
        <f t="shared" si="3"/>
        <v>21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18.899999999999999</v>
      </c>
      <c r="C21" s="45">
        <v>18.899999999999999</v>
      </c>
      <c r="D21" s="45">
        <v>18.899999999999999</v>
      </c>
      <c r="E21" s="45">
        <v>18.899999999999999</v>
      </c>
      <c r="F21" s="45">
        <v>18.8</v>
      </c>
      <c r="G21" s="45">
        <v>18.8</v>
      </c>
      <c r="H21" s="45">
        <v>18.8</v>
      </c>
      <c r="I21" s="45">
        <v>18.8</v>
      </c>
      <c r="J21" s="45">
        <v>18.8</v>
      </c>
      <c r="K21" s="45">
        <v>18.8</v>
      </c>
      <c r="L21" s="45">
        <v>18.8</v>
      </c>
      <c r="M21" s="45">
        <v>18.8</v>
      </c>
      <c r="N21" s="45">
        <v>18.8</v>
      </c>
      <c r="O21" s="45">
        <v>18.8</v>
      </c>
      <c r="P21" s="45">
        <v>18.8</v>
      </c>
      <c r="Q21" s="45">
        <v>18.8</v>
      </c>
      <c r="R21" s="45">
        <v>18.8</v>
      </c>
      <c r="S21" s="45">
        <v>18.8</v>
      </c>
      <c r="T21" s="45">
        <v>18.8</v>
      </c>
      <c r="U21" s="45">
        <v>18.8</v>
      </c>
      <c r="V21" s="45">
        <v>18.8</v>
      </c>
      <c r="W21" s="45">
        <v>18.8</v>
      </c>
      <c r="X21" s="45">
        <v>18.8</v>
      </c>
      <c r="Y21" s="45">
        <v>18.8</v>
      </c>
      <c r="Z21" s="45">
        <v>18.8</v>
      </c>
      <c r="AA21" s="45">
        <v>18.8</v>
      </c>
      <c r="AB21" s="45">
        <v>18.8</v>
      </c>
      <c r="AC21" s="45">
        <v>18.8</v>
      </c>
      <c r="AD21" s="45">
        <v>18.8</v>
      </c>
      <c r="AE21" s="45">
        <v>18.8</v>
      </c>
      <c r="AF21" s="45">
        <v>18.8</v>
      </c>
      <c r="AG21" s="49">
        <v>24.2</v>
      </c>
      <c r="AH21" s="47">
        <f t="shared" si="2"/>
        <v>18.899999999999999</v>
      </c>
      <c r="AI21" s="48">
        <f t="shared" si="3"/>
        <v>18.8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20</v>
      </c>
      <c r="Q22" s="45">
        <v>20</v>
      </c>
      <c r="R22" s="45">
        <v>20</v>
      </c>
      <c r="S22" s="45">
        <v>20</v>
      </c>
      <c r="T22" s="45">
        <v>20</v>
      </c>
      <c r="U22" s="45">
        <v>20</v>
      </c>
      <c r="V22" s="45">
        <v>20</v>
      </c>
      <c r="W22" s="45">
        <v>20</v>
      </c>
      <c r="X22" s="45">
        <v>20</v>
      </c>
      <c r="Y22" s="45">
        <v>20</v>
      </c>
      <c r="Z22" s="45">
        <v>20</v>
      </c>
      <c r="AA22" s="45">
        <v>20</v>
      </c>
      <c r="AB22" s="45">
        <v>20</v>
      </c>
      <c r="AC22" s="45">
        <v>20</v>
      </c>
      <c r="AD22" s="45">
        <v>20</v>
      </c>
      <c r="AE22" s="45">
        <v>20</v>
      </c>
      <c r="AF22" s="45">
        <v>20</v>
      </c>
      <c r="AG22" s="49">
        <v>28</v>
      </c>
      <c r="AH22" s="47">
        <f t="shared" si="2"/>
        <v>20</v>
      </c>
      <c r="AI22" s="48">
        <f t="shared" si="3"/>
        <v>20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9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25</v>
      </c>
      <c r="C24" s="45">
        <v>25</v>
      </c>
      <c r="D24" s="45">
        <v>25</v>
      </c>
      <c r="E24" s="45">
        <v>25</v>
      </c>
      <c r="F24" s="45">
        <v>25</v>
      </c>
      <c r="G24" s="45">
        <v>25</v>
      </c>
      <c r="H24" s="45">
        <v>25</v>
      </c>
      <c r="I24" s="45">
        <v>25</v>
      </c>
      <c r="J24" s="45">
        <v>25</v>
      </c>
      <c r="K24" s="45">
        <v>25</v>
      </c>
      <c r="L24" s="45">
        <v>25</v>
      </c>
      <c r="M24" s="45">
        <v>25</v>
      </c>
      <c r="N24" s="45">
        <v>25</v>
      </c>
      <c r="O24" s="45">
        <v>25</v>
      </c>
      <c r="P24" s="45">
        <v>25</v>
      </c>
      <c r="Q24" s="45">
        <v>25</v>
      </c>
      <c r="R24" s="45">
        <v>25</v>
      </c>
      <c r="S24" s="45">
        <v>25</v>
      </c>
      <c r="T24" s="45">
        <v>25</v>
      </c>
      <c r="U24" s="45">
        <v>25</v>
      </c>
      <c r="V24" s="45">
        <v>25</v>
      </c>
      <c r="W24" s="45">
        <v>25</v>
      </c>
      <c r="X24" s="45">
        <v>25</v>
      </c>
      <c r="Y24" s="45">
        <v>25</v>
      </c>
      <c r="Z24" s="45">
        <v>25</v>
      </c>
      <c r="AA24" s="45">
        <v>25</v>
      </c>
      <c r="AB24" s="45">
        <v>25</v>
      </c>
      <c r="AC24" s="45">
        <v>25</v>
      </c>
      <c r="AD24" s="45">
        <v>25</v>
      </c>
      <c r="AE24" s="45">
        <v>25</v>
      </c>
      <c r="AF24" s="45">
        <v>25</v>
      </c>
      <c r="AG24" s="49">
        <v>25</v>
      </c>
      <c r="AH24" s="47">
        <f t="shared" si="2"/>
        <v>25</v>
      </c>
      <c r="AI24" s="48">
        <f t="shared" si="3"/>
        <v>25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21.4</v>
      </c>
      <c r="C26" s="45">
        <v>21.4</v>
      </c>
      <c r="D26" s="45">
        <v>21.4</v>
      </c>
      <c r="E26" s="45">
        <v>21.4</v>
      </c>
      <c r="F26" s="45">
        <v>21.4</v>
      </c>
      <c r="G26" s="45">
        <v>21.4</v>
      </c>
      <c r="H26" s="45">
        <v>21.4</v>
      </c>
      <c r="I26" s="45">
        <v>21.4</v>
      </c>
      <c r="J26" s="45">
        <v>21.4</v>
      </c>
      <c r="K26" s="45">
        <v>21.4</v>
      </c>
      <c r="L26" s="45">
        <v>21.4</v>
      </c>
      <c r="M26" s="45">
        <v>21.4</v>
      </c>
      <c r="N26" s="45">
        <v>21.4</v>
      </c>
      <c r="O26" s="45">
        <v>21.4</v>
      </c>
      <c r="P26" s="45">
        <v>21.4</v>
      </c>
      <c r="Q26" s="45">
        <v>21.4</v>
      </c>
      <c r="R26" s="45">
        <v>21.4</v>
      </c>
      <c r="S26" s="45">
        <v>21.4</v>
      </c>
      <c r="T26" s="45">
        <v>21.4</v>
      </c>
      <c r="U26" s="45">
        <v>21.4</v>
      </c>
      <c r="V26" s="45">
        <v>21.4</v>
      </c>
      <c r="W26" s="45">
        <v>21.4</v>
      </c>
      <c r="X26" s="45">
        <v>21.4</v>
      </c>
      <c r="Y26" s="45">
        <v>21.4</v>
      </c>
      <c r="Z26" s="45">
        <v>21.4</v>
      </c>
      <c r="AA26" s="45">
        <v>21.4</v>
      </c>
      <c r="AB26" s="45">
        <v>21.4</v>
      </c>
      <c r="AC26" s="45">
        <v>21.4</v>
      </c>
      <c r="AD26" s="45">
        <v>21.4</v>
      </c>
      <c r="AE26" s="45">
        <v>21.4</v>
      </c>
      <c r="AF26" s="45">
        <v>21.4</v>
      </c>
      <c r="AG26" s="49">
        <v>25</v>
      </c>
      <c r="AH26" s="47">
        <f t="shared" si="2"/>
        <v>21.4</v>
      </c>
      <c r="AI26" s="48">
        <f t="shared" si="3"/>
        <v>21.4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25</v>
      </c>
      <c r="C27" s="45">
        <v>25</v>
      </c>
      <c r="D27" s="45">
        <v>22</v>
      </c>
      <c r="E27" s="45">
        <v>17</v>
      </c>
      <c r="F27" s="45">
        <v>25</v>
      </c>
      <c r="G27" s="45">
        <v>25</v>
      </c>
      <c r="H27" s="45">
        <v>25</v>
      </c>
      <c r="I27" s="45">
        <v>25</v>
      </c>
      <c r="J27" s="45">
        <v>25</v>
      </c>
      <c r="K27" s="45">
        <v>25</v>
      </c>
      <c r="L27" s="45">
        <v>25</v>
      </c>
      <c r="M27" s="45">
        <v>25</v>
      </c>
      <c r="N27" s="45">
        <v>10</v>
      </c>
      <c r="O27" s="45">
        <v>10</v>
      </c>
      <c r="P27" s="45">
        <v>10</v>
      </c>
      <c r="Q27" s="45">
        <v>10</v>
      </c>
      <c r="R27" s="45">
        <v>10</v>
      </c>
      <c r="S27" s="45">
        <v>10</v>
      </c>
      <c r="T27" s="45">
        <v>10</v>
      </c>
      <c r="U27" s="45">
        <v>10</v>
      </c>
      <c r="V27" s="45">
        <v>10</v>
      </c>
      <c r="W27" s="45">
        <v>10</v>
      </c>
      <c r="X27" s="45">
        <v>10</v>
      </c>
      <c r="Y27" s="45">
        <v>10</v>
      </c>
      <c r="Z27" s="45">
        <v>10</v>
      </c>
      <c r="AA27" s="45">
        <v>25</v>
      </c>
      <c r="AB27" s="45">
        <v>25</v>
      </c>
      <c r="AC27" s="45">
        <v>25</v>
      </c>
      <c r="AD27" s="45">
        <v>25</v>
      </c>
      <c r="AE27" s="45">
        <v>25</v>
      </c>
      <c r="AF27" s="45">
        <v>25</v>
      </c>
      <c r="AG27" s="49">
        <v>25</v>
      </c>
      <c r="AH27" s="47">
        <f t="shared" si="2"/>
        <v>25</v>
      </c>
      <c r="AI27" s="48">
        <f t="shared" si="3"/>
        <v>10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19.600000000000001</v>
      </c>
      <c r="C28" s="45">
        <v>19.600000000000001</v>
      </c>
      <c r="D28" s="45">
        <v>19.600000000000001</v>
      </c>
      <c r="E28" s="45">
        <v>19.600000000000001</v>
      </c>
      <c r="F28" s="45">
        <v>19.600000000000001</v>
      </c>
      <c r="G28" s="45">
        <v>19.600000000000001</v>
      </c>
      <c r="H28" s="45">
        <v>19.600000000000001</v>
      </c>
      <c r="I28" s="45">
        <v>19.600000000000001</v>
      </c>
      <c r="J28" s="45">
        <v>19.600000000000001</v>
      </c>
      <c r="K28" s="45">
        <v>19.600000000000001</v>
      </c>
      <c r="L28" s="45">
        <v>19.600000000000001</v>
      </c>
      <c r="M28" s="45">
        <v>19.600000000000001</v>
      </c>
      <c r="N28" s="45">
        <v>19.600000000000001</v>
      </c>
      <c r="O28" s="45">
        <v>19.600000000000001</v>
      </c>
      <c r="P28" s="45">
        <v>19.600000000000001</v>
      </c>
      <c r="Q28" s="45">
        <v>19.600000000000001</v>
      </c>
      <c r="R28" s="45">
        <v>19.600000000000001</v>
      </c>
      <c r="S28" s="45">
        <v>19.600000000000001</v>
      </c>
      <c r="T28" s="45">
        <v>19.600000000000001</v>
      </c>
      <c r="U28" s="45">
        <v>19.600000000000001</v>
      </c>
      <c r="V28" s="45">
        <v>19.600000000000001</v>
      </c>
      <c r="W28" s="45">
        <v>19.600000000000001</v>
      </c>
      <c r="X28" s="45">
        <v>19.600000000000001</v>
      </c>
      <c r="Y28" s="45">
        <v>19.600000000000001</v>
      </c>
      <c r="Z28" s="45">
        <v>19.600000000000001</v>
      </c>
      <c r="AA28" s="45">
        <v>19.600000000000001</v>
      </c>
      <c r="AB28" s="45">
        <v>19.600000000000001</v>
      </c>
      <c r="AC28" s="45">
        <v>19.600000000000001</v>
      </c>
      <c r="AD28" s="45">
        <v>19.600000000000001</v>
      </c>
      <c r="AE28" s="45">
        <v>19.600000000000001</v>
      </c>
      <c r="AF28" s="45">
        <v>19.600000000000001</v>
      </c>
      <c r="AG28" s="49">
        <v>23.5</v>
      </c>
      <c r="AH28" s="47">
        <f t="shared" si="2"/>
        <v>19.600000000000001</v>
      </c>
      <c r="AI28" s="48">
        <f t="shared" si="3"/>
        <v>19.600000000000001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15.8</v>
      </c>
      <c r="C29" s="45">
        <v>15.8</v>
      </c>
      <c r="D29" s="45">
        <v>15.8</v>
      </c>
      <c r="E29" s="45">
        <v>15.8</v>
      </c>
      <c r="F29" s="45">
        <v>15.8</v>
      </c>
      <c r="G29" s="45">
        <v>15.8</v>
      </c>
      <c r="H29" s="45">
        <v>15.8</v>
      </c>
      <c r="I29" s="45">
        <v>15.8</v>
      </c>
      <c r="J29" s="45">
        <v>15.8</v>
      </c>
      <c r="K29" s="45">
        <v>15.8</v>
      </c>
      <c r="L29" s="45">
        <v>15.8</v>
      </c>
      <c r="M29" s="45">
        <v>15.8</v>
      </c>
      <c r="N29" s="45">
        <v>15.8</v>
      </c>
      <c r="O29" s="45">
        <v>15.8</v>
      </c>
      <c r="P29" s="45">
        <v>15.8</v>
      </c>
      <c r="Q29" s="45">
        <v>15.8</v>
      </c>
      <c r="R29" s="45">
        <v>15.8</v>
      </c>
      <c r="S29" s="45">
        <v>15.8</v>
      </c>
      <c r="T29" s="45">
        <v>15.8</v>
      </c>
      <c r="U29" s="45">
        <v>15.8</v>
      </c>
      <c r="V29" s="45">
        <v>15.8</v>
      </c>
      <c r="W29" s="45">
        <v>15.8</v>
      </c>
      <c r="X29" s="45">
        <v>15.8</v>
      </c>
      <c r="Y29" s="45">
        <v>15.8</v>
      </c>
      <c r="Z29" s="45">
        <v>15.8</v>
      </c>
      <c r="AA29" s="45">
        <v>15.8</v>
      </c>
      <c r="AB29" s="45">
        <v>15.8</v>
      </c>
      <c r="AC29" s="45">
        <v>15.8</v>
      </c>
      <c r="AD29" s="45">
        <v>15.8</v>
      </c>
      <c r="AE29" s="45">
        <v>15.8</v>
      </c>
      <c r="AF29" s="45">
        <v>15.8</v>
      </c>
      <c r="AG29" s="49">
        <v>22.2</v>
      </c>
      <c r="AH29" s="47">
        <f t="shared" si="2"/>
        <v>15.8</v>
      </c>
      <c r="AI29" s="48">
        <f t="shared" si="3"/>
        <v>15.8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17.8</v>
      </c>
      <c r="C32" s="45">
        <v>17.8</v>
      </c>
      <c r="D32" s="45">
        <v>17.8</v>
      </c>
      <c r="E32" s="45">
        <v>17.8</v>
      </c>
      <c r="F32" s="45">
        <v>17.8</v>
      </c>
      <c r="G32" s="45">
        <v>17.8</v>
      </c>
      <c r="H32" s="45">
        <v>17.8</v>
      </c>
      <c r="I32" s="45">
        <v>17.8</v>
      </c>
      <c r="J32" s="45">
        <v>17.8</v>
      </c>
      <c r="K32" s="45">
        <v>17.8</v>
      </c>
      <c r="L32" s="45">
        <v>17.8</v>
      </c>
      <c r="M32" s="45">
        <v>17.8</v>
      </c>
      <c r="N32" s="45">
        <v>17.8</v>
      </c>
      <c r="O32" s="45">
        <v>17.8</v>
      </c>
      <c r="P32" s="45">
        <v>17.8</v>
      </c>
      <c r="Q32" s="45">
        <v>17.8</v>
      </c>
      <c r="R32" s="45">
        <v>17.8</v>
      </c>
      <c r="S32" s="45">
        <v>17.8</v>
      </c>
      <c r="T32" s="45">
        <v>17.8</v>
      </c>
      <c r="U32" s="45">
        <v>17.8</v>
      </c>
      <c r="V32" s="45">
        <v>17.8</v>
      </c>
      <c r="W32" s="45">
        <v>17.8</v>
      </c>
      <c r="X32" s="45">
        <v>17.8</v>
      </c>
      <c r="Y32" s="45">
        <v>17.8</v>
      </c>
      <c r="Z32" s="45">
        <v>17.8</v>
      </c>
      <c r="AA32" s="45">
        <v>17.8</v>
      </c>
      <c r="AB32" s="45">
        <v>17.8</v>
      </c>
      <c r="AC32" s="45">
        <v>17.8</v>
      </c>
      <c r="AD32" s="45">
        <v>17.8</v>
      </c>
      <c r="AE32" s="45">
        <v>17.8</v>
      </c>
      <c r="AF32" s="45">
        <v>17.8</v>
      </c>
      <c r="AG32" s="49">
        <v>22</v>
      </c>
      <c r="AH32" s="47">
        <f t="shared" si="2"/>
        <v>17.8</v>
      </c>
      <c r="AI32" s="48">
        <f t="shared" si="3"/>
        <v>17.8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4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10</v>
      </c>
      <c r="AB33" s="45">
        <v>10</v>
      </c>
      <c r="AC33" s="45">
        <v>10</v>
      </c>
      <c r="AD33" s="45">
        <v>10</v>
      </c>
      <c r="AE33" s="45">
        <v>10</v>
      </c>
      <c r="AF33" s="45">
        <v>10</v>
      </c>
      <c r="AG33" s="49">
        <v>20</v>
      </c>
      <c r="AH33" s="47">
        <f t="shared" si="2"/>
        <v>10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4</v>
      </c>
      <c r="K34" s="45">
        <v>4</v>
      </c>
      <c r="L34" s="45">
        <v>4</v>
      </c>
      <c r="M34" s="45">
        <v>4</v>
      </c>
      <c r="N34" s="45">
        <v>4</v>
      </c>
      <c r="O34" s="45">
        <v>4</v>
      </c>
      <c r="P34" s="45">
        <v>4</v>
      </c>
      <c r="Q34" s="45">
        <v>4</v>
      </c>
      <c r="R34" s="45">
        <v>4</v>
      </c>
      <c r="S34" s="45">
        <v>4</v>
      </c>
      <c r="T34" s="45">
        <v>4</v>
      </c>
      <c r="U34" s="45">
        <v>4</v>
      </c>
      <c r="V34" s="45">
        <v>4</v>
      </c>
      <c r="W34" s="45">
        <v>4</v>
      </c>
      <c r="X34" s="45">
        <v>4</v>
      </c>
      <c r="Y34" s="45">
        <v>4</v>
      </c>
      <c r="Z34" s="45">
        <v>4</v>
      </c>
      <c r="AA34" s="45">
        <v>4</v>
      </c>
      <c r="AB34" s="45">
        <v>4</v>
      </c>
      <c r="AC34" s="45">
        <v>4</v>
      </c>
      <c r="AD34" s="45">
        <v>4</v>
      </c>
      <c r="AE34" s="45">
        <v>4</v>
      </c>
      <c r="AF34" s="45">
        <v>4</v>
      </c>
      <c r="AG34" s="49">
        <v>18</v>
      </c>
      <c r="AH34" s="47">
        <f t="shared" si="2"/>
        <v>4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9">
        <v>14.9</v>
      </c>
      <c r="AH35" s="47">
        <f t="shared" si="2"/>
        <v>0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1.5</v>
      </c>
      <c r="C37" s="45">
        <v>1.5</v>
      </c>
      <c r="D37" s="45">
        <v>1.5</v>
      </c>
      <c r="E37" s="45">
        <v>1.5</v>
      </c>
      <c r="F37" s="45">
        <v>1.5</v>
      </c>
      <c r="G37" s="45">
        <v>1.5</v>
      </c>
      <c r="H37" s="45">
        <v>1.5</v>
      </c>
      <c r="I37" s="45">
        <v>1.5</v>
      </c>
      <c r="J37" s="45">
        <v>1.5</v>
      </c>
      <c r="K37" s="45">
        <v>1.5</v>
      </c>
      <c r="L37" s="45">
        <v>1.5</v>
      </c>
      <c r="M37" s="45">
        <v>1.5</v>
      </c>
      <c r="N37" s="45">
        <v>1.5</v>
      </c>
      <c r="O37" s="45">
        <v>1.5</v>
      </c>
      <c r="P37" s="45">
        <v>1.5</v>
      </c>
      <c r="Q37" s="45">
        <v>1.5</v>
      </c>
      <c r="R37" s="45">
        <v>1.5</v>
      </c>
      <c r="S37" s="45">
        <v>1.5</v>
      </c>
      <c r="T37" s="45">
        <v>1.5</v>
      </c>
      <c r="U37" s="45">
        <v>1.5</v>
      </c>
      <c r="V37" s="45">
        <v>1.5</v>
      </c>
      <c r="W37" s="45">
        <v>1.5</v>
      </c>
      <c r="X37" s="45">
        <v>1.5</v>
      </c>
      <c r="Y37" s="45">
        <v>1.5</v>
      </c>
      <c r="Z37" s="45">
        <v>1.5</v>
      </c>
      <c r="AA37" s="45">
        <v>1.5</v>
      </c>
      <c r="AB37" s="45">
        <v>1.5</v>
      </c>
      <c r="AC37" s="45">
        <v>1.5</v>
      </c>
      <c r="AD37" s="45">
        <v>1.5</v>
      </c>
      <c r="AE37" s="45">
        <v>1.5</v>
      </c>
      <c r="AF37" s="45">
        <v>1.5</v>
      </c>
      <c r="AG37" s="49">
        <v>13.6</v>
      </c>
      <c r="AH37" s="47">
        <f t="shared" si="2"/>
        <v>1.5</v>
      </c>
      <c r="AI37" s="48">
        <f t="shared" si="3"/>
        <v>1.5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12</v>
      </c>
      <c r="C39" s="45">
        <v>12</v>
      </c>
      <c r="D39" s="45">
        <v>8</v>
      </c>
      <c r="E39" s="45">
        <v>8</v>
      </c>
      <c r="F39" s="45">
        <v>12</v>
      </c>
      <c r="G39" s="45">
        <v>12</v>
      </c>
      <c r="H39" s="45">
        <v>12</v>
      </c>
      <c r="I39" s="45">
        <v>12</v>
      </c>
      <c r="J39" s="45">
        <v>12</v>
      </c>
      <c r="K39" s="45">
        <v>12</v>
      </c>
      <c r="L39" s="45">
        <v>12</v>
      </c>
      <c r="M39" s="45">
        <v>12</v>
      </c>
      <c r="N39" s="45">
        <v>8</v>
      </c>
      <c r="O39" s="45">
        <v>8</v>
      </c>
      <c r="P39" s="45">
        <v>8</v>
      </c>
      <c r="Q39" s="45">
        <v>8</v>
      </c>
      <c r="R39" s="45">
        <v>8</v>
      </c>
      <c r="S39" s="45">
        <v>8</v>
      </c>
      <c r="T39" s="45">
        <v>8</v>
      </c>
      <c r="U39" s="45">
        <v>8</v>
      </c>
      <c r="V39" s="45">
        <v>8</v>
      </c>
      <c r="W39" s="45">
        <v>8</v>
      </c>
      <c r="X39" s="45">
        <v>8</v>
      </c>
      <c r="Y39" s="45">
        <v>8</v>
      </c>
      <c r="Z39" s="45">
        <v>8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12</v>
      </c>
      <c r="AG39" s="49">
        <v>12</v>
      </c>
      <c r="AH39" s="47">
        <f t="shared" si="2"/>
        <v>12</v>
      </c>
      <c r="AI39" s="48">
        <f t="shared" si="3"/>
        <v>8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8</v>
      </c>
      <c r="C40" s="45">
        <v>8</v>
      </c>
      <c r="D40" s="45">
        <v>8</v>
      </c>
      <c r="E40" s="45">
        <v>8</v>
      </c>
      <c r="F40" s="45">
        <v>8</v>
      </c>
      <c r="G40" s="45">
        <v>8</v>
      </c>
      <c r="H40" s="45">
        <v>8</v>
      </c>
      <c r="I40" s="45">
        <v>8</v>
      </c>
      <c r="J40" s="45">
        <v>8</v>
      </c>
      <c r="K40" s="45">
        <v>8</v>
      </c>
      <c r="L40" s="45">
        <v>8</v>
      </c>
      <c r="M40" s="45">
        <v>8</v>
      </c>
      <c r="N40" s="45">
        <v>8</v>
      </c>
      <c r="O40" s="45">
        <v>8</v>
      </c>
      <c r="P40" s="45">
        <v>8</v>
      </c>
      <c r="Q40" s="45">
        <v>8</v>
      </c>
      <c r="R40" s="45">
        <v>8</v>
      </c>
      <c r="S40" s="45">
        <v>8</v>
      </c>
      <c r="T40" s="45">
        <v>8</v>
      </c>
      <c r="U40" s="45">
        <v>8</v>
      </c>
      <c r="V40" s="45">
        <v>8</v>
      </c>
      <c r="W40" s="45">
        <v>8</v>
      </c>
      <c r="X40" s="45">
        <v>8</v>
      </c>
      <c r="Y40" s="45">
        <v>8</v>
      </c>
      <c r="Z40" s="45">
        <v>8</v>
      </c>
      <c r="AA40" s="45">
        <v>8</v>
      </c>
      <c r="AB40" s="45">
        <v>8</v>
      </c>
      <c r="AC40" s="45">
        <v>8</v>
      </c>
      <c r="AD40" s="45">
        <v>8</v>
      </c>
      <c r="AE40" s="45">
        <v>8</v>
      </c>
      <c r="AF40" s="45">
        <v>8</v>
      </c>
      <c r="AG40" s="49">
        <v>12</v>
      </c>
      <c r="AH40" s="47">
        <f t="shared" si="2"/>
        <v>8</v>
      </c>
      <c r="AI40" s="48">
        <f t="shared" si="3"/>
        <v>8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11</v>
      </c>
      <c r="C41" s="45">
        <v>11</v>
      </c>
      <c r="D41" s="45">
        <v>11</v>
      </c>
      <c r="E41" s="45">
        <v>11</v>
      </c>
      <c r="F41" s="45">
        <v>11</v>
      </c>
      <c r="G41" s="45">
        <v>11</v>
      </c>
      <c r="H41" s="45">
        <v>11</v>
      </c>
      <c r="I41" s="45">
        <v>11</v>
      </c>
      <c r="J41" s="45">
        <v>11</v>
      </c>
      <c r="K41" s="45">
        <v>11</v>
      </c>
      <c r="L41" s="45">
        <v>11</v>
      </c>
      <c r="M41" s="45">
        <v>11</v>
      </c>
      <c r="N41" s="45">
        <v>11</v>
      </c>
      <c r="O41" s="45">
        <v>11</v>
      </c>
      <c r="P41" s="45">
        <v>11</v>
      </c>
      <c r="Q41" s="45">
        <v>11</v>
      </c>
      <c r="R41" s="45">
        <v>11</v>
      </c>
      <c r="S41" s="45">
        <v>11</v>
      </c>
      <c r="T41" s="45">
        <v>11</v>
      </c>
      <c r="U41" s="45">
        <v>11</v>
      </c>
      <c r="V41" s="45">
        <v>11</v>
      </c>
      <c r="W41" s="45">
        <v>11</v>
      </c>
      <c r="X41" s="45">
        <v>11</v>
      </c>
      <c r="Y41" s="45">
        <v>11</v>
      </c>
      <c r="Z41" s="45">
        <v>11</v>
      </c>
      <c r="AA41" s="45">
        <v>11</v>
      </c>
      <c r="AB41" s="45">
        <v>11</v>
      </c>
      <c r="AC41" s="45">
        <v>11</v>
      </c>
      <c r="AD41" s="45">
        <v>11</v>
      </c>
      <c r="AE41" s="45">
        <v>11</v>
      </c>
      <c r="AF41" s="45">
        <v>11</v>
      </c>
      <c r="AG41" s="49">
        <v>12</v>
      </c>
      <c r="AH41" s="47">
        <f t="shared" si="2"/>
        <v>11</v>
      </c>
      <c r="AI41" s="48">
        <f t="shared" si="3"/>
        <v>11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10.199999999999999</v>
      </c>
      <c r="C42" s="45">
        <v>10.199999999999999</v>
      </c>
      <c r="D42" s="45">
        <v>10.199999999999999</v>
      </c>
      <c r="E42" s="45">
        <v>10.199999999999999</v>
      </c>
      <c r="F42" s="45">
        <v>10.199999999999999</v>
      </c>
      <c r="G42" s="45">
        <v>10.199999999999999</v>
      </c>
      <c r="H42" s="45">
        <v>10.199999999999999</v>
      </c>
      <c r="I42" s="45">
        <v>10.199999999999999</v>
      </c>
      <c r="J42" s="45">
        <v>10.199999999999999</v>
      </c>
      <c r="K42" s="45">
        <v>10.199999999999999</v>
      </c>
      <c r="L42" s="45">
        <v>10.199999999999999</v>
      </c>
      <c r="M42" s="45">
        <v>10.199999999999999</v>
      </c>
      <c r="N42" s="45">
        <v>10.199999999999999</v>
      </c>
      <c r="O42" s="45">
        <v>10.199999999999999</v>
      </c>
      <c r="P42" s="45">
        <v>10.199999999999999</v>
      </c>
      <c r="Q42" s="45">
        <v>10.199999999999999</v>
      </c>
      <c r="R42" s="45">
        <v>10.199999999999999</v>
      </c>
      <c r="S42" s="45">
        <v>10.199999999999999</v>
      </c>
      <c r="T42" s="45">
        <v>10.199999999999999</v>
      </c>
      <c r="U42" s="45">
        <v>10.199999999999999</v>
      </c>
      <c r="V42" s="45">
        <v>10.199999999999999</v>
      </c>
      <c r="W42" s="45">
        <v>10.199999999999999</v>
      </c>
      <c r="X42" s="45">
        <v>10.199999999999999</v>
      </c>
      <c r="Y42" s="45">
        <v>10.199999999999999</v>
      </c>
      <c r="Z42" s="45">
        <v>10.199999999999999</v>
      </c>
      <c r="AA42" s="45">
        <v>10.199999999999999</v>
      </c>
      <c r="AB42" s="45">
        <v>10.199999999999999</v>
      </c>
      <c r="AC42" s="45">
        <v>10.199999999999999</v>
      </c>
      <c r="AD42" s="45">
        <v>10.199999999999999</v>
      </c>
      <c r="AE42" s="45">
        <v>10.199999999999999</v>
      </c>
      <c r="AF42" s="45">
        <v>10.199999999999999</v>
      </c>
      <c r="AG42" s="52">
        <v>22</v>
      </c>
      <c r="AH42" s="47">
        <f t="shared" si="2"/>
        <v>10.199999999999999</v>
      </c>
      <c r="AI42" s="48">
        <f t="shared" si="3"/>
        <v>10.199999999999999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10.210000000000001</v>
      </c>
      <c r="C44" s="45">
        <v>10.210000000000001</v>
      </c>
      <c r="D44" s="45">
        <v>10.210000000000001</v>
      </c>
      <c r="E44" s="45">
        <v>10.210000000000001</v>
      </c>
      <c r="F44" s="45">
        <v>10.210000000000001</v>
      </c>
      <c r="G44" s="45">
        <v>10.210000000000001</v>
      </c>
      <c r="H44" s="45">
        <v>10.210000000000001</v>
      </c>
      <c r="I44" s="45">
        <v>10.210000000000001</v>
      </c>
      <c r="J44" s="45">
        <v>10.210000000000001</v>
      </c>
      <c r="K44" s="45">
        <v>10.210000000000001</v>
      </c>
      <c r="L44" s="45">
        <v>10.210000000000001</v>
      </c>
      <c r="M44" s="45">
        <v>10.210000000000001</v>
      </c>
      <c r="N44" s="45">
        <v>10.210000000000001</v>
      </c>
      <c r="O44" s="45">
        <v>10.210000000000001</v>
      </c>
      <c r="P44" s="45">
        <v>10.210000000000001</v>
      </c>
      <c r="Q44" s="45">
        <v>10.210000000000001</v>
      </c>
      <c r="R44" s="45">
        <v>10.210000000000001</v>
      </c>
      <c r="S44" s="45">
        <v>10.210000000000001</v>
      </c>
      <c r="T44" s="45">
        <v>10.210000000000001</v>
      </c>
      <c r="U44" s="45">
        <v>10.210000000000001</v>
      </c>
      <c r="V44" s="45">
        <v>10.210000000000001</v>
      </c>
      <c r="W44" s="45">
        <v>10.210000000000001</v>
      </c>
      <c r="X44" s="45">
        <v>10.210000000000001</v>
      </c>
      <c r="Y44" s="45">
        <v>10.210000000000001</v>
      </c>
      <c r="Z44" s="45">
        <v>10.210000000000001</v>
      </c>
      <c r="AA44" s="45">
        <v>10.210000000000001</v>
      </c>
      <c r="AB44" s="45">
        <v>10.210000000000001</v>
      </c>
      <c r="AC44" s="45">
        <v>10.210000000000001</v>
      </c>
      <c r="AD44" s="45">
        <v>10.210000000000001</v>
      </c>
      <c r="AE44" s="45">
        <v>10.210000000000001</v>
      </c>
      <c r="AF44" s="45">
        <v>10.210000000000001</v>
      </c>
      <c r="AG44" s="54">
        <v>11</v>
      </c>
      <c r="AH44" s="47">
        <f t="shared" si="2"/>
        <v>10.210000000000001</v>
      </c>
      <c r="AI44" s="48">
        <f t="shared" si="3"/>
        <v>10.210000000000001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10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54">
        <v>10</v>
      </c>
      <c r="AH45" s="47">
        <f t="shared" si="2"/>
        <v>10</v>
      </c>
      <c r="AI45" s="48">
        <f t="shared" si="3"/>
        <v>0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45">
        <v>250</v>
      </c>
      <c r="AB48" s="45">
        <v>250</v>
      </c>
      <c r="AC48" s="45">
        <v>250</v>
      </c>
      <c r="AD48" s="45">
        <v>250</v>
      </c>
      <c r="AE48" s="45">
        <v>250</v>
      </c>
      <c r="AF48" s="45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6"/>
      <c r="Z49" s="56"/>
      <c r="AA49" s="45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AF50" si="4">SUM(B11:B48)</f>
        <v>910.00999999999988</v>
      </c>
      <c r="C50" s="59">
        <f t="shared" si="4"/>
        <v>892.01</v>
      </c>
      <c r="D50" s="59">
        <f t="shared" si="4"/>
        <v>882.41</v>
      </c>
      <c r="E50" s="59">
        <f t="shared" si="4"/>
        <v>868.41</v>
      </c>
      <c r="F50" s="59">
        <f t="shared" si="4"/>
        <v>890.20999999999992</v>
      </c>
      <c r="G50" s="59">
        <f t="shared" si="4"/>
        <v>890.20999999999992</v>
      </c>
      <c r="H50" s="59">
        <f t="shared" si="4"/>
        <v>890.20999999999992</v>
      </c>
      <c r="I50" s="59">
        <f t="shared" si="4"/>
        <v>895.20999999999992</v>
      </c>
      <c r="J50" s="59">
        <f t="shared" si="4"/>
        <v>899.20999999999992</v>
      </c>
      <c r="K50" s="59">
        <f t="shared" si="4"/>
        <v>899.20999999999992</v>
      </c>
      <c r="L50" s="59">
        <f t="shared" si="4"/>
        <v>899.20999999999992</v>
      </c>
      <c r="M50" s="59">
        <f t="shared" si="4"/>
        <v>899.20999999999992</v>
      </c>
      <c r="N50" s="59">
        <f t="shared" si="4"/>
        <v>878.21</v>
      </c>
      <c r="O50" s="59">
        <f t="shared" si="4"/>
        <v>878.21</v>
      </c>
      <c r="P50" s="59">
        <f t="shared" si="4"/>
        <v>878.21</v>
      </c>
      <c r="Q50" s="59">
        <f t="shared" si="4"/>
        <v>878.21</v>
      </c>
      <c r="R50" s="59">
        <f t="shared" si="4"/>
        <v>878.21</v>
      </c>
      <c r="S50" s="59">
        <f t="shared" si="4"/>
        <v>878.21</v>
      </c>
      <c r="T50" s="59">
        <f t="shared" ref="T50" si="5">SUM(T11:T48)</f>
        <v>878.21</v>
      </c>
      <c r="U50" s="59">
        <f>SUM(U11:U48)</f>
        <v>881.21</v>
      </c>
      <c r="V50" s="59">
        <f>SUM(V11:V48)</f>
        <v>881.21</v>
      </c>
      <c r="W50" s="59">
        <f t="shared" si="4"/>
        <v>883.70999999999992</v>
      </c>
      <c r="X50" s="59">
        <f t="shared" ref="X50" si="6">SUM(X11:X48)</f>
        <v>883.70999999999992</v>
      </c>
      <c r="Y50" s="59">
        <f t="shared" si="4"/>
        <v>883.70999999999992</v>
      </c>
      <c r="Z50" s="59">
        <f t="shared" si="4"/>
        <v>897.70999999999992</v>
      </c>
      <c r="AA50" s="45">
        <f>SUM(AA11:AA48)</f>
        <v>921.91</v>
      </c>
      <c r="AB50" s="59">
        <f t="shared" si="4"/>
        <v>921.91</v>
      </c>
      <c r="AC50" s="59">
        <f t="shared" si="4"/>
        <v>921.91</v>
      </c>
      <c r="AD50" s="59">
        <f t="shared" si="4"/>
        <v>917.91</v>
      </c>
      <c r="AE50" s="59">
        <f t="shared" si="4"/>
        <v>914.41</v>
      </c>
      <c r="AF50" s="59">
        <f t="shared" si="4"/>
        <v>918.41</v>
      </c>
      <c r="AG50" s="60">
        <f>SUM(AG13:AG48)</f>
        <v>922.14</v>
      </c>
      <c r="AH50" s="47">
        <f t="shared" si="2"/>
        <v>921.91</v>
      </c>
      <c r="AI50" s="48">
        <f t="shared" si="3"/>
        <v>868.41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45">
        <v>55</v>
      </c>
      <c r="AB52" s="45">
        <v>55</v>
      </c>
      <c r="AC52" s="45">
        <v>55</v>
      </c>
      <c r="AD52" s="45">
        <v>55</v>
      </c>
      <c r="AE52" s="45">
        <v>55</v>
      </c>
      <c r="AF52" s="45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45">
        <v>22.5</v>
      </c>
      <c r="AB53" s="45">
        <v>22.5</v>
      </c>
      <c r="AC53" s="45">
        <v>22.5</v>
      </c>
      <c r="AD53" s="45">
        <v>22.5</v>
      </c>
      <c r="AE53" s="45">
        <v>22.5</v>
      </c>
      <c r="AF53" s="45">
        <v>22.5</v>
      </c>
      <c r="AG53" s="67">
        <v>22.1</v>
      </c>
      <c r="AH53" s="47">
        <f t="shared" si="2"/>
        <v>22.5</v>
      </c>
      <c r="AI53" s="48">
        <f t="shared" si="3"/>
        <v>22.5</v>
      </c>
      <c r="AK53" s="74"/>
    </row>
    <row r="54" spans="1:41" ht="15.75" thickBot="1" x14ac:dyDescent="0.3">
      <c r="A54" s="68" t="s">
        <v>70</v>
      </c>
      <c r="B54" s="59">
        <f t="shared" ref="B54:AG54" si="7">SUM(B51:B53)</f>
        <v>533.5</v>
      </c>
      <c r="C54" s="59">
        <f t="shared" si="7"/>
        <v>533.5</v>
      </c>
      <c r="D54" s="59">
        <f t="shared" si="7"/>
        <v>533.5</v>
      </c>
      <c r="E54" s="59">
        <f t="shared" si="7"/>
        <v>533.5</v>
      </c>
      <c r="F54" s="59">
        <f t="shared" si="7"/>
        <v>533.5</v>
      </c>
      <c r="G54" s="59">
        <f t="shared" si="7"/>
        <v>533.5</v>
      </c>
      <c r="H54" s="59">
        <f t="shared" si="7"/>
        <v>533.5</v>
      </c>
      <c r="I54" s="59">
        <f t="shared" si="7"/>
        <v>533.5</v>
      </c>
      <c r="J54" s="59">
        <f t="shared" si="7"/>
        <v>533.5</v>
      </c>
      <c r="K54" s="59">
        <f t="shared" si="7"/>
        <v>533.5</v>
      </c>
      <c r="L54" s="59">
        <f t="shared" si="7"/>
        <v>533.5</v>
      </c>
      <c r="M54" s="59">
        <f t="shared" si="7"/>
        <v>533.5</v>
      </c>
      <c r="N54" s="59">
        <f t="shared" si="7"/>
        <v>533.5</v>
      </c>
      <c r="O54" s="59">
        <f t="shared" si="7"/>
        <v>533.5</v>
      </c>
      <c r="P54" s="59">
        <f t="shared" si="7"/>
        <v>533.5</v>
      </c>
      <c r="Q54" s="59">
        <f t="shared" si="7"/>
        <v>533.5</v>
      </c>
      <c r="R54" s="59">
        <f t="shared" si="7"/>
        <v>533.5</v>
      </c>
      <c r="S54" s="59">
        <f t="shared" si="7"/>
        <v>533.5</v>
      </c>
      <c r="T54" s="59">
        <f t="shared" ref="T54" si="8">SUM(T51:T53)</f>
        <v>533.5</v>
      </c>
      <c r="U54" s="59">
        <f t="shared" si="7"/>
        <v>533.5</v>
      </c>
      <c r="V54" s="59">
        <f t="shared" si="7"/>
        <v>533.5</v>
      </c>
      <c r="W54" s="59">
        <f t="shared" si="7"/>
        <v>533.5</v>
      </c>
      <c r="X54" s="59">
        <f t="shared" ref="X54" si="9">SUM(X51:X53)</f>
        <v>533.5</v>
      </c>
      <c r="Y54" s="59">
        <f t="shared" si="7"/>
        <v>533.5</v>
      </c>
      <c r="Z54" s="59">
        <f t="shared" si="7"/>
        <v>533.5</v>
      </c>
      <c r="AA54" s="45">
        <f>SUM(AA51:AA53)</f>
        <v>533.5</v>
      </c>
      <c r="AB54" s="59">
        <f t="shared" si="7"/>
        <v>533.5</v>
      </c>
      <c r="AC54" s="59">
        <f t="shared" si="7"/>
        <v>533.5</v>
      </c>
      <c r="AD54" s="59">
        <f t="shared" si="7"/>
        <v>533.5</v>
      </c>
      <c r="AE54" s="59">
        <f t="shared" si="7"/>
        <v>533.5</v>
      </c>
      <c r="AF54" s="59">
        <f t="shared" si="7"/>
        <v>533.5</v>
      </c>
      <c r="AG54" s="60">
        <f t="shared" si="7"/>
        <v>538.1</v>
      </c>
      <c r="AH54" s="47">
        <f t="shared" si="2"/>
        <v>533.5</v>
      </c>
      <c r="AI54" s="48">
        <f t="shared" si="3"/>
        <v>533.5</v>
      </c>
      <c r="AK54" s="74"/>
    </row>
    <row r="55" spans="1:41" x14ac:dyDescent="0.25">
      <c r="A55" s="44" t="s">
        <v>71</v>
      </c>
      <c r="B55" s="45">
        <v>96</v>
      </c>
      <c r="C55" s="45">
        <v>96</v>
      </c>
      <c r="D55" s="45">
        <v>96</v>
      </c>
      <c r="E55" s="45">
        <v>96.1</v>
      </c>
      <c r="F55" s="45">
        <v>96.1</v>
      </c>
      <c r="G55" s="45">
        <v>96</v>
      </c>
      <c r="H55" s="45">
        <v>96.2</v>
      </c>
      <c r="I55" s="45">
        <v>96</v>
      </c>
      <c r="J55" s="45">
        <v>96</v>
      </c>
      <c r="K55" s="45">
        <v>96</v>
      </c>
      <c r="L55" s="45">
        <v>96.6</v>
      </c>
      <c r="M55" s="45">
        <v>96.6</v>
      </c>
      <c r="N55" s="45">
        <v>97</v>
      </c>
      <c r="O55" s="45">
        <v>97</v>
      </c>
      <c r="P55" s="45">
        <v>97</v>
      </c>
      <c r="Q55" s="45">
        <v>97</v>
      </c>
      <c r="R55" s="45">
        <v>97</v>
      </c>
      <c r="S55" s="45">
        <v>94.9</v>
      </c>
      <c r="T55" s="45">
        <v>94.9</v>
      </c>
      <c r="U55" s="45">
        <v>94.9</v>
      </c>
      <c r="V55" s="45">
        <v>97</v>
      </c>
      <c r="W55" s="45">
        <v>97</v>
      </c>
      <c r="X55" s="45">
        <v>97</v>
      </c>
      <c r="Y55" s="45">
        <v>97</v>
      </c>
      <c r="Z55" s="45">
        <v>97</v>
      </c>
      <c r="AA55" s="45">
        <v>97</v>
      </c>
      <c r="AB55" s="45">
        <v>97</v>
      </c>
      <c r="AC55" s="45">
        <v>97</v>
      </c>
      <c r="AD55" s="45">
        <v>97</v>
      </c>
      <c r="AE55" s="45">
        <v>97</v>
      </c>
      <c r="AF55" s="45">
        <v>49</v>
      </c>
      <c r="AG55" s="51">
        <v>144</v>
      </c>
      <c r="AH55" s="47">
        <f t="shared" si="2"/>
        <v>97</v>
      </c>
      <c r="AI55" s="48">
        <f t="shared" si="3"/>
        <v>49</v>
      </c>
      <c r="AK55" s="74"/>
    </row>
    <row r="56" spans="1:41" x14ac:dyDescent="0.25">
      <c r="A56" s="53" t="s">
        <v>72</v>
      </c>
      <c r="B56" s="64">
        <v>69.900000000000006</v>
      </c>
      <c r="C56" s="64">
        <v>69.900000000000006</v>
      </c>
      <c r="D56" s="64">
        <v>69.900000000000006</v>
      </c>
      <c r="E56" s="64">
        <v>71.099999999999994</v>
      </c>
      <c r="F56" s="64">
        <v>70.8</v>
      </c>
      <c r="G56" s="64">
        <v>69.900000000000006</v>
      </c>
      <c r="H56" s="64">
        <v>71.099999999999994</v>
      </c>
      <c r="I56" s="64">
        <v>71.5</v>
      </c>
      <c r="J56" s="64">
        <v>71.5</v>
      </c>
      <c r="K56" s="64">
        <v>71.2</v>
      </c>
      <c r="L56" s="64">
        <v>71.7</v>
      </c>
      <c r="M56" s="64">
        <v>71.7</v>
      </c>
      <c r="N56" s="64">
        <v>60</v>
      </c>
      <c r="O56" s="64">
        <v>70</v>
      </c>
      <c r="P56" s="64">
        <v>70</v>
      </c>
      <c r="Q56" s="64">
        <v>70</v>
      </c>
      <c r="R56" s="64">
        <v>70</v>
      </c>
      <c r="S56" s="45">
        <v>65.3</v>
      </c>
      <c r="T56" s="45">
        <v>65.3</v>
      </c>
      <c r="U56" s="45">
        <v>65.3</v>
      </c>
      <c r="V56" s="45">
        <v>70.3</v>
      </c>
      <c r="W56" s="45">
        <v>70.099999999999994</v>
      </c>
      <c r="X56" s="45">
        <v>70.099999999999994</v>
      </c>
      <c r="Y56" s="45">
        <v>70.099999999999994</v>
      </c>
      <c r="Z56" s="45">
        <v>70.099999999999994</v>
      </c>
      <c r="AA56" s="45">
        <v>70.099999999999994</v>
      </c>
      <c r="AB56" s="45">
        <v>70.8</v>
      </c>
      <c r="AC56" s="45">
        <v>70.8</v>
      </c>
      <c r="AD56" s="45">
        <v>70.8</v>
      </c>
      <c r="AE56" s="45">
        <v>70.8</v>
      </c>
      <c r="AF56" s="45">
        <v>0</v>
      </c>
      <c r="AG56" s="54">
        <v>70</v>
      </c>
      <c r="AH56" s="47">
        <f t="shared" si="2"/>
        <v>71.7</v>
      </c>
      <c r="AI56" s="48">
        <f t="shared" si="3"/>
        <v>0</v>
      </c>
      <c r="AK56" s="74"/>
    </row>
    <row r="57" spans="1:41" x14ac:dyDescent="0.25">
      <c r="A57" s="53" t="s">
        <v>73</v>
      </c>
      <c r="B57" s="64">
        <v>69</v>
      </c>
      <c r="C57" s="64">
        <v>69</v>
      </c>
      <c r="D57" s="64">
        <v>69</v>
      </c>
      <c r="E57" s="64">
        <v>68.5</v>
      </c>
      <c r="F57" s="64">
        <v>67.900000000000006</v>
      </c>
      <c r="G57" s="64">
        <v>67.7</v>
      </c>
      <c r="H57" s="64">
        <v>68.099999999999994</v>
      </c>
      <c r="I57" s="64">
        <v>68</v>
      </c>
      <c r="J57" s="64">
        <v>68</v>
      </c>
      <c r="K57" s="64">
        <v>67.3</v>
      </c>
      <c r="L57" s="64">
        <v>67</v>
      </c>
      <c r="M57" s="64">
        <v>67</v>
      </c>
      <c r="N57" s="64">
        <v>68.099999999999994</v>
      </c>
      <c r="O57" s="64">
        <v>68.099999999999994</v>
      </c>
      <c r="P57" s="64">
        <v>68.099999999999994</v>
      </c>
      <c r="Q57" s="64">
        <v>68.099999999999994</v>
      </c>
      <c r="R57" s="64">
        <v>68.099999999999994</v>
      </c>
      <c r="S57" s="45">
        <v>68.099999999999994</v>
      </c>
      <c r="T57" s="45">
        <v>68.099999999999994</v>
      </c>
      <c r="U57" s="45">
        <v>68.099999999999994</v>
      </c>
      <c r="V57" s="45">
        <v>70</v>
      </c>
      <c r="W57" s="45">
        <v>69.099999999999994</v>
      </c>
      <c r="X57" s="45">
        <v>69.099999999999994</v>
      </c>
      <c r="Y57" s="45">
        <v>69.099999999999994</v>
      </c>
      <c r="Z57" s="45">
        <v>69.099999999999994</v>
      </c>
      <c r="AA57" s="45">
        <v>69.099999999999994</v>
      </c>
      <c r="AB57" s="45">
        <v>69.099999999999994</v>
      </c>
      <c r="AC57" s="45">
        <v>68.2</v>
      </c>
      <c r="AD57" s="45">
        <v>68.2</v>
      </c>
      <c r="AE57" s="45">
        <v>68.2</v>
      </c>
      <c r="AF57" s="45">
        <v>68.2</v>
      </c>
      <c r="AG57" s="54">
        <v>69</v>
      </c>
      <c r="AH57" s="47">
        <f t="shared" si="2"/>
        <v>70</v>
      </c>
      <c r="AI57" s="48">
        <f t="shared" si="3"/>
        <v>67</v>
      </c>
      <c r="AK57" s="74"/>
    </row>
    <row r="58" spans="1:41" x14ac:dyDescent="0.25">
      <c r="A58" s="53" t="s">
        <v>74</v>
      </c>
      <c r="B58" s="64">
        <v>60.4</v>
      </c>
      <c r="C58" s="64">
        <v>60.4</v>
      </c>
      <c r="D58" s="64">
        <v>60.4</v>
      </c>
      <c r="E58" s="56">
        <v>60.7</v>
      </c>
      <c r="F58" s="56" t="s">
        <v>286</v>
      </c>
      <c r="G58" s="56">
        <v>60.9</v>
      </c>
      <c r="H58" s="56">
        <v>59.5</v>
      </c>
      <c r="I58" s="56">
        <v>61</v>
      </c>
      <c r="J58" s="56">
        <v>61</v>
      </c>
      <c r="K58" s="56">
        <v>60.5</v>
      </c>
      <c r="L58" s="56">
        <v>60.7</v>
      </c>
      <c r="M58" s="56">
        <v>60.7</v>
      </c>
      <c r="N58" s="56">
        <v>56.4</v>
      </c>
      <c r="O58" s="56">
        <v>56.4</v>
      </c>
      <c r="P58" s="56">
        <v>56.4</v>
      </c>
      <c r="Q58" s="56">
        <v>56.4</v>
      </c>
      <c r="R58" s="56">
        <v>56.4</v>
      </c>
      <c r="S58" s="45">
        <v>58.7</v>
      </c>
      <c r="T58" s="45">
        <v>58.7</v>
      </c>
      <c r="U58" s="45">
        <v>58.7</v>
      </c>
      <c r="V58" s="45">
        <v>60.7</v>
      </c>
      <c r="W58" s="45">
        <v>60.2</v>
      </c>
      <c r="X58" s="45">
        <v>60.2</v>
      </c>
      <c r="Y58" s="45">
        <v>60.2</v>
      </c>
      <c r="Z58" s="45">
        <v>60.2</v>
      </c>
      <c r="AA58" s="45">
        <v>60.2</v>
      </c>
      <c r="AB58" s="45">
        <v>60.2</v>
      </c>
      <c r="AC58" s="45">
        <v>60.2</v>
      </c>
      <c r="AD58" s="45">
        <v>60.2</v>
      </c>
      <c r="AE58" s="45">
        <v>60.2</v>
      </c>
      <c r="AF58" s="45">
        <v>60.2</v>
      </c>
      <c r="AG58" s="54">
        <v>60</v>
      </c>
      <c r="AH58" s="47">
        <f t="shared" si="2"/>
        <v>61</v>
      </c>
      <c r="AI58" s="48">
        <f t="shared" si="3"/>
        <v>56.4</v>
      </c>
      <c r="AK58" s="74"/>
    </row>
    <row r="59" spans="1:41" x14ac:dyDescent="0.25">
      <c r="A59" s="53" t="s">
        <v>75</v>
      </c>
      <c r="B59" s="64">
        <v>30</v>
      </c>
      <c r="C59" s="64">
        <v>30</v>
      </c>
      <c r="D59" s="64">
        <v>30</v>
      </c>
      <c r="E59" s="56">
        <v>30</v>
      </c>
      <c r="F59" s="56">
        <v>30</v>
      </c>
      <c r="G59" s="56">
        <v>30</v>
      </c>
      <c r="H59" s="56">
        <v>30</v>
      </c>
      <c r="I59" s="56">
        <v>30</v>
      </c>
      <c r="J59" s="56">
        <v>30</v>
      </c>
      <c r="K59" s="56">
        <v>30</v>
      </c>
      <c r="L59" s="56">
        <v>30</v>
      </c>
      <c r="M59" s="56">
        <v>30</v>
      </c>
      <c r="N59" s="56">
        <v>30</v>
      </c>
      <c r="O59" s="56">
        <v>30</v>
      </c>
      <c r="P59" s="56">
        <v>30</v>
      </c>
      <c r="Q59" s="56">
        <v>30</v>
      </c>
      <c r="R59" s="56">
        <v>30</v>
      </c>
      <c r="S59" s="56">
        <v>30</v>
      </c>
      <c r="T59" s="56">
        <v>30</v>
      </c>
      <c r="U59" s="56">
        <v>30</v>
      </c>
      <c r="V59" s="56">
        <v>30</v>
      </c>
      <c r="W59" s="45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30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0.4</v>
      </c>
      <c r="J60" s="64">
        <v>1.4</v>
      </c>
      <c r="K60" s="64">
        <v>2.4</v>
      </c>
      <c r="L60" s="64">
        <v>2.7</v>
      </c>
      <c r="M60" s="64">
        <v>2.7</v>
      </c>
      <c r="N60" s="64">
        <v>2.7</v>
      </c>
      <c r="O60" s="64">
        <v>2.7</v>
      </c>
      <c r="P60" s="64">
        <v>2.7</v>
      </c>
      <c r="Q60" s="64">
        <v>2.7</v>
      </c>
      <c r="R60" s="64">
        <v>2.7</v>
      </c>
      <c r="S60" s="64">
        <v>2.7</v>
      </c>
      <c r="T60" s="64">
        <v>2.7</v>
      </c>
      <c r="U60" s="64">
        <v>2.7</v>
      </c>
      <c r="V60" s="64">
        <v>5</v>
      </c>
      <c r="W60" s="45">
        <v>2.4</v>
      </c>
      <c r="X60" s="45">
        <v>2.4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5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45">
        <v>15</v>
      </c>
      <c r="AB61" s="45">
        <v>15</v>
      </c>
      <c r="AC61" s="45">
        <v>15</v>
      </c>
      <c r="AD61" s="45">
        <v>15</v>
      </c>
      <c r="AE61" s="45">
        <v>15</v>
      </c>
      <c r="AF61" s="45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74"/>
    </row>
    <row r="62" spans="1:41" x14ac:dyDescent="0.25">
      <c r="A62" s="53" t="s">
        <v>78</v>
      </c>
      <c r="B62" s="64">
        <v>5</v>
      </c>
      <c r="C62" s="64">
        <v>5</v>
      </c>
      <c r="D62" s="64">
        <v>5</v>
      </c>
      <c r="E62" s="64">
        <v>5</v>
      </c>
      <c r="F62" s="64">
        <v>5</v>
      </c>
      <c r="G62" s="64">
        <v>5</v>
      </c>
      <c r="H62" s="64">
        <v>5</v>
      </c>
      <c r="I62" s="64">
        <v>5</v>
      </c>
      <c r="J62" s="64">
        <v>5</v>
      </c>
      <c r="K62" s="64">
        <v>5</v>
      </c>
      <c r="L62" s="64">
        <v>5</v>
      </c>
      <c r="M62" s="64">
        <v>5</v>
      </c>
      <c r="N62" s="64">
        <v>5</v>
      </c>
      <c r="O62" s="64">
        <v>5</v>
      </c>
      <c r="P62" s="64">
        <v>5</v>
      </c>
      <c r="Q62" s="64">
        <v>5</v>
      </c>
      <c r="R62" s="64">
        <v>5</v>
      </c>
      <c r="S62" s="64">
        <v>5</v>
      </c>
      <c r="T62" s="64">
        <v>5</v>
      </c>
      <c r="U62" s="64">
        <v>5</v>
      </c>
      <c r="V62" s="64">
        <v>5</v>
      </c>
      <c r="W62" s="64">
        <v>5</v>
      </c>
      <c r="X62" s="64">
        <v>5</v>
      </c>
      <c r="Y62" s="64">
        <v>5</v>
      </c>
      <c r="Z62" s="64">
        <v>5</v>
      </c>
      <c r="AA62" s="45">
        <v>5</v>
      </c>
      <c r="AB62" s="45">
        <v>5</v>
      </c>
      <c r="AC62" s="45">
        <v>5</v>
      </c>
      <c r="AD62" s="45">
        <v>5</v>
      </c>
      <c r="AE62" s="45">
        <v>5</v>
      </c>
      <c r="AF62" s="45">
        <v>5</v>
      </c>
      <c r="AG62" s="54">
        <v>15</v>
      </c>
      <c r="AH62" s="47">
        <f t="shared" si="2"/>
        <v>5</v>
      </c>
      <c r="AI62" s="48">
        <f t="shared" si="3"/>
        <v>5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12.4</v>
      </c>
      <c r="C63" s="64">
        <v>12.4</v>
      </c>
      <c r="D63" s="64">
        <v>12.4</v>
      </c>
      <c r="E63" s="64">
        <v>12.4</v>
      </c>
      <c r="F63" s="64">
        <v>12.4</v>
      </c>
      <c r="G63" s="64">
        <v>12.4</v>
      </c>
      <c r="H63" s="64">
        <v>12.4</v>
      </c>
      <c r="I63" s="64">
        <v>12.4</v>
      </c>
      <c r="J63" s="64">
        <v>12.4</v>
      </c>
      <c r="K63" s="64">
        <v>12.4</v>
      </c>
      <c r="L63" s="64">
        <v>12.4</v>
      </c>
      <c r="M63" s="64">
        <v>12.4</v>
      </c>
      <c r="N63" s="64">
        <v>12.4</v>
      </c>
      <c r="O63" s="64">
        <v>12.4</v>
      </c>
      <c r="P63" s="64">
        <v>12.4</v>
      </c>
      <c r="Q63" s="64">
        <v>12.4</v>
      </c>
      <c r="R63" s="64">
        <v>12.4</v>
      </c>
      <c r="S63" s="64">
        <v>12.4</v>
      </c>
      <c r="T63" s="64">
        <v>12.4</v>
      </c>
      <c r="U63" s="64">
        <v>12.4</v>
      </c>
      <c r="V63" s="64">
        <v>12.4</v>
      </c>
      <c r="W63" s="64">
        <v>12.4</v>
      </c>
      <c r="X63" s="64">
        <v>12.4</v>
      </c>
      <c r="Y63" s="64">
        <v>12.4</v>
      </c>
      <c r="Z63" s="64">
        <v>12.4</v>
      </c>
      <c r="AA63" s="45">
        <v>12.4</v>
      </c>
      <c r="AB63" s="45">
        <v>12.4</v>
      </c>
      <c r="AC63" s="45">
        <v>12.4</v>
      </c>
      <c r="AD63" s="45">
        <v>12.4</v>
      </c>
      <c r="AE63" s="45">
        <v>12.4</v>
      </c>
      <c r="AF63" s="45">
        <v>12.4</v>
      </c>
      <c r="AG63" s="54">
        <v>14.1</v>
      </c>
      <c r="AH63" s="47">
        <f t="shared" si="2"/>
        <v>12.4</v>
      </c>
      <c r="AI63" s="48">
        <f t="shared" si="3"/>
        <v>12.4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3</v>
      </c>
      <c r="C64" s="64">
        <v>14</v>
      </c>
      <c r="D64" s="64">
        <v>14</v>
      </c>
      <c r="E64" s="64">
        <v>14</v>
      </c>
      <c r="F64" s="64">
        <v>14</v>
      </c>
      <c r="G64" s="64">
        <v>14</v>
      </c>
      <c r="H64" s="64">
        <v>14</v>
      </c>
      <c r="I64" s="64">
        <v>14</v>
      </c>
      <c r="J64" s="64">
        <v>14</v>
      </c>
      <c r="K64" s="64">
        <v>14</v>
      </c>
      <c r="L64" s="64">
        <v>14</v>
      </c>
      <c r="M64" s="64">
        <v>14</v>
      </c>
      <c r="N64" s="64">
        <v>14</v>
      </c>
      <c r="O64" s="64">
        <v>14</v>
      </c>
      <c r="P64" s="64">
        <v>14</v>
      </c>
      <c r="Q64" s="64">
        <v>14</v>
      </c>
      <c r="R64" s="64">
        <v>14</v>
      </c>
      <c r="S64" s="64">
        <v>14</v>
      </c>
      <c r="T64" s="64">
        <v>14</v>
      </c>
      <c r="U64" s="64">
        <v>14</v>
      </c>
      <c r="V64" s="64">
        <v>14</v>
      </c>
      <c r="W64" s="64">
        <v>14</v>
      </c>
      <c r="X64" s="64">
        <v>14</v>
      </c>
      <c r="Y64" s="64">
        <v>14</v>
      </c>
      <c r="Z64" s="64">
        <v>14</v>
      </c>
      <c r="AA64" s="45">
        <v>14</v>
      </c>
      <c r="AB64" s="45">
        <v>14</v>
      </c>
      <c r="AC64" s="45">
        <v>14</v>
      </c>
      <c r="AD64" s="45">
        <v>14</v>
      </c>
      <c r="AE64" s="45">
        <v>14</v>
      </c>
      <c r="AF64" s="45">
        <v>14</v>
      </c>
      <c r="AG64" s="54">
        <v>14</v>
      </c>
      <c r="AH64" s="47">
        <f t="shared" si="2"/>
        <v>14</v>
      </c>
      <c r="AI64" s="48">
        <f t="shared" si="3"/>
        <v>3</v>
      </c>
      <c r="AK64" s="74"/>
    </row>
    <row r="65" spans="1:40" x14ac:dyDescent="0.25">
      <c r="A65" s="53" t="s">
        <v>81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45">
        <v>9.5</v>
      </c>
      <c r="AB65" s="45">
        <v>9.5</v>
      </c>
      <c r="AC65" s="45">
        <v>9.5</v>
      </c>
      <c r="AD65" s="45">
        <v>9.5</v>
      </c>
      <c r="AE65" s="45">
        <v>9.5</v>
      </c>
      <c r="AF65" s="45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74"/>
    </row>
    <row r="66" spans="1:40" x14ac:dyDescent="0.25">
      <c r="A66" s="53" t="s">
        <v>82</v>
      </c>
      <c r="B66" s="64">
        <v>3</v>
      </c>
      <c r="C66" s="64">
        <v>3</v>
      </c>
      <c r="D66" s="64">
        <v>3</v>
      </c>
      <c r="E66" s="64">
        <v>3</v>
      </c>
      <c r="F66" s="64">
        <v>3</v>
      </c>
      <c r="G66" s="64">
        <v>3</v>
      </c>
      <c r="H66" s="64">
        <v>3</v>
      </c>
      <c r="I66" s="64">
        <v>3</v>
      </c>
      <c r="J66" s="64">
        <v>3</v>
      </c>
      <c r="K66" s="64">
        <v>3</v>
      </c>
      <c r="L66" s="64">
        <v>3</v>
      </c>
      <c r="M66" s="64">
        <v>3</v>
      </c>
      <c r="N66" s="64">
        <v>3</v>
      </c>
      <c r="O66" s="64">
        <v>3</v>
      </c>
      <c r="P66" s="64">
        <v>3</v>
      </c>
      <c r="Q66" s="64">
        <v>3</v>
      </c>
      <c r="R66" s="64">
        <v>3</v>
      </c>
      <c r="S66" s="64">
        <v>3</v>
      </c>
      <c r="T66" s="64">
        <v>3</v>
      </c>
      <c r="U66" s="64">
        <v>3</v>
      </c>
      <c r="V66" s="64">
        <v>3</v>
      </c>
      <c r="W66" s="64">
        <v>3</v>
      </c>
      <c r="X66" s="64">
        <v>3</v>
      </c>
      <c r="Y66" s="64">
        <v>3</v>
      </c>
      <c r="Z66" s="64">
        <v>3</v>
      </c>
      <c r="AA66" s="45">
        <v>3</v>
      </c>
      <c r="AB66" s="45">
        <v>3</v>
      </c>
      <c r="AC66" s="45">
        <v>3</v>
      </c>
      <c r="AD66" s="45">
        <v>3</v>
      </c>
      <c r="AE66" s="45">
        <v>3</v>
      </c>
      <c r="AF66" s="45">
        <v>3</v>
      </c>
      <c r="AG66" s="54">
        <v>6.2</v>
      </c>
      <c r="AH66" s="47">
        <f t="shared" si="2"/>
        <v>3</v>
      </c>
      <c r="AI66" s="48">
        <f t="shared" si="3"/>
        <v>3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45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AG68" si="10">SUM(B55:B67)</f>
        <v>376.74</v>
      </c>
      <c r="C68" s="59">
        <f t="shared" si="10"/>
        <v>387.74</v>
      </c>
      <c r="D68" s="59">
        <f t="shared" si="10"/>
        <v>387.74</v>
      </c>
      <c r="E68" s="59">
        <f t="shared" si="10"/>
        <v>388.84</v>
      </c>
      <c r="F68" s="59">
        <f t="shared" si="10"/>
        <v>327.23999999999995</v>
      </c>
      <c r="G68" s="59">
        <f t="shared" si="10"/>
        <v>386.94</v>
      </c>
      <c r="H68" s="59">
        <f t="shared" si="10"/>
        <v>387.34</v>
      </c>
      <c r="I68" s="59">
        <f t="shared" si="10"/>
        <v>389.34</v>
      </c>
      <c r="J68" s="59">
        <f t="shared" si="10"/>
        <v>390.34</v>
      </c>
      <c r="K68" s="59">
        <f t="shared" si="10"/>
        <v>389.84</v>
      </c>
      <c r="L68" s="59">
        <f t="shared" si="10"/>
        <v>391.14</v>
      </c>
      <c r="M68" s="59">
        <f t="shared" si="10"/>
        <v>391.14</v>
      </c>
      <c r="N68" s="59">
        <f t="shared" si="10"/>
        <v>376.64</v>
      </c>
      <c r="O68" s="59">
        <f t="shared" si="10"/>
        <v>386.64</v>
      </c>
      <c r="P68" s="59">
        <f t="shared" si="10"/>
        <v>386.64</v>
      </c>
      <c r="Q68" s="59">
        <f t="shared" si="10"/>
        <v>386.64</v>
      </c>
      <c r="R68" s="59">
        <f t="shared" si="10"/>
        <v>386.64</v>
      </c>
      <c r="S68" s="59">
        <f t="shared" si="10"/>
        <v>382.14</v>
      </c>
      <c r="T68" s="59">
        <f t="shared" ref="T68" si="11">SUM(T55:T67)</f>
        <v>382.14</v>
      </c>
      <c r="U68" s="59">
        <f t="shared" si="10"/>
        <v>382.14</v>
      </c>
      <c r="V68" s="59">
        <f t="shared" si="10"/>
        <v>395.44</v>
      </c>
      <c r="W68" s="59">
        <f t="shared" si="10"/>
        <v>391.23999999999995</v>
      </c>
      <c r="X68" s="59">
        <f t="shared" ref="X68" si="12">SUM(X55:X67)</f>
        <v>391.23999999999995</v>
      </c>
      <c r="Y68" s="59">
        <f t="shared" si="10"/>
        <v>388.84</v>
      </c>
      <c r="Z68" s="59">
        <f t="shared" si="10"/>
        <v>388.84</v>
      </c>
      <c r="AA68" s="45">
        <f>SUM(AA55:AA67)</f>
        <v>388.84</v>
      </c>
      <c r="AB68" s="59">
        <f t="shared" si="10"/>
        <v>389.54</v>
      </c>
      <c r="AC68" s="59">
        <f t="shared" si="10"/>
        <v>388.64</v>
      </c>
      <c r="AD68" s="59">
        <f t="shared" si="10"/>
        <v>388.64</v>
      </c>
      <c r="AE68" s="59">
        <f t="shared" si="10"/>
        <v>388.64</v>
      </c>
      <c r="AF68" s="59">
        <f t="shared" si="10"/>
        <v>269.84000000000003</v>
      </c>
      <c r="AG68" s="60">
        <f t="shared" si="10"/>
        <v>489.91</v>
      </c>
      <c r="AH68" s="47">
        <f t="shared" si="2"/>
        <v>395.44</v>
      </c>
      <c r="AI68" s="48">
        <f t="shared" si="3"/>
        <v>269.84000000000003</v>
      </c>
      <c r="AK68" s="74"/>
    </row>
    <row r="69" spans="1:40" x14ac:dyDescent="0.25">
      <c r="A69" s="44" t="s">
        <v>85</v>
      </c>
      <c r="B69" s="45">
        <v>13.4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20</v>
      </c>
      <c r="L69" s="45">
        <v>55</v>
      </c>
      <c r="M69" s="45">
        <v>12.5</v>
      </c>
      <c r="N69" s="45">
        <v>12.5</v>
      </c>
      <c r="O69" s="45">
        <v>12.5</v>
      </c>
      <c r="P69" s="45">
        <v>12.5</v>
      </c>
      <c r="Q69" s="45">
        <v>24</v>
      </c>
      <c r="R69" s="45">
        <v>29</v>
      </c>
      <c r="S69" s="45">
        <v>34.700000000000003</v>
      </c>
      <c r="T69" s="45">
        <v>34.700000000000003</v>
      </c>
      <c r="U69" s="45">
        <v>34.700000000000003</v>
      </c>
      <c r="V69" s="45">
        <v>14</v>
      </c>
      <c r="W69" s="45">
        <v>14</v>
      </c>
      <c r="X69" s="45">
        <v>14</v>
      </c>
      <c r="Y69" s="45">
        <v>0</v>
      </c>
      <c r="Z69" s="45">
        <v>0</v>
      </c>
      <c r="AA69" s="45">
        <v>29.3</v>
      </c>
      <c r="AB69" s="45">
        <v>29.3</v>
      </c>
      <c r="AC69" s="45">
        <v>51.4</v>
      </c>
      <c r="AD69" s="45">
        <v>59.9</v>
      </c>
      <c r="AE69" s="45">
        <v>29.2</v>
      </c>
      <c r="AF69" s="45">
        <v>19.600000000000001</v>
      </c>
      <c r="AG69" s="51">
        <v>60</v>
      </c>
      <c r="AH69" s="47">
        <f t="shared" si="2"/>
        <v>59.9</v>
      </c>
      <c r="AI69" s="48">
        <f t="shared" si="3"/>
        <v>0</v>
      </c>
      <c r="AK69" s="74"/>
    </row>
    <row r="70" spans="1:40" x14ac:dyDescent="0.25">
      <c r="A70" s="53" t="s">
        <v>86</v>
      </c>
      <c r="B70" s="45">
        <v>6.1</v>
      </c>
      <c r="C70" s="45">
        <v>0</v>
      </c>
      <c r="D70" s="45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5.8</v>
      </c>
      <c r="L70" s="64">
        <v>18.5</v>
      </c>
      <c r="M70" s="64">
        <v>8.5</v>
      </c>
      <c r="N70" s="64">
        <v>8.5</v>
      </c>
      <c r="O70" s="64">
        <v>8.5</v>
      </c>
      <c r="P70" s="64">
        <v>8.5</v>
      </c>
      <c r="Q70" s="64">
        <v>8.5</v>
      </c>
      <c r="R70" s="64">
        <v>8.5</v>
      </c>
      <c r="S70" s="64">
        <v>15.96</v>
      </c>
      <c r="T70" s="64">
        <v>15.96</v>
      </c>
      <c r="U70" s="64">
        <v>15.96</v>
      </c>
      <c r="V70" s="64">
        <v>10.199999999999999</v>
      </c>
      <c r="W70" s="64">
        <v>4.9000000000000004</v>
      </c>
      <c r="X70" s="64">
        <v>4.9000000000000004</v>
      </c>
      <c r="Y70" s="64">
        <v>0</v>
      </c>
      <c r="Z70" s="64">
        <v>0</v>
      </c>
      <c r="AA70" s="45">
        <v>4.9000000000000004</v>
      </c>
      <c r="AB70" s="64">
        <v>17.8</v>
      </c>
      <c r="AC70" s="64">
        <v>17.8</v>
      </c>
      <c r="AD70" s="64">
        <v>31.5</v>
      </c>
      <c r="AE70" s="64">
        <v>14.7</v>
      </c>
      <c r="AF70" s="64">
        <v>9.9</v>
      </c>
      <c r="AG70" s="54">
        <v>32</v>
      </c>
      <c r="AH70" s="47">
        <f t="shared" si="2"/>
        <v>31.5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>
        <v>2.2000000000000002</v>
      </c>
      <c r="C71" s="45">
        <v>0</v>
      </c>
      <c r="D71" s="45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2.1</v>
      </c>
      <c r="L71" s="66">
        <v>6.5</v>
      </c>
      <c r="M71" s="66">
        <v>3.1</v>
      </c>
      <c r="N71" s="66">
        <v>3.1</v>
      </c>
      <c r="O71" s="66">
        <v>3.1</v>
      </c>
      <c r="P71" s="66">
        <v>3.1</v>
      </c>
      <c r="Q71" s="66">
        <v>3.1</v>
      </c>
      <c r="R71" s="66">
        <v>3.1</v>
      </c>
      <c r="S71" s="66">
        <v>5.8</v>
      </c>
      <c r="T71" s="66">
        <v>5.8</v>
      </c>
      <c r="U71" s="66">
        <v>5.8</v>
      </c>
      <c r="V71" s="66">
        <v>3.7</v>
      </c>
      <c r="W71" s="66">
        <v>1.8</v>
      </c>
      <c r="X71" s="66">
        <v>1.8</v>
      </c>
      <c r="Y71" s="66">
        <v>0</v>
      </c>
      <c r="Z71" s="66">
        <v>0</v>
      </c>
      <c r="AA71" s="45">
        <v>1.8</v>
      </c>
      <c r="AB71" s="66">
        <v>6.5</v>
      </c>
      <c r="AC71" s="66">
        <v>7.4</v>
      </c>
      <c r="AD71" s="66">
        <v>11.5</v>
      </c>
      <c r="AE71" s="66">
        <v>5.4</v>
      </c>
      <c r="AF71" s="66">
        <v>3.6</v>
      </c>
      <c r="AG71" s="67">
        <v>14</v>
      </c>
      <c r="AH71" s="47">
        <f t="shared" si="2"/>
        <v>11.5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>B69+B70+B71</f>
        <v>21.7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f>K69+K70+K71</f>
        <v>27.900000000000002</v>
      </c>
      <c r="L72" s="59">
        <f>L69+L70+L71</f>
        <v>80</v>
      </c>
      <c r="M72" s="59">
        <f t="shared" ref="M72:AF72" si="13">M69+M70+M71</f>
        <v>24.1</v>
      </c>
      <c r="N72" s="59">
        <f t="shared" si="13"/>
        <v>24.1</v>
      </c>
      <c r="O72" s="59">
        <f t="shared" si="13"/>
        <v>24.1</v>
      </c>
      <c r="P72" s="59">
        <f t="shared" si="13"/>
        <v>24.1</v>
      </c>
      <c r="Q72" s="59">
        <f t="shared" si="13"/>
        <v>35.6</v>
      </c>
      <c r="R72" s="59">
        <f t="shared" si="13"/>
        <v>40.6</v>
      </c>
      <c r="S72" s="59">
        <f t="shared" si="13"/>
        <v>56.46</v>
      </c>
      <c r="T72" s="59">
        <f t="shared" ref="T72" si="14">T69+T70+T71</f>
        <v>56.46</v>
      </c>
      <c r="U72" s="59">
        <f t="shared" si="13"/>
        <v>56.46</v>
      </c>
      <c r="V72" s="59">
        <f t="shared" si="13"/>
        <v>27.9</v>
      </c>
      <c r="W72" s="59">
        <f t="shared" si="13"/>
        <v>20.7</v>
      </c>
      <c r="X72" s="59">
        <f t="shared" ref="X72" si="15">X69+X70+X71</f>
        <v>20.7</v>
      </c>
      <c r="Y72" s="59">
        <f t="shared" si="13"/>
        <v>0</v>
      </c>
      <c r="Z72" s="59">
        <f t="shared" si="13"/>
        <v>0</v>
      </c>
      <c r="AA72" s="45">
        <f>SUM(AA69:AA71)</f>
        <v>36</v>
      </c>
      <c r="AB72" s="59">
        <f t="shared" si="13"/>
        <v>53.6</v>
      </c>
      <c r="AC72" s="59">
        <f t="shared" si="13"/>
        <v>76.600000000000009</v>
      </c>
      <c r="AD72" s="59">
        <f t="shared" si="13"/>
        <v>102.9</v>
      </c>
      <c r="AE72" s="59">
        <f t="shared" si="13"/>
        <v>49.3</v>
      </c>
      <c r="AF72" s="59">
        <f t="shared" si="13"/>
        <v>33.1</v>
      </c>
      <c r="AG72" s="60">
        <f>SUM(AG69:AG71)</f>
        <v>106</v>
      </c>
      <c r="AH72" s="47">
        <f t="shared" si="2"/>
        <v>102.9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36.200000000000003</v>
      </c>
      <c r="C73" s="45">
        <v>39</v>
      </c>
      <c r="D73" s="45">
        <v>29.2</v>
      </c>
      <c r="E73" s="45">
        <v>8.5</v>
      </c>
      <c r="F73" s="45">
        <v>6</v>
      </c>
      <c r="G73" s="45">
        <v>0</v>
      </c>
      <c r="H73" s="45">
        <v>28.1</v>
      </c>
      <c r="I73" s="45">
        <v>24.7</v>
      </c>
      <c r="J73" s="45">
        <v>29.7</v>
      </c>
      <c r="K73" s="45">
        <v>24.5</v>
      </c>
      <c r="L73" s="45">
        <v>35.700000000000003</v>
      </c>
      <c r="M73" s="45">
        <v>15.5</v>
      </c>
      <c r="N73" s="45">
        <v>18.5</v>
      </c>
      <c r="O73" s="45">
        <v>35.700000000000003</v>
      </c>
      <c r="P73" s="45">
        <v>40</v>
      </c>
      <c r="Q73" s="45">
        <v>44</v>
      </c>
      <c r="R73" s="45">
        <v>36</v>
      </c>
      <c r="S73" s="45">
        <v>36.299999999999997</v>
      </c>
      <c r="T73" s="45">
        <v>36.299999999999997</v>
      </c>
      <c r="U73" s="45">
        <v>36.299999999999997</v>
      </c>
      <c r="V73" s="45">
        <v>15.8</v>
      </c>
      <c r="W73" s="45">
        <v>56.8</v>
      </c>
      <c r="X73" s="45">
        <v>56.8</v>
      </c>
      <c r="Y73" s="45">
        <v>45.6</v>
      </c>
      <c r="Z73" s="45">
        <v>15.1</v>
      </c>
      <c r="AA73" s="45">
        <v>25</v>
      </c>
      <c r="AB73" s="45">
        <v>47.6</v>
      </c>
      <c r="AC73" s="45">
        <v>39.4</v>
      </c>
      <c r="AD73" s="45">
        <v>36.299999999999997</v>
      </c>
      <c r="AE73" s="45">
        <v>45.9</v>
      </c>
      <c r="AF73" s="45">
        <v>40.1</v>
      </c>
      <c r="AG73" s="51"/>
      <c r="AH73" s="47">
        <f t="shared" si="2"/>
        <v>56.8</v>
      </c>
      <c r="AI73" s="48">
        <f t="shared" si="3"/>
        <v>0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45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-246</v>
      </c>
      <c r="C75" s="64">
        <v>-253</v>
      </c>
      <c r="D75" s="64">
        <v>-271</v>
      </c>
      <c r="E75" s="64">
        <v>-261</v>
      </c>
      <c r="F75" s="64">
        <v>-292</v>
      </c>
      <c r="G75" s="64">
        <v>-300</v>
      </c>
      <c r="H75" s="64">
        <v>-348.7</v>
      </c>
      <c r="I75" s="64">
        <v>-334.5</v>
      </c>
      <c r="J75" s="64">
        <v>-312</v>
      </c>
      <c r="K75" s="64">
        <v>-309</v>
      </c>
      <c r="L75" s="64">
        <v>-315</v>
      </c>
      <c r="M75" s="64">
        <v>-255</v>
      </c>
      <c r="N75" s="64">
        <v>-270</v>
      </c>
      <c r="O75" s="64">
        <v>-315</v>
      </c>
      <c r="P75" s="64">
        <v>-315</v>
      </c>
      <c r="Q75" s="64">
        <v>-315</v>
      </c>
      <c r="R75" s="64">
        <v>-206</v>
      </c>
      <c r="S75" s="64">
        <v>-212.1</v>
      </c>
      <c r="T75" s="64">
        <v>-230</v>
      </c>
      <c r="U75" s="64">
        <v>-224</v>
      </c>
      <c r="V75" s="64">
        <v>-241.8</v>
      </c>
      <c r="W75" s="64">
        <v>-273</v>
      </c>
      <c r="X75" s="64">
        <v>-273</v>
      </c>
      <c r="Y75" s="64">
        <v>-300</v>
      </c>
      <c r="Z75" s="64">
        <v>-216</v>
      </c>
      <c r="AA75" s="45">
        <v>-200</v>
      </c>
      <c r="AB75" s="64">
        <v>-206</v>
      </c>
      <c r="AC75" s="64">
        <v>-196.3</v>
      </c>
      <c r="AD75" s="64">
        <v>-232.7</v>
      </c>
      <c r="AE75" s="64">
        <v>-211.9</v>
      </c>
      <c r="AF75" s="64">
        <v>-165</v>
      </c>
      <c r="AG75" s="75"/>
      <c r="AH75" s="47">
        <f t="shared" si="2"/>
        <v>-165</v>
      </c>
      <c r="AI75" s="48">
        <f t="shared" si="3"/>
        <v>-348.7</v>
      </c>
      <c r="AK75" s="74"/>
    </row>
    <row r="76" spans="1:40" x14ac:dyDescent="0.25">
      <c r="A76" s="53" t="s">
        <v>92</v>
      </c>
      <c r="B76" s="64">
        <v>21.7</v>
      </c>
      <c r="C76" s="64">
        <v>21.7</v>
      </c>
      <c r="D76" s="64">
        <v>21.3</v>
      </c>
      <c r="E76" s="76">
        <v>11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10</v>
      </c>
      <c r="U76" s="76">
        <v>10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45">
        <v>10</v>
      </c>
      <c r="AB76" s="76">
        <v>10</v>
      </c>
      <c r="AC76" s="76">
        <v>10</v>
      </c>
      <c r="AD76" s="76">
        <v>10</v>
      </c>
      <c r="AE76" s="76">
        <v>24</v>
      </c>
      <c r="AF76" s="76">
        <v>24</v>
      </c>
      <c r="AG76" s="75"/>
      <c r="AH76" s="47">
        <f t="shared" si="2"/>
        <v>24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31.4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16">MAX(B77:AF77)</f>
        <v>31.4</v>
      </c>
      <c r="AI77" s="48">
        <f t="shared" ref="AI77:AI120" si="17">MIN(B77:AF77)</f>
        <v>0</v>
      </c>
      <c r="AK77" s="74"/>
    </row>
    <row r="78" spans="1:40" x14ac:dyDescent="0.25">
      <c r="A78" s="53" t="s">
        <v>94</v>
      </c>
      <c r="B78" s="45">
        <v>0</v>
      </c>
      <c r="C78" s="45">
        <v>0</v>
      </c>
      <c r="D78" s="45">
        <v>0</v>
      </c>
      <c r="E78" s="45">
        <v>0</v>
      </c>
      <c r="F78" s="45">
        <v>0</v>
      </c>
      <c r="G78" s="45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45">
        <v>0</v>
      </c>
      <c r="AB78" s="45">
        <v>0</v>
      </c>
      <c r="AC78" s="45">
        <v>0</v>
      </c>
      <c r="AD78" s="45">
        <v>0</v>
      </c>
      <c r="AE78" s="45">
        <v>0</v>
      </c>
      <c r="AF78" s="45">
        <v>0</v>
      </c>
      <c r="AG78" s="75"/>
      <c r="AH78" s="47">
        <f t="shared" si="16"/>
        <v>0</v>
      </c>
      <c r="AI78" s="48">
        <f t="shared" si="17"/>
        <v>0</v>
      </c>
      <c r="AK78" s="74"/>
    </row>
    <row r="79" spans="1:40" ht="15.75" thickBot="1" x14ac:dyDescent="0.3">
      <c r="A79" s="53" t="s">
        <v>95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45">
        <v>0</v>
      </c>
      <c r="AB79" s="45">
        <v>0</v>
      </c>
      <c r="AC79" s="45">
        <v>0</v>
      </c>
      <c r="AD79" s="45">
        <v>0</v>
      </c>
      <c r="AE79" s="45">
        <v>0</v>
      </c>
      <c r="AF79" s="45">
        <v>0</v>
      </c>
      <c r="AG79" s="75"/>
      <c r="AH79" s="47">
        <f t="shared" si="16"/>
        <v>0</v>
      </c>
      <c r="AI79" s="48">
        <f t="shared" si="17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45">
        <v>0</v>
      </c>
      <c r="AB80" s="45">
        <v>0</v>
      </c>
      <c r="AC80" s="45">
        <v>0</v>
      </c>
      <c r="AD80" s="45">
        <v>0</v>
      </c>
      <c r="AE80" s="45">
        <v>0</v>
      </c>
      <c r="AF80" s="45">
        <v>0</v>
      </c>
      <c r="AG80" s="75"/>
      <c r="AH80" s="47">
        <f t="shared" si="16"/>
        <v>0</v>
      </c>
      <c r="AI80" s="48">
        <f t="shared" si="17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45">
        <v>0</v>
      </c>
      <c r="AB81" s="45">
        <v>0</v>
      </c>
      <c r="AC81" s="45">
        <v>0</v>
      </c>
      <c r="AD81" s="45">
        <v>0</v>
      </c>
      <c r="AE81" s="45">
        <v>0</v>
      </c>
      <c r="AF81" s="45">
        <v>0</v>
      </c>
      <c r="AG81" s="75"/>
      <c r="AH81" s="47">
        <f t="shared" si="16"/>
        <v>0</v>
      </c>
      <c r="AI81" s="48">
        <f t="shared" si="17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45">
        <v>0</v>
      </c>
      <c r="AB82" s="45">
        <v>0</v>
      </c>
      <c r="AC82" s="45">
        <v>0</v>
      </c>
      <c r="AD82" s="45">
        <v>0</v>
      </c>
      <c r="AE82" s="45">
        <v>0</v>
      </c>
      <c r="AF82" s="45">
        <v>0</v>
      </c>
      <c r="AG82" s="85"/>
      <c r="AH82" s="47">
        <f t="shared" si="16"/>
        <v>0</v>
      </c>
      <c r="AI82" s="48">
        <f t="shared" si="17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45">
        <v>0</v>
      </c>
      <c r="AB83" s="45">
        <v>0</v>
      </c>
      <c r="AC83" s="45">
        <v>0</v>
      </c>
      <c r="AD83" s="45">
        <v>0</v>
      </c>
      <c r="AE83" s="45">
        <v>0</v>
      </c>
      <c r="AF83" s="45">
        <v>0</v>
      </c>
      <c r="AG83" s="85"/>
      <c r="AH83" s="47">
        <f t="shared" si="16"/>
        <v>0</v>
      </c>
      <c r="AI83" s="48">
        <f t="shared" si="17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8">SUMIF(B73:B83,"&gt;0")</f>
        <v>89.300000000000011</v>
      </c>
      <c r="C84" s="59">
        <f t="shared" si="18"/>
        <v>60.7</v>
      </c>
      <c r="D84" s="59">
        <f t="shared" si="18"/>
        <v>50.5</v>
      </c>
      <c r="E84" s="59">
        <f t="shared" si="18"/>
        <v>19.5</v>
      </c>
      <c r="F84" s="59">
        <f t="shared" si="18"/>
        <v>6</v>
      </c>
      <c r="G84" s="59">
        <f t="shared" si="18"/>
        <v>0</v>
      </c>
      <c r="H84" s="59">
        <f t="shared" si="18"/>
        <v>28.1</v>
      </c>
      <c r="I84" s="59">
        <f t="shared" si="18"/>
        <v>24.7</v>
      </c>
      <c r="J84" s="59">
        <f t="shared" si="18"/>
        <v>29.7</v>
      </c>
      <c r="K84" s="59">
        <f t="shared" si="18"/>
        <v>24.5</v>
      </c>
      <c r="L84" s="59">
        <f t="shared" si="18"/>
        <v>35.700000000000003</v>
      </c>
      <c r="M84" s="59">
        <f t="shared" si="18"/>
        <v>15.5</v>
      </c>
      <c r="N84" s="59">
        <f t="shared" si="18"/>
        <v>18.5</v>
      </c>
      <c r="O84" s="59">
        <f t="shared" si="18"/>
        <v>35.700000000000003</v>
      </c>
      <c r="P84" s="59">
        <f t="shared" si="18"/>
        <v>40</v>
      </c>
      <c r="Q84" s="59">
        <f t="shared" si="18"/>
        <v>44</v>
      </c>
      <c r="R84" s="59">
        <f t="shared" si="18"/>
        <v>36</v>
      </c>
      <c r="S84" s="59">
        <f t="shared" si="18"/>
        <v>36.299999999999997</v>
      </c>
      <c r="T84" s="59">
        <f t="shared" ref="T84" si="19">SUMIF(T73:T83,"&gt;0")</f>
        <v>46.3</v>
      </c>
      <c r="U84" s="59">
        <f t="shared" si="18"/>
        <v>46.3</v>
      </c>
      <c r="V84" s="59">
        <f t="shared" si="18"/>
        <v>25.8</v>
      </c>
      <c r="W84" s="59">
        <f t="shared" si="18"/>
        <v>66.8</v>
      </c>
      <c r="X84" s="59">
        <f t="shared" ref="X84" si="20">SUMIF(X73:X83,"&gt;0")</f>
        <v>66.8</v>
      </c>
      <c r="Y84" s="59">
        <f t="shared" si="18"/>
        <v>55.6</v>
      </c>
      <c r="Z84" s="59">
        <f t="shared" si="18"/>
        <v>25.1</v>
      </c>
      <c r="AA84" s="45">
        <f>SUMIF(AA73:AA83,"&gt;0")</f>
        <v>35</v>
      </c>
      <c r="AB84" s="59">
        <f t="shared" si="18"/>
        <v>57.6</v>
      </c>
      <c r="AC84" s="59">
        <f t="shared" si="18"/>
        <v>49.4</v>
      </c>
      <c r="AD84" s="59">
        <f t="shared" si="18"/>
        <v>46.3</v>
      </c>
      <c r="AE84" s="59">
        <f t="shared" si="18"/>
        <v>69.900000000000006</v>
      </c>
      <c r="AF84" s="59">
        <f t="shared" si="18"/>
        <v>64.099999999999994</v>
      </c>
      <c r="AG84" s="88">
        <f>SUM(AG73:AG83)</f>
        <v>0</v>
      </c>
      <c r="AH84" s="47">
        <f t="shared" si="16"/>
        <v>89.300000000000011</v>
      </c>
      <c r="AI84" s="48">
        <f t="shared" si="17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45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6"/>
        <v>0</v>
      </c>
      <c r="AI85" s="48">
        <f t="shared" si="17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45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6"/>
        <v>0</v>
      </c>
      <c r="AI86" s="48">
        <f t="shared" si="17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45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6"/>
        <v>0</v>
      </c>
      <c r="AI87" s="48">
        <f t="shared" si="17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45">
        <f>SUM(AA85:AA87)</f>
        <v>0</v>
      </c>
      <c r="AB88" s="59"/>
      <c r="AC88" s="59"/>
      <c r="AD88" s="59"/>
      <c r="AE88" s="59"/>
      <c r="AF88" s="59"/>
      <c r="AG88" s="88">
        <f>SUM(AG85:AG87)</f>
        <v>55.4</v>
      </c>
      <c r="AH88" s="47">
        <f t="shared" si="16"/>
        <v>0</v>
      </c>
      <c r="AI88" s="48">
        <f t="shared" si="17"/>
        <v>0</v>
      </c>
    </row>
    <row r="89" spans="1:40" ht="15.75" thickBot="1" x14ac:dyDescent="0.3">
      <c r="A89" s="73" t="s">
        <v>108</v>
      </c>
      <c r="B89" s="95">
        <f t="shared" ref="B89:AG89" si="21">B50+B54+B72+B68+B84+B88</f>
        <v>1931.2499999999998</v>
      </c>
      <c r="C89" s="95">
        <f t="shared" si="21"/>
        <v>1873.95</v>
      </c>
      <c r="D89" s="95">
        <f t="shared" si="21"/>
        <v>1854.1499999999999</v>
      </c>
      <c r="E89" s="95">
        <f t="shared" si="21"/>
        <v>1810.2499999999998</v>
      </c>
      <c r="F89" s="95">
        <f t="shared" si="21"/>
        <v>1756.95</v>
      </c>
      <c r="G89" s="95">
        <f t="shared" si="21"/>
        <v>1810.65</v>
      </c>
      <c r="H89" s="95">
        <f t="shared" si="21"/>
        <v>1839.1499999999999</v>
      </c>
      <c r="I89" s="95">
        <f t="shared" si="21"/>
        <v>1842.75</v>
      </c>
      <c r="J89" s="95">
        <f t="shared" si="21"/>
        <v>1852.75</v>
      </c>
      <c r="K89" s="95">
        <f t="shared" si="21"/>
        <v>1874.95</v>
      </c>
      <c r="L89" s="95">
        <f t="shared" si="21"/>
        <v>1939.55</v>
      </c>
      <c r="M89" s="95">
        <f t="shared" si="21"/>
        <v>1863.4499999999998</v>
      </c>
      <c r="N89" s="95">
        <f t="shared" si="21"/>
        <v>1830.9499999999998</v>
      </c>
      <c r="O89" s="95">
        <f t="shared" si="21"/>
        <v>1858.1499999999999</v>
      </c>
      <c r="P89" s="95">
        <f t="shared" si="21"/>
        <v>1862.4499999999998</v>
      </c>
      <c r="Q89" s="95">
        <f t="shared" si="21"/>
        <v>1877.9499999999998</v>
      </c>
      <c r="R89" s="95">
        <f t="shared" si="21"/>
        <v>1874.9499999999998</v>
      </c>
      <c r="S89" s="95">
        <f t="shared" si="21"/>
        <v>1886.61</v>
      </c>
      <c r="T89" s="95">
        <f t="shared" ref="T89" si="22">T50+T54+T72+T68+T84+T88</f>
        <v>1896.61</v>
      </c>
      <c r="U89" s="95">
        <f t="shared" si="21"/>
        <v>1899.61</v>
      </c>
      <c r="V89" s="95">
        <f t="shared" si="21"/>
        <v>1863.8500000000001</v>
      </c>
      <c r="W89" s="95">
        <f t="shared" si="21"/>
        <v>1895.95</v>
      </c>
      <c r="X89" s="95">
        <f t="shared" ref="X89" si="23">X50+X54+X72+X68+X84+X88</f>
        <v>1895.95</v>
      </c>
      <c r="Y89" s="95">
        <f t="shared" si="21"/>
        <v>1861.6499999999999</v>
      </c>
      <c r="Z89" s="95">
        <f t="shared" si="21"/>
        <v>1845.1499999999999</v>
      </c>
      <c r="AA89" s="45">
        <f>SUM(AA50,AA54,AA68,AA72,AA84,AA88)</f>
        <v>1915.2499999999998</v>
      </c>
      <c r="AB89" s="95">
        <f t="shared" si="21"/>
        <v>1956.1499999999996</v>
      </c>
      <c r="AC89" s="95">
        <f t="shared" si="21"/>
        <v>1970.0499999999997</v>
      </c>
      <c r="AD89" s="95">
        <f t="shared" si="21"/>
        <v>1989.2499999999998</v>
      </c>
      <c r="AE89" s="95">
        <f t="shared" si="21"/>
        <v>1955.75</v>
      </c>
      <c r="AF89" s="95">
        <f t="shared" si="21"/>
        <v>1818.9499999999998</v>
      </c>
      <c r="AG89" s="60">
        <f t="shared" si="21"/>
        <v>2111.5500000000002</v>
      </c>
      <c r="AH89" s="47">
        <f t="shared" si="16"/>
        <v>1989.2499999999998</v>
      </c>
      <c r="AI89" s="48">
        <f t="shared" si="17"/>
        <v>1756.95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45">
        <v>70</v>
      </c>
      <c r="AB90" s="97">
        <v>40</v>
      </c>
      <c r="AC90" s="97">
        <v>40</v>
      </c>
      <c r="AD90" s="97">
        <v>40</v>
      </c>
      <c r="AE90" s="97">
        <v>40</v>
      </c>
      <c r="AF90" s="97">
        <v>100</v>
      </c>
      <c r="AG90" s="88"/>
      <c r="AH90" s="47">
        <f t="shared" si="16"/>
        <v>100</v>
      </c>
      <c r="AI90" s="48">
        <f t="shared" si="17"/>
        <v>40</v>
      </c>
    </row>
    <row r="91" spans="1:40" ht="15.75" thickBot="1" x14ac:dyDescent="0.3">
      <c r="A91" s="73" t="s">
        <v>110</v>
      </c>
      <c r="B91" s="95">
        <f t="shared" ref="B91:AF91" si="24">B89+B90</f>
        <v>1931.2499999999998</v>
      </c>
      <c r="C91" s="95">
        <f t="shared" si="24"/>
        <v>1873.95</v>
      </c>
      <c r="D91" s="95">
        <f t="shared" si="24"/>
        <v>1854.1499999999999</v>
      </c>
      <c r="E91" s="95">
        <f t="shared" si="24"/>
        <v>1810.2499999999998</v>
      </c>
      <c r="F91" s="95">
        <f t="shared" si="24"/>
        <v>1756.95</v>
      </c>
      <c r="G91" s="95">
        <f t="shared" si="24"/>
        <v>1810.65</v>
      </c>
      <c r="H91" s="95">
        <f t="shared" si="24"/>
        <v>1839.1499999999999</v>
      </c>
      <c r="I91" s="95">
        <f t="shared" si="24"/>
        <v>1842.75</v>
      </c>
      <c r="J91" s="95">
        <f t="shared" si="24"/>
        <v>1852.75</v>
      </c>
      <c r="K91" s="95">
        <f t="shared" si="24"/>
        <v>1874.95</v>
      </c>
      <c r="L91" s="95">
        <f t="shared" si="24"/>
        <v>1939.55</v>
      </c>
      <c r="M91" s="95">
        <f t="shared" si="24"/>
        <v>1863.4499999999998</v>
      </c>
      <c r="N91" s="95">
        <f t="shared" si="24"/>
        <v>1830.9499999999998</v>
      </c>
      <c r="O91" s="95">
        <f t="shared" si="24"/>
        <v>1858.1499999999999</v>
      </c>
      <c r="P91" s="95">
        <f t="shared" si="24"/>
        <v>1862.4499999999998</v>
      </c>
      <c r="Q91" s="95">
        <f t="shared" si="24"/>
        <v>1877.9499999999998</v>
      </c>
      <c r="R91" s="95">
        <f t="shared" si="24"/>
        <v>1874.9499999999998</v>
      </c>
      <c r="S91" s="95">
        <f t="shared" si="24"/>
        <v>1886.61</v>
      </c>
      <c r="T91" s="95">
        <f t="shared" ref="T91" si="25">T89+T90</f>
        <v>1896.61</v>
      </c>
      <c r="U91" s="95">
        <f t="shared" si="24"/>
        <v>1899.61</v>
      </c>
      <c r="V91" s="95">
        <f t="shared" si="24"/>
        <v>1863.8500000000001</v>
      </c>
      <c r="W91" s="95">
        <f t="shared" si="24"/>
        <v>1895.95</v>
      </c>
      <c r="X91" s="95">
        <f t="shared" ref="X91" si="26">X89+X90</f>
        <v>1895.95</v>
      </c>
      <c r="Y91" s="95">
        <f t="shared" si="24"/>
        <v>1861.6499999999999</v>
      </c>
      <c r="Z91" s="95">
        <f t="shared" si="24"/>
        <v>1845.1499999999999</v>
      </c>
      <c r="AA91" s="45">
        <f>SUM(AA89+AA90)</f>
        <v>1985.2499999999998</v>
      </c>
      <c r="AB91" s="95">
        <f t="shared" si="24"/>
        <v>1996.1499999999996</v>
      </c>
      <c r="AC91" s="95">
        <f t="shared" si="24"/>
        <v>2010.0499999999997</v>
      </c>
      <c r="AD91" s="95">
        <f t="shared" si="24"/>
        <v>2029.2499999999998</v>
      </c>
      <c r="AE91" s="95">
        <f t="shared" si="24"/>
        <v>1995.75</v>
      </c>
      <c r="AF91" s="95">
        <f t="shared" si="24"/>
        <v>1918.9499999999998</v>
      </c>
      <c r="AG91" s="88">
        <f>AG88+AG84+AG72+AG68+AG50+AG90</f>
        <v>1573.45</v>
      </c>
      <c r="AH91" s="47">
        <f t="shared" si="16"/>
        <v>2029.2499999999998</v>
      </c>
      <c r="AI91" s="48">
        <f t="shared" si="17"/>
        <v>1756.95</v>
      </c>
    </row>
    <row r="92" spans="1:40" ht="15.75" thickBot="1" x14ac:dyDescent="0.3">
      <c r="A92" s="73" t="s">
        <v>111</v>
      </c>
      <c r="B92" s="95">
        <f t="shared" ref="B92:AF92" si="27">B91-B99</f>
        <v>1931.2499999999998</v>
      </c>
      <c r="C92" s="95">
        <f t="shared" si="27"/>
        <v>1873.95</v>
      </c>
      <c r="D92" s="95">
        <f t="shared" si="27"/>
        <v>1854.1499999999999</v>
      </c>
      <c r="E92" s="95">
        <f t="shared" si="27"/>
        <v>1810.2499999999998</v>
      </c>
      <c r="F92" s="95">
        <f t="shared" si="27"/>
        <v>1756.95</v>
      </c>
      <c r="G92" s="95">
        <f t="shared" si="27"/>
        <v>1810.65</v>
      </c>
      <c r="H92" s="95">
        <f t="shared" si="27"/>
        <v>1839.1499999999999</v>
      </c>
      <c r="I92" s="95">
        <f t="shared" si="27"/>
        <v>1842.75</v>
      </c>
      <c r="J92" s="95">
        <f t="shared" si="27"/>
        <v>1852.75</v>
      </c>
      <c r="K92" s="95">
        <f t="shared" si="27"/>
        <v>1874.95</v>
      </c>
      <c r="L92" s="95">
        <f t="shared" si="27"/>
        <v>1939.55</v>
      </c>
      <c r="M92" s="95">
        <f t="shared" si="27"/>
        <v>1863.4499999999998</v>
      </c>
      <c r="N92" s="95">
        <f t="shared" si="27"/>
        <v>1830.9499999999998</v>
      </c>
      <c r="O92" s="95">
        <f t="shared" si="27"/>
        <v>1858.1499999999999</v>
      </c>
      <c r="P92" s="95">
        <f t="shared" si="27"/>
        <v>1862.4499999999998</v>
      </c>
      <c r="Q92" s="95">
        <f t="shared" si="27"/>
        <v>1877.9499999999998</v>
      </c>
      <c r="R92" s="95">
        <f t="shared" si="27"/>
        <v>1874.9499999999998</v>
      </c>
      <c r="S92" s="95">
        <f t="shared" si="27"/>
        <v>1886.61</v>
      </c>
      <c r="T92" s="95">
        <f t="shared" ref="T92" si="28">T91-T99</f>
        <v>1896.61</v>
      </c>
      <c r="U92" s="95">
        <f t="shared" si="27"/>
        <v>1899.61</v>
      </c>
      <c r="V92" s="95">
        <f t="shared" si="27"/>
        <v>1863.8500000000001</v>
      </c>
      <c r="W92" s="95">
        <f t="shared" si="27"/>
        <v>1895.95</v>
      </c>
      <c r="X92" s="95">
        <f t="shared" ref="X92" si="29">X91-X99</f>
        <v>1895.95</v>
      </c>
      <c r="Y92" s="95">
        <f t="shared" si="27"/>
        <v>1861.6499999999999</v>
      </c>
      <c r="Z92" s="95">
        <f t="shared" si="27"/>
        <v>1845.1499999999999</v>
      </c>
      <c r="AA92" s="45">
        <f>AA91-AA99</f>
        <v>1985.2499999999998</v>
      </c>
      <c r="AB92" s="95">
        <f t="shared" si="27"/>
        <v>1996.1499999999996</v>
      </c>
      <c r="AC92" s="95">
        <f t="shared" si="27"/>
        <v>2010.0499999999997</v>
      </c>
      <c r="AD92" s="95">
        <f t="shared" si="27"/>
        <v>2029.2499999999998</v>
      </c>
      <c r="AE92" s="95">
        <f t="shared" si="27"/>
        <v>1995.75</v>
      </c>
      <c r="AF92" s="95">
        <f t="shared" si="27"/>
        <v>1918.9499999999998</v>
      </c>
      <c r="AG92" s="88"/>
      <c r="AH92" s="47">
        <f t="shared" si="16"/>
        <v>2029.2499999999998</v>
      </c>
      <c r="AI92" s="48">
        <f t="shared" si="17"/>
        <v>1756.95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45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6"/>
        <v>0</v>
      </c>
      <c r="AI93" s="48">
        <f t="shared" si="17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45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6"/>
        <v>0</v>
      </c>
      <c r="AI94" s="48">
        <f t="shared" si="17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45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6"/>
        <v>0</v>
      </c>
      <c r="AI95" s="48">
        <f t="shared" si="17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45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6"/>
        <v>0</v>
      </c>
      <c r="AI96" s="48">
        <f t="shared" si="17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45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6"/>
        <v>0</v>
      </c>
      <c r="AI97" s="48">
        <f t="shared" si="17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45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6"/>
        <v>0</v>
      </c>
      <c r="AI98" s="48">
        <f t="shared" si="17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45">
        <f>SUM(AA93:AA98)</f>
        <v>0</v>
      </c>
      <c r="AB99" s="59"/>
      <c r="AC99" s="59"/>
      <c r="AD99" s="59"/>
      <c r="AE99" s="59"/>
      <c r="AF99" s="59"/>
      <c r="AG99" s="88"/>
      <c r="AH99" s="47">
        <f t="shared" si="16"/>
        <v>0</v>
      </c>
      <c r="AI99" s="48">
        <f t="shared" si="17"/>
        <v>0</v>
      </c>
      <c r="AK99" s="74"/>
    </row>
    <row r="100" spans="1:37" ht="15.75" thickBot="1" x14ac:dyDescent="0.3">
      <c r="A100" s="73" t="s">
        <v>116</v>
      </c>
      <c r="B100" s="59">
        <f t="shared" ref="B100:AF100" si="30">B84-B99</f>
        <v>89.300000000000011</v>
      </c>
      <c r="C100" s="59">
        <f t="shared" si="30"/>
        <v>60.7</v>
      </c>
      <c r="D100" s="59">
        <f t="shared" si="30"/>
        <v>50.5</v>
      </c>
      <c r="E100" s="59">
        <f t="shared" si="30"/>
        <v>19.5</v>
      </c>
      <c r="F100" s="59">
        <f t="shared" si="30"/>
        <v>6</v>
      </c>
      <c r="G100" s="59">
        <f t="shared" si="30"/>
        <v>0</v>
      </c>
      <c r="H100" s="59">
        <f t="shared" si="30"/>
        <v>28.1</v>
      </c>
      <c r="I100" s="59">
        <f t="shared" si="30"/>
        <v>24.7</v>
      </c>
      <c r="J100" s="59">
        <f t="shared" si="30"/>
        <v>29.7</v>
      </c>
      <c r="K100" s="59">
        <f t="shared" si="30"/>
        <v>24.5</v>
      </c>
      <c r="L100" s="59">
        <f t="shared" si="30"/>
        <v>35.700000000000003</v>
      </c>
      <c r="M100" s="59">
        <f t="shared" si="30"/>
        <v>15.5</v>
      </c>
      <c r="N100" s="59">
        <f t="shared" si="30"/>
        <v>18.5</v>
      </c>
      <c r="O100" s="59">
        <f t="shared" si="30"/>
        <v>35.700000000000003</v>
      </c>
      <c r="P100" s="59">
        <f t="shared" si="30"/>
        <v>40</v>
      </c>
      <c r="Q100" s="59">
        <f t="shared" si="30"/>
        <v>44</v>
      </c>
      <c r="R100" s="59">
        <f t="shared" si="30"/>
        <v>36</v>
      </c>
      <c r="S100" s="59">
        <f t="shared" si="30"/>
        <v>36.299999999999997</v>
      </c>
      <c r="T100" s="59">
        <f t="shared" ref="T100" si="31">T84-T99</f>
        <v>46.3</v>
      </c>
      <c r="U100" s="59">
        <f t="shared" si="30"/>
        <v>46.3</v>
      </c>
      <c r="V100" s="59">
        <f t="shared" si="30"/>
        <v>25.8</v>
      </c>
      <c r="W100" s="59">
        <f t="shared" si="30"/>
        <v>66.8</v>
      </c>
      <c r="X100" s="59">
        <f t="shared" si="30"/>
        <v>66.8</v>
      </c>
      <c r="Y100" s="59">
        <f t="shared" si="30"/>
        <v>55.6</v>
      </c>
      <c r="Z100" s="59">
        <f t="shared" si="30"/>
        <v>25.1</v>
      </c>
      <c r="AA100" s="45">
        <f>AA84-AA99</f>
        <v>35</v>
      </c>
      <c r="AB100" s="59">
        <f t="shared" si="30"/>
        <v>57.6</v>
      </c>
      <c r="AC100" s="59">
        <f t="shared" si="30"/>
        <v>49.4</v>
      </c>
      <c r="AD100" s="59">
        <f t="shared" si="30"/>
        <v>46.3</v>
      </c>
      <c r="AE100" s="59">
        <f t="shared" si="30"/>
        <v>69.900000000000006</v>
      </c>
      <c r="AF100" s="59">
        <f t="shared" si="30"/>
        <v>64.099999999999994</v>
      </c>
      <c r="AG100" s="88"/>
      <c r="AH100" s="47">
        <f t="shared" si="16"/>
        <v>89.300000000000011</v>
      </c>
      <c r="AI100" s="48">
        <f t="shared" si="17"/>
        <v>0</v>
      </c>
    </row>
    <row r="101" spans="1:37" x14ac:dyDescent="0.25">
      <c r="A101" s="100" t="s">
        <v>117</v>
      </c>
      <c r="B101" s="101">
        <v>50.148000000000003</v>
      </c>
      <c r="C101" s="101">
        <v>50.036000000000001</v>
      </c>
      <c r="D101" s="101">
        <v>49.975000000000001</v>
      </c>
      <c r="E101" s="101">
        <v>50.054000000000002</v>
      </c>
      <c r="F101" s="101">
        <v>50.061</v>
      </c>
      <c r="G101" s="101">
        <v>49.944000000000003</v>
      </c>
      <c r="H101" s="101">
        <v>50.018000000000001</v>
      </c>
      <c r="I101" s="101">
        <v>49.923000000000002</v>
      </c>
      <c r="J101" s="101">
        <v>49.951999999999998</v>
      </c>
      <c r="K101" s="101">
        <v>50.024999999999999</v>
      </c>
      <c r="L101" s="101">
        <v>49.948</v>
      </c>
      <c r="M101" s="101">
        <v>49.985999999999997</v>
      </c>
      <c r="N101" s="101">
        <v>50.093000000000004</v>
      </c>
      <c r="O101" s="101">
        <v>50.03</v>
      </c>
      <c r="P101" s="101">
        <v>50</v>
      </c>
      <c r="Q101" s="101">
        <v>49.92</v>
      </c>
      <c r="R101" s="101">
        <v>50.128999999999998</v>
      </c>
      <c r="S101" s="101">
        <v>50.01</v>
      </c>
      <c r="T101" s="101">
        <v>50.02</v>
      </c>
      <c r="U101" s="101">
        <v>49.94</v>
      </c>
      <c r="V101" s="101">
        <v>50.07</v>
      </c>
      <c r="W101" s="101">
        <v>50.02</v>
      </c>
      <c r="X101" s="101">
        <v>49.99</v>
      </c>
      <c r="Y101" s="101">
        <v>49.89</v>
      </c>
      <c r="Z101" s="101">
        <v>49.88</v>
      </c>
      <c r="AA101" s="45">
        <v>49.77</v>
      </c>
      <c r="AB101" s="45">
        <v>49.77</v>
      </c>
      <c r="AC101" s="101">
        <v>50.076999999999998</v>
      </c>
      <c r="AD101" s="101">
        <v>49.98</v>
      </c>
      <c r="AE101" s="101">
        <v>49.973999999999997</v>
      </c>
      <c r="AF101" s="101">
        <v>50.015999999999998</v>
      </c>
      <c r="AG101" s="102"/>
      <c r="AH101" s="47">
        <f t="shared" si="16"/>
        <v>50.148000000000003</v>
      </c>
      <c r="AI101" s="48">
        <f t="shared" si="17"/>
        <v>49.77</v>
      </c>
    </row>
    <row r="102" spans="1:37" x14ac:dyDescent="0.25">
      <c r="A102" s="103" t="s">
        <v>118</v>
      </c>
      <c r="B102" s="64">
        <v>123</v>
      </c>
      <c r="C102" s="64">
        <v>120.8</v>
      </c>
      <c r="D102" s="64">
        <v>122.6</v>
      </c>
      <c r="E102" s="64">
        <v>123.3</v>
      </c>
      <c r="F102" s="64">
        <v>122.4</v>
      </c>
      <c r="G102" s="64">
        <v>122.4</v>
      </c>
      <c r="H102" s="64">
        <v>122</v>
      </c>
      <c r="I102" s="64">
        <v>121.6</v>
      </c>
      <c r="J102" s="64">
        <v>119.5</v>
      </c>
      <c r="K102" s="64">
        <v>121</v>
      </c>
      <c r="L102" s="64">
        <v>121.4</v>
      </c>
      <c r="M102" s="64">
        <v>120.7</v>
      </c>
      <c r="N102" s="64">
        <v>122.5</v>
      </c>
      <c r="O102" s="64">
        <v>122.5</v>
      </c>
      <c r="P102" s="64">
        <v>122.5</v>
      </c>
      <c r="Q102" s="64">
        <v>122.5</v>
      </c>
      <c r="R102" s="64">
        <v>119.9</v>
      </c>
      <c r="S102" s="64">
        <v>119.6</v>
      </c>
      <c r="T102" s="64">
        <v>119.6</v>
      </c>
      <c r="U102" s="64">
        <v>123.1</v>
      </c>
      <c r="V102" s="64">
        <v>123.4</v>
      </c>
      <c r="W102" s="64">
        <v>122.5</v>
      </c>
      <c r="X102" s="64">
        <v>123</v>
      </c>
      <c r="Y102" s="64">
        <v>125.1</v>
      </c>
      <c r="Z102" s="64">
        <v>122.7</v>
      </c>
      <c r="AA102" s="45">
        <v>123.4</v>
      </c>
      <c r="AB102" s="45">
        <v>123.4</v>
      </c>
      <c r="AC102" s="64">
        <v>124.1</v>
      </c>
      <c r="AD102" s="64">
        <v>124.1</v>
      </c>
      <c r="AE102" s="64">
        <v>124.1</v>
      </c>
      <c r="AF102" s="64">
        <v>124.1</v>
      </c>
      <c r="AG102" s="104"/>
      <c r="AH102" s="47">
        <f t="shared" si="16"/>
        <v>125.1</v>
      </c>
      <c r="AI102" s="48">
        <f t="shared" si="17"/>
        <v>119.5</v>
      </c>
    </row>
    <row r="103" spans="1:37" x14ac:dyDescent="0.25">
      <c r="A103" s="103" t="s">
        <v>119</v>
      </c>
      <c r="B103" s="64">
        <v>129.19999999999999</v>
      </c>
      <c r="C103" s="64">
        <v>127.3</v>
      </c>
      <c r="D103" s="64">
        <v>128.5</v>
      </c>
      <c r="E103" s="64">
        <v>129.1</v>
      </c>
      <c r="F103" s="64">
        <v>128.69999999999999</v>
      </c>
      <c r="G103" s="64">
        <v>128.5</v>
      </c>
      <c r="H103" s="64">
        <v>127.9</v>
      </c>
      <c r="I103" s="64">
        <v>127.2</v>
      </c>
      <c r="J103" s="64">
        <v>125.3</v>
      </c>
      <c r="K103" s="64">
        <v>126.2</v>
      </c>
      <c r="L103" s="64">
        <v>126.3</v>
      </c>
      <c r="M103" s="64">
        <v>125.1</v>
      </c>
      <c r="N103" s="64">
        <v>126</v>
      </c>
      <c r="O103" s="64">
        <v>126</v>
      </c>
      <c r="P103" s="64">
        <v>126</v>
      </c>
      <c r="Q103" s="64">
        <v>126</v>
      </c>
      <c r="R103" s="64">
        <v>124.8</v>
      </c>
      <c r="S103" s="64">
        <v>124.6</v>
      </c>
      <c r="T103" s="64">
        <v>124.6</v>
      </c>
      <c r="U103" s="64">
        <v>127.4</v>
      </c>
      <c r="V103" s="64">
        <v>126.9</v>
      </c>
      <c r="W103" s="64">
        <v>126.4</v>
      </c>
      <c r="X103" s="64">
        <v>126.8</v>
      </c>
      <c r="Y103" s="64">
        <v>128.4</v>
      </c>
      <c r="Z103" s="64">
        <v>126.5</v>
      </c>
      <c r="AA103" s="45">
        <v>127.3</v>
      </c>
      <c r="AB103" s="45">
        <v>127.3</v>
      </c>
      <c r="AC103" s="64">
        <v>128.6</v>
      </c>
      <c r="AD103" s="64">
        <v>128.6</v>
      </c>
      <c r="AE103" s="64">
        <v>128.6</v>
      </c>
      <c r="AF103" s="64">
        <v>128.6</v>
      </c>
      <c r="AG103" s="104"/>
      <c r="AH103" s="47">
        <f t="shared" si="16"/>
        <v>129.19999999999999</v>
      </c>
      <c r="AI103" s="48">
        <f t="shared" si="17"/>
        <v>124.6</v>
      </c>
    </row>
    <row r="104" spans="1:37" x14ac:dyDescent="0.25">
      <c r="A104" s="103" t="s">
        <v>120</v>
      </c>
      <c r="B104" s="64">
        <v>126.5</v>
      </c>
      <c r="C104" s="64">
        <v>127.2</v>
      </c>
      <c r="D104" s="64">
        <v>126</v>
      </c>
      <c r="E104" s="64">
        <v>127.1</v>
      </c>
      <c r="F104" s="64">
        <v>126.8</v>
      </c>
      <c r="G104" s="64">
        <v>131.1</v>
      </c>
      <c r="H104" s="64">
        <v>130.19999999999999</v>
      </c>
      <c r="I104" s="64">
        <v>128.30000000000001</v>
      </c>
      <c r="J104" s="64">
        <v>123</v>
      </c>
      <c r="K104" s="64">
        <v>126.9</v>
      </c>
      <c r="L104" s="64">
        <v>128.5</v>
      </c>
      <c r="M104" s="64">
        <v>123.2</v>
      </c>
      <c r="N104" s="64">
        <v>125.4</v>
      </c>
      <c r="O104" s="64">
        <v>125.4</v>
      </c>
      <c r="P104" s="64">
        <v>125.4</v>
      </c>
      <c r="Q104" s="64">
        <v>125.4</v>
      </c>
      <c r="R104" s="64">
        <v>122.7</v>
      </c>
      <c r="S104" s="64">
        <v>124.9</v>
      </c>
      <c r="T104" s="64">
        <v>124.9</v>
      </c>
      <c r="U104" s="64">
        <v>128.1</v>
      </c>
      <c r="V104" s="64">
        <v>125.6</v>
      </c>
      <c r="W104" s="64">
        <v>127.6</v>
      </c>
      <c r="X104" s="64">
        <v>125.9</v>
      </c>
      <c r="Y104" s="64">
        <v>125.6</v>
      </c>
      <c r="Z104" s="64">
        <v>127</v>
      </c>
      <c r="AA104" s="45">
        <v>117</v>
      </c>
      <c r="AB104" s="45">
        <v>117</v>
      </c>
      <c r="AC104" s="64">
        <v>122.8</v>
      </c>
      <c r="AD104" s="64">
        <v>122.8</v>
      </c>
      <c r="AE104" s="64">
        <v>122.8</v>
      </c>
      <c r="AF104" s="64">
        <v>122.8</v>
      </c>
      <c r="AG104" s="104"/>
      <c r="AH104" s="47">
        <f t="shared" si="16"/>
        <v>131.1</v>
      </c>
      <c r="AI104" s="48">
        <f t="shared" si="17"/>
        <v>117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45"/>
      <c r="AB105" s="45"/>
      <c r="AC105" s="64"/>
      <c r="AD105" s="64"/>
      <c r="AE105" s="64"/>
      <c r="AF105" s="64"/>
      <c r="AG105" s="104"/>
      <c r="AH105" s="47">
        <f t="shared" si="16"/>
        <v>0</v>
      </c>
      <c r="AI105" s="48">
        <f t="shared" si="17"/>
        <v>0</v>
      </c>
    </row>
    <row r="106" spans="1:37" x14ac:dyDescent="0.25">
      <c r="A106" s="105" t="s">
        <v>122</v>
      </c>
      <c r="B106" s="106">
        <v>132.30000000000001</v>
      </c>
      <c r="C106" s="106">
        <v>128.6</v>
      </c>
      <c r="D106" s="106">
        <v>134.19999999999999</v>
      </c>
      <c r="E106" s="106">
        <v>131.5</v>
      </c>
      <c r="F106" s="106">
        <v>132.80000000000001</v>
      </c>
      <c r="G106" s="106">
        <v>131.69999999999999</v>
      </c>
      <c r="H106" s="106">
        <v>133.80000000000001</v>
      </c>
      <c r="I106" s="106">
        <v>132.4</v>
      </c>
      <c r="J106" s="106">
        <v>131.69999999999999</v>
      </c>
      <c r="K106" s="106">
        <v>132.80000000000001</v>
      </c>
      <c r="L106" s="106">
        <v>128.69999999999999</v>
      </c>
      <c r="M106" s="106">
        <v>130.6</v>
      </c>
      <c r="N106" s="106">
        <v>129</v>
      </c>
      <c r="O106" s="106">
        <v>129</v>
      </c>
      <c r="P106" s="106">
        <v>129</v>
      </c>
      <c r="Q106" s="106">
        <v>129</v>
      </c>
      <c r="R106" s="106">
        <v>130.19999999999999</v>
      </c>
      <c r="S106" s="106">
        <v>126.8</v>
      </c>
      <c r="T106" s="106">
        <v>126.8</v>
      </c>
      <c r="U106" s="106">
        <v>130.19999999999999</v>
      </c>
      <c r="V106" s="106">
        <v>127.9</v>
      </c>
      <c r="W106" s="106">
        <v>129.19999999999999</v>
      </c>
      <c r="X106" s="106">
        <v>130.1</v>
      </c>
      <c r="Y106" s="106">
        <v>129.6</v>
      </c>
      <c r="Z106" s="106">
        <v>130.80000000000001</v>
      </c>
      <c r="AA106" s="45">
        <v>133.5</v>
      </c>
      <c r="AB106" s="45">
        <v>133.5</v>
      </c>
      <c r="AC106" s="106">
        <v>132.6</v>
      </c>
      <c r="AD106" s="106">
        <v>132.6</v>
      </c>
      <c r="AE106" s="106">
        <v>132.6</v>
      </c>
      <c r="AF106" s="106">
        <v>132.6</v>
      </c>
      <c r="AG106" s="107"/>
      <c r="AH106" s="47">
        <f t="shared" si="16"/>
        <v>134.19999999999999</v>
      </c>
      <c r="AI106" s="48">
        <f t="shared" si="17"/>
        <v>126.8</v>
      </c>
    </row>
    <row r="107" spans="1:37" x14ac:dyDescent="0.25">
      <c r="A107" s="103" t="s">
        <v>123</v>
      </c>
      <c r="B107" s="64">
        <v>131.19999999999999</v>
      </c>
      <c r="C107" s="64">
        <v>126.7</v>
      </c>
      <c r="D107" s="64">
        <v>134.4</v>
      </c>
      <c r="E107" s="64">
        <v>131.5</v>
      </c>
      <c r="F107" s="64">
        <v>134</v>
      </c>
      <c r="G107" s="64">
        <v>132.4</v>
      </c>
      <c r="H107" s="64">
        <v>135.4</v>
      </c>
      <c r="I107" s="64">
        <v>133.69999999999999</v>
      </c>
      <c r="J107" s="64">
        <v>131.6</v>
      </c>
      <c r="K107" s="64">
        <v>133.6</v>
      </c>
      <c r="L107" s="64">
        <v>129.80000000000001</v>
      </c>
      <c r="M107" s="64">
        <v>126.9</v>
      </c>
      <c r="N107" s="64">
        <v>124.7</v>
      </c>
      <c r="O107" s="64">
        <v>124.7</v>
      </c>
      <c r="P107" s="64">
        <v>124.7</v>
      </c>
      <c r="Q107" s="64">
        <v>124.7</v>
      </c>
      <c r="R107" s="64">
        <v>128.69999999999999</v>
      </c>
      <c r="S107" s="64">
        <v>126.1</v>
      </c>
      <c r="T107" s="64">
        <v>126.1</v>
      </c>
      <c r="U107" s="64">
        <v>133.19999999999999</v>
      </c>
      <c r="V107" s="64">
        <v>130.19999999999999</v>
      </c>
      <c r="W107" s="64">
        <v>128.80000000000001</v>
      </c>
      <c r="X107" s="64">
        <v>130.1</v>
      </c>
      <c r="Y107" s="64">
        <v>127.6</v>
      </c>
      <c r="Z107" s="64">
        <v>125</v>
      </c>
      <c r="AA107" s="45">
        <v>126.5</v>
      </c>
      <c r="AB107" s="45">
        <v>126.5</v>
      </c>
      <c r="AC107" s="64">
        <v>123.7</v>
      </c>
      <c r="AD107" s="64">
        <v>123.7</v>
      </c>
      <c r="AE107" s="64">
        <v>123.7</v>
      </c>
      <c r="AF107" s="64">
        <v>123.7</v>
      </c>
      <c r="AG107" s="104"/>
      <c r="AH107" s="47">
        <f t="shared" si="16"/>
        <v>135.4</v>
      </c>
      <c r="AI107" s="48">
        <f t="shared" si="17"/>
        <v>123.7</v>
      </c>
    </row>
    <row r="108" spans="1:37" ht="15.75" thickBot="1" x14ac:dyDescent="0.3">
      <c r="A108" s="103" t="s">
        <v>124</v>
      </c>
      <c r="B108" s="92">
        <v>64.8</v>
      </c>
      <c r="C108" s="92">
        <v>63.7</v>
      </c>
      <c r="D108" s="92">
        <v>64.5</v>
      </c>
      <c r="E108" s="92">
        <v>65</v>
      </c>
      <c r="F108" s="92">
        <v>64.8</v>
      </c>
      <c r="G108" s="92">
        <v>64.599999999999994</v>
      </c>
      <c r="H108" s="92">
        <v>64.3</v>
      </c>
      <c r="I108" s="92">
        <v>64</v>
      </c>
      <c r="J108" s="92">
        <v>63</v>
      </c>
      <c r="K108" s="92">
        <v>63.5</v>
      </c>
      <c r="L108" s="92">
        <v>63.3</v>
      </c>
      <c r="M108" s="92">
        <v>62.4</v>
      </c>
      <c r="N108" s="92">
        <v>63</v>
      </c>
      <c r="O108" s="92">
        <v>63</v>
      </c>
      <c r="P108" s="92">
        <v>63</v>
      </c>
      <c r="Q108" s="92">
        <v>63</v>
      </c>
      <c r="R108" s="92">
        <v>62.4</v>
      </c>
      <c r="S108" s="92">
        <v>62.4</v>
      </c>
      <c r="T108" s="92">
        <v>62.4</v>
      </c>
      <c r="U108" s="92">
        <v>64</v>
      </c>
      <c r="V108" s="92">
        <v>63.6</v>
      </c>
      <c r="W108" s="92">
        <v>62.6</v>
      </c>
      <c r="X108" s="92">
        <v>63.5</v>
      </c>
      <c r="Y108" s="92">
        <v>64.400000000000006</v>
      </c>
      <c r="Z108" s="92">
        <v>63.7</v>
      </c>
      <c r="AA108" s="45">
        <v>63.2</v>
      </c>
      <c r="AB108" s="45">
        <v>63.2</v>
      </c>
      <c r="AC108" s="92">
        <v>64.599999999999994</v>
      </c>
      <c r="AD108" s="92">
        <v>64.599999999999994</v>
      </c>
      <c r="AE108" s="92">
        <v>64.599999999999994</v>
      </c>
      <c r="AF108" s="92">
        <v>64.599999999999994</v>
      </c>
      <c r="AG108" s="108"/>
      <c r="AH108" s="47">
        <f t="shared" si="16"/>
        <v>65</v>
      </c>
      <c r="AI108" s="48">
        <f t="shared" si="17"/>
        <v>62.4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45" t="str">
        <f>IF(AA92=MAX($B$93:$G$93),"PN","")</f>
        <v/>
      </c>
      <c r="AB109" s="92"/>
      <c r="AC109" s="92"/>
      <c r="AD109" s="92"/>
      <c r="AE109" s="92"/>
      <c r="AF109" s="92"/>
      <c r="AG109" s="108"/>
      <c r="AH109" s="47">
        <f t="shared" si="16"/>
        <v>0</v>
      </c>
      <c r="AI109" s="48">
        <f t="shared" si="17"/>
        <v>0</v>
      </c>
    </row>
    <row r="110" spans="1:37" ht="15.75" thickBot="1" x14ac:dyDescent="0.3">
      <c r="A110" s="110" t="s">
        <v>126</v>
      </c>
      <c r="B110" s="111">
        <f t="shared" ref="B110:O110" si="32">SUM(B20,B26,B29:B30,B58,B60:B61,B63,B65,B111:B115,B138,B144,B150,B159,B161,B173,B180,B183:B184,B191,B193,B195,B199:B201,B203:B205,B210,B216:B217,B219:B221,B229,B234)</f>
        <v>67.800000000000011</v>
      </c>
      <c r="C110" s="111">
        <f t="shared" si="32"/>
        <v>54.739999999999981</v>
      </c>
      <c r="D110" s="111">
        <f t="shared" si="32"/>
        <v>-8.36</v>
      </c>
      <c r="E110" s="111">
        <f t="shared" si="32"/>
        <v>50.740000000000023</v>
      </c>
      <c r="F110" s="111">
        <f t="shared" si="32"/>
        <v>-7.3600000000000074</v>
      </c>
      <c r="G110" s="111">
        <f t="shared" si="32"/>
        <v>70.939999999999984</v>
      </c>
      <c r="H110" s="111">
        <f t="shared" si="32"/>
        <v>94.139999999999986</v>
      </c>
      <c r="I110" s="111">
        <f t="shared" si="32"/>
        <v>96.04000000000002</v>
      </c>
      <c r="J110" s="111">
        <f t="shared" si="32"/>
        <v>157.44000000000003</v>
      </c>
      <c r="K110" s="111">
        <f t="shared" si="32"/>
        <v>183.54</v>
      </c>
      <c r="L110" s="111">
        <f t="shared" si="32"/>
        <v>200.34000000000006</v>
      </c>
      <c r="M110" s="111">
        <f t="shared" si="32"/>
        <v>197.34000000000003</v>
      </c>
      <c r="N110" s="111">
        <f t="shared" si="32"/>
        <v>215.14</v>
      </c>
      <c r="O110" s="111">
        <f t="shared" si="32"/>
        <v>405.84000000000003</v>
      </c>
      <c r="P110" s="111">
        <v>42</v>
      </c>
      <c r="Q110" s="111">
        <f t="shared" ref="Q110:AF110" si="33">SUM(Q20,Q26,Q29:Q30,Q58,Q60:Q61,Q63,Q65,Q111:Q115,Q138,Q144,Q150,Q159,Q161,Q173,Q180,Q183:Q184,Q191,Q193,Q195,Q199:Q201,Q203:Q205,Q210,Q216:Q217,Q219:Q221,Q229,Q234)</f>
        <v>178.1</v>
      </c>
      <c r="R110" s="111">
        <f t="shared" si="33"/>
        <v>209.5</v>
      </c>
      <c r="S110" s="111">
        <f t="shared" si="33"/>
        <v>247.8</v>
      </c>
      <c r="T110" s="111">
        <f t="shared" ref="T110" si="34">SUM(T20,T26,T29:T30,T58,T60:T61,T63,T65,T111:T115,T138,T144,T150,T159,T161,T173,T180,T183:T184,T191,T193,T195,T199:T201,T203:T205,T210,T216:T217,T219:T221,T229,T234)</f>
        <v>247.8</v>
      </c>
      <c r="U110" s="111">
        <f>SUM(U20,U26,U29:U30,U58,U60:U61,U63,U65,U111:U115,U138,U144,U150,U159,U161,U173,U180,U183:U184,U191,U193,U195,U199:U201,U203:U205,U210,U216:U217,U219:U221,U229,U234)</f>
        <v>285.3</v>
      </c>
      <c r="V110" s="111">
        <f>SUM(V20,V26,V29:V30,V58,V60:V61,V63,V65,V111:V115,V138,V144,V150,V159,V161,V173,V180,V183:V184,V191,V193,V195,V199:V201,V203:V205,V210,V216:V217,V219:V221,V229,V234)</f>
        <v>239.10000000000002</v>
      </c>
      <c r="W110" s="111">
        <f t="shared" si="33"/>
        <v>183.5</v>
      </c>
      <c r="X110" s="111">
        <f t="shared" si="33"/>
        <v>184.29999999999995</v>
      </c>
      <c r="Y110" s="111">
        <f t="shared" si="33"/>
        <v>204</v>
      </c>
      <c r="Z110" s="111">
        <f t="shared" si="33"/>
        <v>297.70000000000005</v>
      </c>
      <c r="AA110" s="45">
        <f>SUM(AA155,AA111:AA115,AA14,AA23,AA29,AA37,AA40,AA58,AA60:AA61,AA63,AA65)</f>
        <v>252.50000000000003</v>
      </c>
      <c r="AB110" s="111">
        <f t="shared" si="33"/>
        <v>193.8</v>
      </c>
      <c r="AC110" s="111">
        <f t="shared" si="33"/>
        <v>184.60000000000002</v>
      </c>
      <c r="AD110" s="111"/>
      <c r="AE110" s="111">
        <f t="shared" si="33"/>
        <v>115.69999999999997</v>
      </c>
      <c r="AF110" s="111">
        <f t="shared" si="33"/>
        <v>65.400000000000006</v>
      </c>
      <c r="AG110" s="112"/>
      <c r="AH110" s="47">
        <f t="shared" si="16"/>
        <v>405.84000000000003</v>
      </c>
      <c r="AI110" s="48">
        <f t="shared" si="17"/>
        <v>-8.36</v>
      </c>
    </row>
    <row r="111" spans="1:37" x14ac:dyDescent="0.25">
      <c r="A111" s="100" t="s">
        <v>127</v>
      </c>
      <c r="B111" s="113">
        <v>23.5</v>
      </c>
      <c r="C111" s="113">
        <v>26.7</v>
      </c>
      <c r="D111" s="113">
        <v>35.5</v>
      </c>
      <c r="E111" s="113">
        <v>20.9</v>
      </c>
      <c r="F111" s="113">
        <v>29</v>
      </c>
      <c r="G111" s="113">
        <v>33.9</v>
      </c>
      <c r="H111" s="113">
        <v>47.1</v>
      </c>
      <c r="I111" s="113">
        <v>47.1</v>
      </c>
      <c r="J111" s="113">
        <v>57.3</v>
      </c>
      <c r="K111" s="113">
        <v>54.6</v>
      </c>
      <c r="L111" s="113">
        <v>54.9</v>
      </c>
      <c r="M111" s="113">
        <v>48.2</v>
      </c>
      <c r="N111" s="113">
        <v>45.5</v>
      </c>
      <c r="O111" s="113">
        <v>71</v>
      </c>
      <c r="P111" s="113">
        <v>50</v>
      </c>
      <c r="Q111" s="113">
        <v>45</v>
      </c>
      <c r="R111" s="113">
        <v>28.9</v>
      </c>
      <c r="S111" s="113">
        <v>29.9</v>
      </c>
      <c r="T111" s="113">
        <v>29.9</v>
      </c>
      <c r="U111" s="113">
        <v>32.700000000000003</v>
      </c>
      <c r="V111" s="113">
        <v>24.7</v>
      </c>
      <c r="W111" s="113">
        <v>26.3</v>
      </c>
      <c r="X111" s="113">
        <v>30.5</v>
      </c>
      <c r="Y111" s="113">
        <v>31.7</v>
      </c>
      <c r="Z111" s="113">
        <v>35.4</v>
      </c>
      <c r="AA111" s="45">
        <v>33.200000000000003</v>
      </c>
      <c r="AB111" s="113">
        <v>37.4</v>
      </c>
      <c r="AC111" s="113">
        <v>31.2</v>
      </c>
      <c r="AD111" s="113">
        <v>32.200000000000003</v>
      </c>
      <c r="AE111" s="113">
        <v>43.3</v>
      </c>
      <c r="AF111" s="113">
        <v>19.600000000000001</v>
      </c>
      <c r="AG111" s="114">
        <v>75</v>
      </c>
      <c r="AH111" s="47">
        <f t="shared" si="16"/>
        <v>71</v>
      </c>
      <c r="AI111" s="48">
        <f t="shared" si="17"/>
        <v>19.600000000000001</v>
      </c>
    </row>
    <row r="112" spans="1:37" x14ac:dyDescent="0.25">
      <c r="A112" s="103" t="s">
        <v>128</v>
      </c>
      <c r="B112" s="115">
        <v>46.2</v>
      </c>
      <c r="C112" s="115">
        <v>50</v>
      </c>
      <c r="D112" s="115" t="s">
        <v>285</v>
      </c>
      <c r="E112" s="115">
        <v>41.5</v>
      </c>
      <c r="F112" s="115">
        <v>52.2</v>
      </c>
      <c r="G112" s="115">
        <v>58.9</v>
      </c>
      <c r="H112" s="115">
        <v>78.099999999999994</v>
      </c>
      <c r="I112" s="115">
        <v>78.099999999999994</v>
      </c>
      <c r="J112" s="115">
        <v>86.8</v>
      </c>
      <c r="K112" s="115">
        <v>82.1</v>
      </c>
      <c r="L112" s="115">
        <v>82.9</v>
      </c>
      <c r="M112" s="115">
        <v>47.5</v>
      </c>
      <c r="N112" s="115">
        <v>62.8</v>
      </c>
      <c r="O112" s="115">
        <v>50</v>
      </c>
      <c r="P112" s="115">
        <v>50</v>
      </c>
      <c r="Q112" s="115">
        <v>45</v>
      </c>
      <c r="R112" s="115">
        <v>43.6</v>
      </c>
      <c r="S112" s="115">
        <v>45.8</v>
      </c>
      <c r="T112" s="115">
        <v>45.8</v>
      </c>
      <c r="U112" s="115">
        <v>51.7</v>
      </c>
      <c r="V112" s="115">
        <v>35.4</v>
      </c>
      <c r="W112" s="115">
        <v>39</v>
      </c>
      <c r="X112" s="115">
        <v>45.3</v>
      </c>
      <c r="Y112" s="115">
        <v>46.9</v>
      </c>
      <c r="Z112" s="115">
        <v>49.7</v>
      </c>
      <c r="AA112" s="45">
        <v>49.3</v>
      </c>
      <c r="AB112" s="115">
        <v>56.7</v>
      </c>
      <c r="AC112" s="115">
        <v>48</v>
      </c>
      <c r="AD112" s="115">
        <v>51.7</v>
      </c>
      <c r="AE112" s="115">
        <v>70.400000000000006</v>
      </c>
      <c r="AF112" s="115">
        <v>31</v>
      </c>
      <c r="AG112" s="114">
        <v>240</v>
      </c>
      <c r="AH112" s="47">
        <f t="shared" si="16"/>
        <v>86.8</v>
      </c>
      <c r="AI112" s="48">
        <f t="shared" si="17"/>
        <v>31</v>
      </c>
    </row>
    <row r="113" spans="1:37" x14ac:dyDescent="0.25">
      <c r="A113" s="103" t="s">
        <v>129</v>
      </c>
      <c r="B113" s="115">
        <v>-170</v>
      </c>
      <c r="C113" s="115">
        <v>-180</v>
      </c>
      <c r="D113" s="115">
        <v>-198</v>
      </c>
      <c r="E113" s="115">
        <f>-83.8-89.9</f>
        <v>-173.7</v>
      </c>
      <c r="F113" s="115">
        <f>-94-99.1</f>
        <v>-193.1</v>
      </c>
      <c r="G113" s="115">
        <f>-91-97</f>
        <v>-188</v>
      </c>
      <c r="H113" s="115">
        <f>-96.7-101</f>
        <v>-197.7</v>
      </c>
      <c r="I113" s="115">
        <f>-96.7-101</f>
        <v>-197.7</v>
      </c>
      <c r="J113" s="115">
        <f>-78.3-82.6</f>
        <v>-160.89999999999998</v>
      </c>
      <c r="K113" s="115">
        <f>-71.7-77.9</f>
        <v>-149.60000000000002</v>
      </c>
      <c r="L113" s="115">
        <f>-68.5-79.2</f>
        <v>-147.69999999999999</v>
      </c>
      <c r="M113" s="115">
        <v>-90</v>
      </c>
      <c r="N113" s="115">
        <v>-76</v>
      </c>
      <c r="O113" s="115">
        <v>96</v>
      </c>
      <c r="P113" s="115">
        <v>96</v>
      </c>
      <c r="Q113" s="115">
        <v>-106</v>
      </c>
      <c r="R113" s="115">
        <v>-67</v>
      </c>
      <c r="S113" s="115">
        <v>-35.200000000000003</v>
      </c>
      <c r="T113" s="115">
        <v>-35.200000000000003</v>
      </c>
      <c r="U113" s="115"/>
      <c r="V113" s="115">
        <v>-57.2</v>
      </c>
      <c r="W113" s="115">
        <f>-58.2-56.1</f>
        <v>-114.30000000000001</v>
      </c>
      <c r="X113" s="115">
        <f>-58.5-56.7</f>
        <v>-115.2</v>
      </c>
      <c r="Y113" s="115">
        <f>-41.8-44.7</f>
        <v>-86.5</v>
      </c>
      <c r="Z113" s="115">
        <f>-23.5-24.7</f>
        <v>-48.2</v>
      </c>
      <c r="AA113" s="45">
        <f>-28.1-26.1</f>
        <v>-54.2</v>
      </c>
      <c r="AB113" s="115">
        <f>-48.6-57.6</f>
        <v>-106.2</v>
      </c>
      <c r="AC113" s="115">
        <f>-49-59.8</f>
        <v>-108.8</v>
      </c>
      <c r="AD113" s="115">
        <v>-126.7</v>
      </c>
      <c r="AE113" s="115">
        <v>-176</v>
      </c>
      <c r="AF113" s="115">
        <v>-166.3</v>
      </c>
      <c r="AG113" s="114">
        <v>240</v>
      </c>
      <c r="AH113" s="47">
        <f t="shared" si="16"/>
        <v>96</v>
      </c>
      <c r="AI113" s="48">
        <f t="shared" si="17"/>
        <v>-198</v>
      </c>
    </row>
    <row r="114" spans="1:37" x14ac:dyDescent="0.25">
      <c r="A114" s="103" t="s">
        <v>130</v>
      </c>
      <c r="B114" s="115">
        <v>-14</v>
      </c>
      <c r="C114" s="115">
        <v>-25</v>
      </c>
      <c r="D114" s="115">
        <v>-26.3</v>
      </c>
      <c r="E114" s="115">
        <v>-13.8</v>
      </c>
      <c r="F114" s="115">
        <v>-18.3</v>
      </c>
      <c r="G114" s="115">
        <v>-17.2</v>
      </c>
      <c r="H114" s="115">
        <v>-14.9</v>
      </c>
      <c r="I114" s="115">
        <v>-14.9</v>
      </c>
      <c r="J114" s="115">
        <v>-9.6999999999999993</v>
      </c>
      <c r="K114" s="115">
        <v>12</v>
      </c>
      <c r="L114" s="115">
        <v>24.9</v>
      </c>
      <c r="M114" s="115">
        <v>5.9</v>
      </c>
      <c r="N114" s="115">
        <v>7.5</v>
      </c>
      <c r="O114" s="115">
        <v>7.8</v>
      </c>
      <c r="P114" s="115">
        <v>7.8</v>
      </c>
      <c r="Q114" s="115">
        <v>14</v>
      </c>
      <c r="R114" s="115">
        <v>23.9</v>
      </c>
      <c r="S114" s="115">
        <v>24.7</v>
      </c>
      <c r="T114" s="115">
        <v>24.7</v>
      </c>
      <c r="U114" s="115">
        <v>17.8</v>
      </c>
      <c r="V114" s="115">
        <v>10.6</v>
      </c>
      <c r="W114" s="115">
        <v>7.6</v>
      </c>
      <c r="X114" s="115">
        <v>0.6</v>
      </c>
      <c r="Y114" s="115">
        <v>3.1</v>
      </c>
      <c r="Z114" s="115">
        <v>10</v>
      </c>
      <c r="AA114" s="45">
        <v>28.3</v>
      </c>
      <c r="AB114" s="115">
        <v>26</v>
      </c>
      <c r="AC114" s="115">
        <v>33.799999999999997</v>
      </c>
      <c r="AD114" s="115">
        <v>30.3</v>
      </c>
      <c r="AE114" s="115">
        <v>-3.2</v>
      </c>
      <c r="AF114" s="115">
        <v>0</v>
      </c>
      <c r="AG114" s="114">
        <v>60</v>
      </c>
      <c r="AH114" s="47">
        <f t="shared" si="16"/>
        <v>33.799999999999997</v>
      </c>
      <c r="AI114" s="48">
        <f t="shared" si="17"/>
        <v>-26.3</v>
      </c>
    </row>
    <row r="115" spans="1:37" x14ac:dyDescent="0.25">
      <c r="A115" s="116" t="s">
        <v>131</v>
      </c>
      <c r="B115" s="117">
        <v>19</v>
      </c>
      <c r="C115" s="117">
        <v>19</v>
      </c>
      <c r="D115" s="117">
        <v>19</v>
      </c>
      <c r="E115" s="117">
        <v>19.100000000000001</v>
      </c>
      <c r="F115" s="117">
        <v>18.899999999999999</v>
      </c>
      <c r="G115" s="117">
        <v>18.5</v>
      </c>
      <c r="H115" s="117">
        <v>18.100000000000001</v>
      </c>
      <c r="I115" s="117">
        <v>18.100000000000001</v>
      </c>
      <c r="J115" s="117">
        <v>17.600000000000001</v>
      </c>
      <c r="K115" s="117">
        <v>17.600000000000001</v>
      </c>
      <c r="L115" s="117">
        <v>18</v>
      </c>
      <c r="M115" s="117">
        <v>18.399999999999999</v>
      </c>
      <c r="N115" s="117">
        <v>12.3</v>
      </c>
      <c r="O115" s="117">
        <v>18</v>
      </c>
      <c r="P115" s="117">
        <v>18</v>
      </c>
      <c r="Q115" s="117">
        <v>18</v>
      </c>
      <c r="R115" s="117">
        <v>18</v>
      </c>
      <c r="S115" s="117">
        <v>18.2</v>
      </c>
      <c r="T115" s="117">
        <v>18.2</v>
      </c>
      <c r="U115" s="117">
        <v>18.7</v>
      </c>
      <c r="V115" s="117">
        <v>56.9</v>
      </c>
      <c r="W115" s="117">
        <v>59.3</v>
      </c>
      <c r="X115" s="117">
        <v>57.5</v>
      </c>
      <c r="Y115" s="117">
        <v>45.6</v>
      </c>
      <c r="Z115" s="117">
        <v>87.6</v>
      </c>
      <c r="AA115" s="45">
        <v>14.1</v>
      </c>
      <c r="AB115" s="117">
        <v>16.7</v>
      </c>
      <c r="AC115" s="117">
        <v>17.2</v>
      </c>
      <c r="AD115" s="117">
        <v>17.399999999999999</v>
      </c>
      <c r="AE115" s="117">
        <v>18</v>
      </c>
      <c r="AF115" s="117">
        <v>17.899999999999999</v>
      </c>
      <c r="AG115" s="118">
        <v>120</v>
      </c>
      <c r="AH115" s="47">
        <f t="shared" si="16"/>
        <v>87.6</v>
      </c>
      <c r="AI115" s="48">
        <f t="shared" si="17"/>
        <v>12.3</v>
      </c>
    </row>
    <row r="116" spans="1:37" x14ac:dyDescent="0.25">
      <c r="A116" s="116" t="s">
        <v>132</v>
      </c>
      <c r="B116" s="117">
        <v>51</v>
      </c>
      <c r="C116" s="117">
        <v>47</v>
      </c>
      <c r="D116" s="117">
        <v>49</v>
      </c>
      <c r="E116" s="117">
        <v>61.5</v>
      </c>
      <c r="F116" s="117">
        <v>51.7</v>
      </c>
      <c r="G116" s="117">
        <v>51.9</v>
      </c>
      <c r="H116" s="117">
        <v>34</v>
      </c>
      <c r="I116" s="117">
        <v>34</v>
      </c>
      <c r="J116" s="117">
        <v>59.5</v>
      </c>
      <c r="K116" s="117">
        <v>62</v>
      </c>
      <c r="L116" s="117">
        <v>51</v>
      </c>
      <c r="M116" s="117">
        <v>93.3</v>
      </c>
      <c r="N116" s="117">
        <v>69.3</v>
      </c>
      <c r="O116" s="117">
        <v>83</v>
      </c>
      <c r="P116" s="117">
        <v>83</v>
      </c>
      <c r="Q116" s="117">
        <v>85</v>
      </c>
      <c r="R116" s="117">
        <v>102.2</v>
      </c>
      <c r="S116" s="117">
        <v>86.8</v>
      </c>
      <c r="T116" s="117">
        <v>86.8</v>
      </c>
      <c r="U116" s="117">
        <v>91.2</v>
      </c>
      <c r="V116" s="117">
        <v>47.4</v>
      </c>
      <c r="W116" s="117">
        <v>59.5</v>
      </c>
      <c r="X116" s="117">
        <v>55.7</v>
      </c>
      <c r="Y116" s="117">
        <v>26.2</v>
      </c>
      <c r="Z116" s="117">
        <v>30.2</v>
      </c>
      <c r="AA116" s="45">
        <v>93.3</v>
      </c>
      <c r="AB116" s="117">
        <v>50.2</v>
      </c>
      <c r="AC116" s="117">
        <v>56.4</v>
      </c>
      <c r="AD116" s="117">
        <v>54</v>
      </c>
      <c r="AE116" s="117">
        <v>42.9</v>
      </c>
      <c r="AF116" s="117">
        <v>44.6</v>
      </c>
      <c r="AG116" s="118"/>
      <c r="AH116" s="47">
        <f t="shared" si="16"/>
        <v>102.2</v>
      </c>
      <c r="AI116" s="48">
        <f t="shared" si="17"/>
        <v>26.2</v>
      </c>
    </row>
    <row r="117" spans="1:37" x14ac:dyDescent="0.25">
      <c r="A117" s="116" t="s">
        <v>133</v>
      </c>
      <c r="B117" s="117">
        <v>57</v>
      </c>
      <c r="C117" s="117">
        <v>53</v>
      </c>
      <c r="D117" s="117">
        <v>46</v>
      </c>
      <c r="E117" s="117">
        <v>59.1</v>
      </c>
      <c r="F117" s="117">
        <v>60</v>
      </c>
      <c r="G117" s="117">
        <v>51.4</v>
      </c>
      <c r="H117" s="117">
        <v>32.700000000000003</v>
      </c>
      <c r="I117" s="117">
        <v>32.700000000000003</v>
      </c>
      <c r="J117" s="117">
        <v>25.4</v>
      </c>
      <c r="K117" s="117">
        <v>22</v>
      </c>
      <c r="L117" s="117">
        <v>18.399999999999999</v>
      </c>
      <c r="M117" s="117">
        <v>18.399999999999999</v>
      </c>
      <c r="N117" s="117">
        <v>15.7</v>
      </c>
      <c r="O117" s="117">
        <v>24</v>
      </c>
      <c r="P117" s="117">
        <v>24</v>
      </c>
      <c r="Q117" s="117">
        <v>33.700000000000003</v>
      </c>
      <c r="R117" s="117">
        <v>40.299999999999997</v>
      </c>
      <c r="S117" s="117">
        <v>42.9</v>
      </c>
      <c r="T117" s="117">
        <v>42.9</v>
      </c>
      <c r="U117" s="117">
        <v>49.3</v>
      </c>
      <c r="V117" s="117">
        <v>22.5</v>
      </c>
      <c r="W117" s="117">
        <v>24.5</v>
      </c>
      <c r="X117" s="117">
        <v>11.2</v>
      </c>
      <c r="Y117" s="117">
        <v>31.4</v>
      </c>
      <c r="Z117" s="117">
        <v>32.299999999999997</v>
      </c>
      <c r="AA117" s="45">
        <v>38.4</v>
      </c>
      <c r="AB117" s="117">
        <v>44.7</v>
      </c>
      <c r="AC117" s="117">
        <v>48.9</v>
      </c>
      <c r="AD117" s="117">
        <v>52.7</v>
      </c>
      <c r="AE117" s="117">
        <v>36.6</v>
      </c>
      <c r="AF117" s="117">
        <v>15.6</v>
      </c>
      <c r="AG117" s="119"/>
      <c r="AH117" s="47">
        <f t="shared" si="16"/>
        <v>60</v>
      </c>
      <c r="AI117" s="48">
        <f t="shared" si="17"/>
        <v>11.2</v>
      </c>
    </row>
    <row r="118" spans="1:37" x14ac:dyDescent="0.25">
      <c r="A118" s="120" t="s">
        <v>134</v>
      </c>
      <c r="B118" s="106">
        <v>26</v>
      </c>
      <c r="C118" s="106">
        <v>31</v>
      </c>
      <c r="D118" s="106">
        <v>32</v>
      </c>
      <c r="E118" s="106">
        <v>35.799999999999997</v>
      </c>
      <c r="F118" s="106">
        <v>36.299999999999997</v>
      </c>
      <c r="G118" s="106">
        <v>33.799999999999997</v>
      </c>
      <c r="H118" s="106">
        <v>32.4</v>
      </c>
      <c r="I118" s="106">
        <v>32.4</v>
      </c>
      <c r="J118" s="106">
        <v>27.8</v>
      </c>
      <c r="K118" s="106">
        <v>25.2</v>
      </c>
      <c r="L118" s="106">
        <v>19.600000000000001</v>
      </c>
      <c r="M118" s="106">
        <v>24.3</v>
      </c>
      <c r="N118" s="106">
        <v>13.1</v>
      </c>
      <c r="O118" s="106">
        <v>27</v>
      </c>
      <c r="P118" s="106">
        <v>27</v>
      </c>
      <c r="Q118" s="106">
        <v>7</v>
      </c>
      <c r="R118" s="106">
        <v>130.19999999999999</v>
      </c>
      <c r="S118" s="106">
        <v>26.3</v>
      </c>
      <c r="T118" s="106">
        <v>26.3</v>
      </c>
      <c r="U118" s="106">
        <v>22.9</v>
      </c>
      <c r="V118" s="106">
        <v>18.399999999999999</v>
      </c>
      <c r="W118" s="106">
        <v>56.3</v>
      </c>
      <c r="X118" s="106">
        <v>52.5</v>
      </c>
      <c r="Y118" s="106">
        <v>19</v>
      </c>
      <c r="Z118" s="106">
        <v>16.5</v>
      </c>
      <c r="AA118" s="45">
        <v>8.3000000000000007</v>
      </c>
      <c r="AB118" s="106">
        <v>-11.4</v>
      </c>
      <c r="AC118" s="106">
        <v>-7.3</v>
      </c>
      <c r="AD118" s="106">
        <v>7.7</v>
      </c>
      <c r="AE118" s="106">
        <v>17.7</v>
      </c>
      <c r="AF118" s="106">
        <v>12.9</v>
      </c>
      <c r="AG118" s="119"/>
      <c r="AH118" s="47">
        <f t="shared" si="16"/>
        <v>130.19999999999999</v>
      </c>
      <c r="AI118" s="48">
        <f t="shared" si="17"/>
        <v>-11.4</v>
      </c>
    </row>
    <row r="119" spans="1:37" x14ac:dyDescent="0.25">
      <c r="A119" s="121" t="s">
        <v>135</v>
      </c>
      <c r="B119" s="106">
        <v>86</v>
      </c>
      <c r="C119" s="106">
        <v>86</v>
      </c>
      <c r="D119" s="106">
        <v>94</v>
      </c>
      <c r="E119" s="106">
        <v>91.1</v>
      </c>
      <c r="F119" s="106">
        <v>94.3</v>
      </c>
      <c r="G119" s="106">
        <v>95.2</v>
      </c>
      <c r="H119" s="106">
        <v>99.1</v>
      </c>
      <c r="I119" s="106">
        <v>99.1</v>
      </c>
      <c r="J119" s="106">
        <v>78</v>
      </c>
      <c r="K119" s="106">
        <v>75.599999999999994</v>
      </c>
      <c r="L119" s="106">
        <v>86.8</v>
      </c>
      <c r="M119" s="106">
        <v>0</v>
      </c>
      <c r="N119" s="106">
        <v>0</v>
      </c>
      <c r="O119" s="106">
        <v>0</v>
      </c>
      <c r="P119" s="106">
        <v>0</v>
      </c>
      <c r="Q119" s="106">
        <v>0</v>
      </c>
      <c r="R119" s="106">
        <v>0</v>
      </c>
      <c r="S119" s="106">
        <v>0</v>
      </c>
      <c r="T119" s="106">
        <v>0</v>
      </c>
      <c r="U119" s="106">
        <v>0</v>
      </c>
      <c r="V119" s="106">
        <v>68.900000000000006</v>
      </c>
      <c r="W119" s="106">
        <v>68.099999999999994</v>
      </c>
      <c r="X119" s="106">
        <v>69.2</v>
      </c>
      <c r="Y119" s="106">
        <v>19.399999999999999</v>
      </c>
      <c r="Z119" s="106">
        <v>26.1</v>
      </c>
      <c r="AA119" s="45">
        <v>31.3</v>
      </c>
      <c r="AB119" s="106">
        <v>65.900000000000006</v>
      </c>
      <c r="AC119" s="106">
        <v>71.400000000000006</v>
      </c>
      <c r="AD119" s="106">
        <v>77.099999999999994</v>
      </c>
      <c r="AE119" s="106">
        <v>96.5</v>
      </c>
      <c r="AF119" s="106">
        <v>86.6</v>
      </c>
      <c r="AG119" s="119"/>
      <c r="AH119" s="47">
        <f t="shared" si="16"/>
        <v>99.1</v>
      </c>
      <c r="AI119" s="48">
        <f t="shared" si="17"/>
        <v>0</v>
      </c>
    </row>
    <row r="120" spans="1:37" ht="15.75" thickBot="1" x14ac:dyDescent="0.3">
      <c r="A120" s="120" t="s">
        <v>136</v>
      </c>
      <c r="B120" s="106">
        <v>75</v>
      </c>
      <c r="C120" s="106">
        <v>60</v>
      </c>
      <c r="D120" s="106">
        <v>66</v>
      </c>
      <c r="E120" s="106">
        <v>65.3</v>
      </c>
      <c r="F120" s="106">
        <v>58.4</v>
      </c>
      <c r="G120" s="106">
        <v>56.1</v>
      </c>
      <c r="H120" s="106">
        <v>45</v>
      </c>
      <c r="I120" s="106">
        <v>45</v>
      </c>
      <c r="J120" s="106">
        <v>50.2</v>
      </c>
      <c r="K120" s="106">
        <v>50.5</v>
      </c>
      <c r="L120" s="106">
        <v>54.3</v>
      </c>
      <c r="M120" s="106">
        <v>54.9</v>
      </c>
      <c r="N120" s="106">
        <v>65.099999999999994</v>
      </c>
      <c r="O120" s="106">
        <v>82.6</v>
      </c>
      <c r="P120" s="106">
        <v>82.6</v>
      </c>
      <c r="Q120" s="106">
        <v>71.400000000000006</v>
      </c>
      <c r="R120" s="106">
        <v>102</v>
      </c>
      <c r="S120" s="106">
        <v>67.2</v>
      </c>
      <c r="T120" s="106">
        <v>67.2</v>
      </c>
      <c r="U120" s="106">
        <v>58.4</v>
      </c>
      <c r="V120" s="106">
        <v>65.099999999999994</v>
      </c>
      <c r="W120" s="106">
        <v>49.3</v>
      </c>
      <c r="X120" s="106">
        <v>39.200000000000003</v>
      </c>
      <c r="Y120" s="106">
        <v>57.8</v>
      </c>
      <c r="Z120" s="106">
        <v>63.4</v>
      </c>
      <c r="AA120" s="45">
        <v>80.099999999999994</v>
      </c>
      <c r="AB120" s="106">
        <v>97.3</v>
      </c>
      <c r="AC120" s="106">
        <v>91.3</v>
      </c>
      <c r="AD120" s="106">
        <v>90.1</v>
      </c>
      <c r="AE120" s="106">
        <v>93</v>
      </c>
      <c r="AF120" s="106">
        <v>45.9</v>
      </c>
      <c r="AG120" s="119"/>
      <c r="AH120" s="47">
        <f t="shared" si="16"/>
        <v>102</v>
      </c>
      <c r="AI120" s="48">
        <f t="shared" si="17"/>
        <v>39.200000000000003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6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6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6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6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6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6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6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6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6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6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6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6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6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6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6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6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6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6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6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6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6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6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6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6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6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6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6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6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6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6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6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6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6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6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6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6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6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6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6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6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6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35">SUM(B122:B226)</f>
        <v>0</v>
      </c>
      <c r="C227" s="137">
        <f t="shared" si="35"/>
        <v>0</v>
      </c>
      <c r="D227" s="137">
        <f t="shared" si="35"/>
        <v>0</v>
      </c>
      <c r="E227" s="137">
        <f t="shared" si="35"/>
        <v>0</v>
      </c>
      <c r="F227" s="137">
        <f t="shared" si="35"/>
        <v>0</v>
      </c>
      <c r="G227" s="137">
        <f t="shared" si="35"/>
        <v>0</v>
      </c>
      <c r="H227" s="137">
        <f t="shared" si="35"/>
        <v>0</v>
      </c>
      <c r="I227" s="137">
        <f t="shared" si="35"/>
        <v>0</v>
      </c>
      <c r="J227" s="137">
        <f t="shared" si="35"/>
        <v>0</v>
      </c>
      <c r="K227" s="137">
        <f t="shared" si="35"/>
        <v>0</v>
      </c>
      <c r="L227" s="137">
        <f t="shared" si="35"/>
        <v>0</v>
      </c>
      <c r="M227" s="137">
        <f t="shared" si="35"/>
        <v>0</v>
      </c>
      <c r="N227" s="137">
        <f t="shared" si="35"/>
        <v>0</v>
      </c>
      <c r="O227" s="137">
        <f t="shared" si="35"/>
        <v>0</v>
      </c>
      <c r="P227" s="137">
        <f t="shared" si="35"/>
        <v>0</v>
      </c>
      <c r="Q227" s="137">
        <f t="shared" si="35"/>
        <v>0</v>
      </c>
      <c r="R227" s="137">
        <f t="shared" si="35"/>
        <v>0</v>
      </c>
      <c r="S227" s="137">
        <f t="shared" si="35"/>
        <v>0</v>
      </c>
      <c r="T227" s="137">
        <f t="shared" si="35"/>
        <v>0</v>
      </c>
      <c r="U227" s="137">
        <f t="shared" si="35"/>
        <v>0</v>
      </c>
      <c r="V227" s="137">
        <f t="shared" si="35"/>
        <v>0</v>
      </c>
      <c r="W227" s="137">
        <f t="shared" si="35"/>
        <v>0</v>
      </c>
      <c r="X227" s="137">
        <f t="shared" si="35"/>
        <v>0</v>
      </c>
      <c r="Y227" s="137">
        <f t="shared" si="35"/>
        <v>0</v>
      </c>
      <c r="Z227" s="137">
        <f t="shared" si="35"/>
        <v>0</v>
      </c>
      <c r="AA227" s="137">
        <f t="shared" si="35"/>
        <v>0</v>
      </c>
      <c r="AB227" s="137">
        <f t="shared" si="35"/>
        <v>0</v>
      </c>
      <c r="AC227" s="137">
        <f t="shared" si="35"/>
        <v>0</v>
      </c>
      <c r="AD227" s="137">
        <f t="shared" si="35"/>
        <v>0</v>
      </c>
      <c r="AE227" s="137">
        <f t="shared" si="35"/>
        <v>0</v>
      </c>
      <c r="AF227" s="138">
        <f t="shared" si="35"/>
        <v>0</v>
      </c>
      <c r="AG227" s="139">
        <f t="shared" si="35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36">AF229</f>
        <v>0</v>
      </c>
      <c r="C229" s="141">
        <v>0.3</v>
      </c>
      <c r="D229" s="141">
        <f t="shared" ref="D229:P234" si="37">C229</f>
        <v>0.3</v>
      </c>
      <c r="E229" s="141">
        <f t="shared" si="37"/>
        <v>0.3</v>
      </c>
      <c r="F229" s="141">
        <f t="shared" si="37"/>
        <v>0.3</v>
      </c>
      <c r="G229" s="141">
        <f t="shared" si="37"/>
        <v>0.3</v>
      </c>
      <c r="H229" s="141">
        <f t="shared" si="37"/>
        <v>0.3</v>
      </c>
      <c r="I229" s="141">
        <f t="shared" si="37"/>
        <v>0.3</v>
      </c>
      <c r="J229" s="141">
        <f t="shared" si="37"/>
        <v>0.3</v>
      </c>
      <c r="K229" s="141">
        <f t="shared" si="37"/>
        <v>0.3</v>
      </c>
      <c r="L229" s="141">
        <f t="shared" si="37"/>
        <v>0.3</v>
      </c>
      <c r="M229" s="141">
        <f t="shared" si="37"/>
        <v>0.3</v>
      </c>
      <c r="N229" s="141">
        <f t="shared" si="37"/>
        <v>0.3</v>
      </c>
      <c r="O229" s="141">
        <f t="shared" si="37"/>
        <v>0.3</v>
      </c>
      <c r="P229" s="141">
        <f t="shared" si="37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36"/>
        <v>0</v>
      </c>
      <c r="C230" s="129">
        <v>0.4</v>
      </c>
      <c r="D230" s="129">
        <f t="shared" si="37"/>
        <v>0.4</v>
      </c>
      <c r="E230" s="129">
        <f t="shared" si="37"/>
        <v>0.4</v>
      </c>
      <c r="F230" s="129">
        <f t="shared" si="37"/>
        <v>0.4</v>
      </c>
      <c r="G230" s="129">
        <f t="shared" si="37"/>
        <v>0.4</v>
      </c>
      <c r="H230" s="129">
        <f t="shared" si="37"/>
        <v>0.4</v>
      </c>
      <c r="I230" s="129">
        <f t="shared" si="37"/>
        <v>0.4</v>
      </c>
      <c r="J230" s="129">
        <f t="shared" si="37"/>
        <v>0.4</v>
      </c>
      <c r="K230" s="129">
        <f t="shared" si="37"/>
        <v>0.4</v>
      </c>
      <c r="L230" s="129">
        <f t="shared" si="37"/>
        <v>0.4</v>
      </c>
      <c r="M230" s="129">
        <f t="shared" si="37"/>
        <v>0.4</v>
      </c>
      <c r="N230" s="129">
        <f t="shared" si="37"/>
        <v>0.4</v>
      </c>
      <c r="O230" s="129">
        <f t="shared" si="37"/>
        <v>0.4</v>
      </c>
      <c r="P230" s="129">
        <f t="shared" si="37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36"/>
        <v>0</v>
      </c>
      <c r="C231" s="129">
        <v>1.5</v>
      </c>
      <c r="D231" s="129">
        <f t="shared" si="37"/>
        <v>1.5</v>
      </c>
      <c r="E231" s="129">
        <f t="shared" si="37"/>
        <v>1.5</v>
      </c>
      <c r="F231" s="129">
        <f t="shared" si="37"/>
        <v>1.5</v>
      </c>
      <c r="G231" s="129">
        <f t="shared" si="37"/>
        <v>1.5</v>
      </c>
      <c r="H231" s="129">
        <f t="shared" si="37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37"/>
        <v>123.21900000000009</v>
      </c>
      <c r="K231" s="129">
        <f t="shared" ca="1" si="37"/>
        <v>123.21900000000009</v>
      </c>
      <c r="L231" s="129">
        <f t="shared" ca="1" si="37"/>
        <v>123.21900000000009</v>
      </c>
      <c r="M231" s="129">
        <f t="shared" ca="1" si="37"/>
        <v>119.19900000000008</v>
      </c>
      <c r="N231" s="129">
        <f t="shared" ca="1" si="37"/>
        <v>119.19900000000008</v>
      </c>
      <c r="O231" s="129">
        <f t="shared" ca="1" si="37"/>
        <v>119.19900000000008</v>
      </c>
      <c r="P231" s="129">
        <f t="shared" ca="1" si="37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36"/>
        <v>0</v>
      </c>
      <c r="C232" s="129">
        <v>0.3</v>
      </c>
      <c r="D232" s="129">
        <f t="shared" si="37"/>
        <v>0.3</v>
      </c>
      <c r="E232" s="129">
        <f t="shared" si="37"/>
        <v>0.3</v>
      </c>
      <c r="F232" s="129">
        <f t="shared" si="37"/>
        <v>0.3</v>
      </c>
      <c r="G232" s="129">
        <f t="shared" si="37"/>
        <v>0.3</v>
      </c>
      <c r="H232" s="129">
        <f t="shared" si="37"/>
        <v>0.3</v>
      </c>
      <c r="I232" s="129">
        <f t="shared" si="37"/>
        <v>0.3</v>
      </c>
      <c r="J232" s="129">
        <f t="shared" si="37"/>
        <v>0.3</v>
      </c>
      <c r="K232" s="129">
        <f t="shared" si="37"/>
        <v>0.3</v>
      </c>
      <c r="L232" s="129">
        <f t="shared" si="37"/>
        <v>0.3</v>
      </c>
      <c r="M232" s="129">
        <f t="shared" si="37"/>
        <v>0.3</v>
      </c>
      <c r="N232" s="129">
        <f t="shared" si="37"/>
        <v>0.3</v>
      </c>
      <c r="O232" s="129">
        <f t="shared" si="37"/>
        <v>0.3</v>
      </c>
      <c r="P232" s="129">
        <f t="shared" si="37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36"/>
        <v>0</v>
      </c>
      <c r="C233" s="129">
        <v>0.4</v>
      </c>
      <c r="D233" s="129">
        <f t="shared" si="37"/>
        <v>0.4</v>
      </c>
      <c r="E233" s="129">
        <f t="shared" si="37"/>
        <v>0.4</v>
      </c>
      <c r="F233" s="129">
        <f t="shared" si="37"/>
        <v>0.4</v>
      </c>
      <c r="G233" s="129">
        <f t="shared" si="37"/>
        <v>0.4</v>
      </c>
      <c r="H233" s="129">
        <f t="shared" si="37"/>
        <v>0.4</v>
      </c>
      <c r="I233" s="129">
        <f t="shared" si="37"/>
        <v>0.4</v>
      </c>
      <c r="J233" s="129">
        <f t="shared" si="37"/>
        <v>0.4</v>
      </c>
      <c r="K233" s="129">
        <f t="shared" si="37"/>
        <v>0.4</v>
      </c>
      <c r="L233" s="129">
        <f t="shared" si="37"/>
        <v>0.4</v>
      </c>
      <c r="M233" s="129">
        <f t="shared" si="37"/>
        <v>0.4</v>
      </c>
      <c r="N233" s="129">
        <f t="shared" si="37"/>
        <v>0.4</v>
      </c>
      <c r="O233" s="129">
        <f t="shared" si="37"/>
        <v>0.4</v>
      </c>
      <c r="P233" s="129">
        <f t="shared" si="37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36"/>
        <v>0</v>
      </c>
      <c r="C234" s="133">
        <v>0.64</v>
      </c>
      <c r="D234" s="133">
        <f t="shared" si="37"/>
        <v>0.64</v>
      </c>
      <c r="E234" s="133">
        <f t="shared" si="37"/>
        <v>0.64</v>
      </c>
      <c r="F234" s="133">
        <f t="shared" si="37"/>
        <v>0.64</v>
      </c>
      <c r="G234" s="133">
        <f t="shared" si="37"/>
        <v>0.64</v>
      </c>
      <c r="H234" s="133">
        <f t="shared" si="37"/>
        <v>0.64</v>
      </c>
      <c r="I234" s="133">
        <f t="shared" si="37"/>
        <v>0.64</v>
      </c>
      <c r="J234" s="133">
        <f t="shared" si="37"/>
        <v>0.64</v>
      </c>
      <c r="K234" s="133">
        <f t="shared" si="37"/>
        <v>0.64</v>
      </c>
      <c r="L234" s="133">
        <f t="shared" si="37"/>
        <v>0.64</v>
      </c>
      <c r="M234" s="133">
        <f t="shared" si="37"/>
        <v>0.64</v>
      </c>
      <c r="N234" s="133">
        <f t="shared" si="37"/>
        <v>0.64</v>
      </c>
      <c r="O234" s="133">
        <f t="shared" si="37"/>
        <v>0.64</v>
      </c>
      <c r="P234" s="133">
        <f t="shared" si="37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38">SUM(B229:B234)</f>
        <v>0</v>
      </c>
      <c r="C235" s="137">
        <f t="shared" si="38"/>
        <v>3.54</v>
      </c>
      <c r="D235" s="137">
        <f t="shared" si="38"/>
        <v>3.54</v>
      </c>
      <c r="E235" s="137">
        <f t="shared" si="38"/>
        <v>3.54</v>
      </c>
      <c r="F235" s="137">
        <f t="shared" si="38"/>
        <v>3.54</v>
      </c>
      <c r="G235" s="137">
        <f t="shared" si="38"/>
        <v>3.54</v>
      </c>
      <c r="H235" s="137">
        <f t="shared" si="38"/>
        <v>3.54</v>
      </c>
      <c r="I235" s="137">
        <f t="shared" ca="1" si="38"/>
        <v>121.23900000000009</v>
      </c>
      <c r="J235" s="137">
        <f t="shared" ca="1" si="38"/>
        <v>121.23900000000009</v>
      </c>
      <c r="K235" s="137">
        <f t="shared" ca="1" si="38"/>
        <v>121.23900000000009</v>
      </c>
      <c r="L235" s="137">
        <f t="shared" ca="1" si="38"/>
        <v>125.2590000000001</v>
      </c>
      <c r="M235" s="137">
        <f t="shared" ca="1" si="38"/>
        <v>121.23900000000009</v>
      </c>
      <c r="N235" s="137">
        <f t="shared" ca="1" si="38"/>
        <v>121.23900000000009</v>
      </c>
      <c r="O235" s="137">
        <f t="shared" ca="1" si="38"/>
        <v>121.23900000000009</v>
      </c>
      <c r="P235" s="137">
        <f t="shared" ca="1" si="38"/>
        <v>121.23900000000009</v>
      </c>
      <c r="Q235" s="137">
        <f t="shared" si="38"/>
        <v>0</v>
      </c>
      <c r="R235" s="137">
        <f t="shared" si="38"/>
        <v>0</v>
      </c>
      <c r="S235" s="137">
        <f t="shared" si="38"/>
        <v>0</v>
      </c>
      <c r="T235" s="137">
        <f t="shared" si="38"/>
        <v>0</v>
      </c>
      <c r="U235" s="137">
        <f t="shared" si="38"/>
        <v>0</v>
      </c>
      <c r="V235" s="137">
        <f t="shared" si="38"/>
        <v>0</v>
      </c>
      <c r="W235" s="137">
        <f t="shared" si="38"/>
        <v>0</v>
      </c>
      <c r="X235" s="137">
        <f t="shared" si="38"/>
        <v>0</v>
      </c>
      <c r="Y235" s="137">
        <f t="shared" si="38"/>
        <v>0</v>
      </c>
      <c r="Z235" s="137">
        <f t="shared" si="38"/>
        <v>0</v>
      </c>
      <c r="AA235" s="137">
        <f t="shared" si="38"/>
        <v>0</v>
      </c>
      <c r="AB235" s="137">
        <f t="shared" si="38"/>
        <v>0</v>
      </c>
      <c r="AC235" s="137">
        <f t="shared" si="38"/>
        <v>0</v>
      </c>
      <c r="AD235" s="137">
        <f t="shared" si="38"/>
        <v>0</v>
      </c>
      <c r="AE235" s="137">
        <f t="shared" si="38"/>
        <v>0</v>
      </c>
      <c r="AF235" s="137">
        <f t="shared" si="38"/>
        <v>0</v>
      </c>
      <c r="AG235" s="146">
        <f t="shared" si="38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1939.55</v>
      </c>
      <c r="C244" s="162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11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2080/03/11)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2080/03/11)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39">B91</f>
        <v>1931.2499999999998</v>
      </c>
      <c r="U249" s="171">
        <f t="shared" si="39"/>
        <v>1873.95</v>
      </c>
      <c r="V249" s="171">
        <f t="shared" si="39"/>
        <v>1854.1499999999999</v>
      </c>
      <c r="W249" s="171">
        <f t="shared" si="39"/>
        <v>1810.2499999999998</v>
      </c>
      <c r="X249" s="171">
        <f t="shared" si="39"/>
        <v>1756.95</v>
      </c>
      <c r="Y249" s="171">
        <f t="shared" si="39"/>
        <v>1810.65</v>
      </c>
      <c r="Z249" s="171">
        <f t="shared" si="39"/>
        <v>1839.1499999999999</v>
      </c>
      <c r="AA249" s="171">
        <f t="shared" si="39"/>
        <v>1842.75</v>
      </c>
      <c r="AB249" s="171">
        <f t="shared" si="39"/>
        <v>1852.75</v>
      </c>
      <c r="AC249" s="171">
        <f t="shared" si="39"/>
        <v>1874.95</v>
      </c>
      <c r="AD249" s="171">
        <f t="shared" si="39"/>
        <v>1939.55</v>
      </c>
      <c r="AE249" s="171">
        <f t="shared" si="39"/>
        <v>1863.4499999999998</v>
      </c>
      <c r="AF249" s="171">
        <f t="shared" si="39"/>
        <v>1830.9499999999998</v>
      </c>
      <c r="AG249" s="171">
        <f t="shared" si="39"/>
        <v>1858.1499999999999</v>
      </c>
      <c r="AH249" s="171">
        <f t="shared" si="39"/>
        <v>1862.4499999999998</v>
      </c>
      <c r="AI249" s="171">
        <f t="shared" si="39"/>
        <v>1877.9499999999998</v>
      </c>
      <c r="AJ249" s="171">
        <f t="shared" si="39"/>
        <v>1874.9499999999998</v>
      </c>
      <c r="AK249" s="171">
        <f t="shared" si="39"/>
        <v>1886.61</v>
      </c>
      <c r="AL249" s="171">
        <f t="shared" si="39"/>
        <v>1896.61</v>
      </c>
      <c r="AM249" s="171">
        <f t="shared" si="39"/>
        <v>1899.61</v>
      </c>
      <c r="AN249" s="171">
        <f t="shared" si="39"/>
        <v>1863.8500000000001</v>
      </c>
      <c r="AO249" s="171">
        <f t="shared" si="39"/>
        <v>1895.95</v>
      </c>
      <c r="AP249" s="171">
        <f t="shared" si="39"/>
        <v>1895.95</v>
      </c>
      <c r="AQ249" s="171">
        <f t="shared" si="39"/>
        <v>1861.6499999999999</v>
      </c>
      <c r="AR249" s="171">
        <f t="shared" si="39"/>
        <v>1845.1499999999999</v>
      </c>
      <c r="AS249" s="171">
        <f t="shared" si="39"/>
        <v>1985.2499999999998</v>
      </c>
      <c r="AT249" s="171">
        <f t="shared" si="39"/>
        <v>1996.1499999999996</v>
      </c>
      <c r="AU249" s="171">
        <f t="shared" si="39"/>
        <v>2010.0499999999997</v>
      </c>
      <c r="AV249" s="171">
        <f t="shared" si="39"/>
        <v>2029.2499999999998</v>
      </c>
      <c r="AW249" s="171">
        <f t="shared" si="39"/>
        <v>1995.75</v>
      </c>
      <c r="AX249" s="171">
        <f t="shared" si="39"/>
        <v>1918.9499999999998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40">C234</f>
        <v>0.64</v>
      </c>
      <c r="C270" s="174">
        <f t="shared" si="40"/>
        <v>0.64</v>
      </c>
      <c r="D270" s="174">
        <f t="shared" si="40"/>
        <v>0.64</v>
      </c>
      <c r="E270" s="174">
        <f t="shared" si="40"/>
        <v>0.64</v>
      </c>
      <c r="F270" s="174">
        <f t="shared" si="40"/>
        <v>0.64</v>
      </c>
      <c r="G270" s="174">
        <f t="shared" si="40"/>
        <v>0.64</v>
      </c>
      <c r="H270" s="174">
        <f t="shared" si="40"/>
        <v>0.64</v>
      </c>
      <c r="I270" s="174">
        <f t="shared" si="40"/>
        <v>0.64</v>
      </c>
      <c r="J270" s="174">
        <f t="shared" si="40"/>
        <v>0.64</v>
      </c>
      <c r="K270" s="174">
        <f t="shared" si="40"/>
        <v>0.64</v>
      </c>
      <c r="L270" s="174">
        <f t="shared" si="40"/>
        <v>0.64</v>
      </c>
      <c r="M270" s="174">
        <f t="shared" si="40"/>
        <v>0.64</v>
      </c>
      <c r="N270" s="174">
        <f t="shared" si="40"/>
        <v>0.64</v>
      </c>
      <c r="O270" s="174">
        <f t="shared" si="40"/>
        <v>0.64</v>
      </c>
      <c r="P270" s="174">
        <f t="shared" si="40"/>
        <v>0</v>
      </c>
      <c r="Q270" s="174">
        <f t="shared" si="40"/>
        <v>0</v>
      </c>
      <c r="R270" s="174">
        <f t="shared" si="40"/>
        <v>0</v>
      </c>
      <c r="S270" s="174">
        <f t="shared" si="40"/>
        <v>0</v>
      </c>
      <c r="T270" s="174">
        <f t="shared" si="40"/>
        <v>0</v>
      </c>
      <c r="U270" s="174">
        <f t="shared" si="40"/>
        <v>0</v>
      </c>
      <c r="V270" s="174">
        <f t="shared" si="40"/>
        <v>0</v>
      </c>
      <c r="W270" s="174">
        <f t="shared" si="40"/>
        <v>0</v>
      </c>
      <c r="X270" s="174">
        <f t="shared" si="40"/>
        <v>0</v>
      </c>
      <c r="Y270" s="174">
        <f t="shared" si="40"/>
        <v>0</v>
      </c>
      <c r="Z270" s="174">
        <f t="shared" si="40"/>
        <v>0</v>
      </c>
      <c r="AA270" s="174">
        <f t="shared" si="40"/>
        <v>0</v>
      </c>
      <c r="AB270" s="174">
        <f t="shared" si="40"/>
        <v>0</v>
      </c>
      <c r="AC270" s="174">
        <f t="shared" si="40"/>
        <v>0</v>
      </c>
      <c r="AD270" s="174">
        <f t="shared" si="40"/>
        <v>0</v>
      </c>
      <c r="AE270" s="174">
        <f t="shared" si="40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41">IF(B238&lt;100,"",B238-520)</f>
        <v/>
      </c>
      <c r="C271" s="175" t="str">
        <f t="shared" si="41"/>
        <v/>
      </c>
      <c r="D271" s="175" t="str">
        <f t="shared" si="41"/>
        <v/>
      </c>
      <c r="E271" s="175" t="str">
        <f t="shared" si="41"/>
        <v/>
      </c>
      <c r="F271" s="175" t="str">
        <f t="shared" si="41"/>
        <v/>
      </c>
      <c r="G271" s="175" t="str">
        <f t="shared" si="41"/>
        <v/>
      </c>
      <c r="H271" s="175" t="str">
        <f t="shared" si="41"/>
        <v/>
      </c>
      <c r="I271" s="175" t="str">
        <f t="shared" si="41"/>
        <v/>
      </c>
      <c r="J271" s="175" t="str">
        <f t="shared" si="41"/>
        <v/>
      </c>
      <c r="K271" s="175" t="str">
        <f t="shared" si="41"/>
        <v/>
      </c>
      <c r="L271" s="175" t="str">
        <f t="shared" si="41"/>
        <v/>
      </c>
      <c r="M271" s="175" t="str">
        <f t="shared" si="41"/>
        <v/>
      </c>
      <c r="N271" s="175" t="str">
        <f t="shared" si="41"/>
        <v/>
      </c>
      <c r="O271" s="175" t="str">
        <f t="shared" si="41"/>
        <v/>
      </c>
      <c r="P271" s="175" t="str">
        <f t="shared" si="41"/>
        <v/>
      </c>
      <c r="Q271" s="175" t="str">
        <f t="shared" si="41"/>
        <v/>
      </c>
      <c r="R271" s="175" t="str">
        <f t="shared" si="41"/>
        <v/>
      </c>
      <c r="S271" s="175" t="str">
        <f t="shared" si="41"/>
        <v/>
      </c>
      <c r="T271" s="175" t="str">
        <f t="shared" si="41"/>
        <v/>
      </c>
      <c r="U271" s="175" t="str">
        <f t="shared" si="41"/>
        <v/>
      </c>
      <c r="V271" s="175" t="str">
        <f t="shared" si="41"/>
        <v/>
      </c>
      <c r="W271" s="175" t="str">
        <f t="shared" si="41"/>
        <v/>
      </c>
      <c r="X271" s="175" t="str">
        <f t="shared" si="41"/>
        <v/>
      </c>
      <c r="Y271" s="175" t="str">
        <f t="shared" si="41"/>
        <v/>
      </c>
      <c r="Z271" s="175" t="str">
        <f t="shared" si="41"/>
        <v/>
      </c>
      <c r="AA271" s="175" t="str">
        <f t="shared" si="41"/>
        <v/>
      </c>
      <c r="AB271" s="175" t="str">
        <f t="shared" si="41"/>
        <v/>
      </c>
      <c r="AC271" s="175" t="str">
        <f t="shared" si="41"/>
        <v/>
      </c>
      <c r="AD271" s="175" t="str">
        <f t="shared" si="41"/>
        <v/>
      </c>
      <c r="AE271" s="175" t="str">
        <f t="shared" si="41"/>
        <v/>
      </c>
      <c r="AF271" s="175" t="str">
        <f t="shared" si="41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42">IF(B239&lt;100,"",B239-620)</f>
        <v/>
      </c>
      <c r="C272" s="175" t="str">
        <f t="shared" si="42"/>
        <v/>
      </c>
      <c r="D272" s="175" t="str">
        <f t="shared" si="42"/>
        <v/>
      </c>
      <c r="E272" s="175" t="str">
        <f t="shared" si="42"/>
        <v/>
      </c>
      <c r="F272" s="175" t="str">
        <f t="shared" si="42"/>
        <v/>
      </c>
      <c r="G272" s="175" t="str">
        <f t="shared" si="42"/>
        <v/>
      </c>
      <c r="H272" s="175" t="str">
        <f t="shared" si="42"/>
        <v/>
      </c>
      <c r="I272" s="175" t="str">
        <f t="shared" si="42"/>
        <v/>
      </c>
      <c r="J272" s="175" t="str">
        <f t="shared" si="42"/>
        <v/>
      </c>
      <c r="K272" s="175" t="str">
        <f t="shared" si="42"/>
        <v/>
      </c>
      <c r="L272" s="175" t="str">
        <f t="shared" si="42"/>
        <v/>
      </c>
      <c r="M272" s="175" t="str">
        <f t="shared" si="42"/>
        <v/>
      </c>
      <c r="N272" s="175" t="str">
        <f t="shared" si="42"/>
        <v/>
      </c>
      <c r="O272" s="175" t="str">
        <f t="shared" si="42"/>
        <v/>
      </c>
      <c r="P272" s="175" t="str">
        <f t="shared" si="42"/>
        <v/>
      </c>
      <c r="Q272" s="175" t="str">
        <f t="shared" si="42"/>
        <v/>
      </c>
      <c r="R272" s="175" t="str">
        <f t="shared" si="42"/>
        <v/>
      </c>
      <c r="S272" s="175" t="str">
        <f t="shared" si="42"/>
        <v/>
      </c>
      <c r="T272" s="175" t="str">
        <f t="shared" si="42"/>
        <v/>
      </c>
      <c r="U272" s="175" t="str">
        <f t="shared" si="42"/>
        <v/>
      </c>
      <c r="V272" s="175" t="str">
        <f t="shared" si="42"/>
        <v/>
      </c>
      <c r="W272" s="175" t="str">
        <f t="shared" si="42"/>
        <v/>
      </c>
      <c r="X272" s="175" t="str">
        <f t="shared" si="42"/>
        <v/>
      </c>
      <c r="Y272" s="175" t="str">
        <f t="shared" si="42"/>
        <v/>
      </c>
      <c r="Z272" s="175" t="str">
        <f t="shared" si="42"/>
        <v/>
      </c>
      <c r="AA272" s="175" t="str">
        <f t="shared" si="42"/>
        <v/>
      </c>
      <c r="AB272" s="175" t="str">
        <f t="shared" si="42"/>
        <v/>
      </c>
      <c r="AC272" s="175" t="str">
        <f t="shared" si="42"/>
        <v/>
      </c>
      <c r="AD272" s="175" t="str">
        <f t="shared" si="42"/>
        <v/>
      </c>
      <c r="AE272" s="175" t="str">
        <f t="shared" si="42"/>
        <v/>
      </c>
      <c r="AF272" s="175" t="str">
        <f t="shared" si="42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43">IF(B240&lt;100,"",B240-330)</f>
        <v/>
      </c>
      <c r="C273" s="175" t="str">
        <f t="shared" si="43"/>
        <v/>
      </c>
      <c r="D273" s="175" t="str">
        <f t="shared" si="43"/>
        <v/>
      </c>
      <c r="E273" s="175" t="str">
        <f t="shared" si="43"/>
        <v/>
      </c>
      <c r="F273" s="175" t="str">
        <f t="shared" si="43"/>
        <v/>
      </c>
      <c r="G273" s="175" t="str">
        <f t="shared" si="43"/>
        <v/>
      </c>
      <c r="H273" s="175" t="str">
        <f t="shared" si="43"/>
        <v/>
      </c>
      <c r="I273" s="175" t="str">
        <f t="shared" si="43"/>
        <v/>
      </c>
      <c r="J273" s="175" t="str">
        <f t="shared" si="43"/>
        <v/>
      </c>
      <c r="K273" s="175" t="str">
        <f t="shared" si="43"/>
        <v/>
      </c>
      <c r="L273" s="175" t="str">
        <f t="shared" si="43"/>
        <v/>
      </c>
      <c r="M273" s="175" t="str">
        <f t="shared" si="43"/>
        <v/>
      </c>
      <c r="N273" s="175" t="str">
        <f t="shared" si="43"/>
        <v/>
      </c>
      <c r="O273" s="175" t="str">
        <f t="shared" si="43"/>
        <v/>
      </c>
      <c r="P273" s="175" t="str">
        <f t="shared" si="43"/>
        <v/>
      </c>
      <c r="Q273" s="175" t="str">
        <f t="shared" si="43"/>
        <v/>
      </c>
      <c r="R273" s="175" t="str">
        <f t="shared" si="43"/>
        <v/>
      </c>
      <c r="S273" s="175" t="str">
        <f t="shared" si="43"/>
        <v/>
      </c>
      <c r="T273" s="175" t="str">
        <f t="shared" si="43"/>
        <v/>
      </c>
      <c r="U273" s="175" t="str">
        <f t="shared" si="43"/>
        <v/>
      </c>
      <c r="V273" s="175" t="str">
        <f t="shared" si="43"/>
        <v/>
      </c>
      <c r="W273" s="175" t="str">
        <f t="shared" si="43"/>
        <v/>
      </c>
      <c r="X273" s="175" t="str">
        <f t="shared" si="43"/>
        <v/>
      </c>
      <c r="Y273" s="175" t="str">
        <f t="shared" si="43"/>
        <v/>
      </c>
      <c r="Z273" s="175" t="str">
        <f t="shared" si="43"/>
        <v/>
      </c>
      <c r="AA273" s="175" t="str">
        <f t="shared" si="43"/>
        <v/>
      </c>
      <c r="AB273" s="175" t="str">
        <f t="shared" si="43"/>
        <v/>
      </c>
      <c r="AC273" s="175" t="str">
        <f t="shared" si="43"/>
        <v/>
      </c>
      <c r="AD273" s="175" t="str">
        <f t="shared" si="43"/>
        <v/>
      </c>
      <c r="AE273" s="175" t="str">
        <f t="shared" si="43"/>
        <v/>
      </c>
      <c r="AF273" s="175" t="str">
        <f t="shared" si="43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44">IF(B241&lt;100,"",B241-1500)</f>
        <v/>
      </c>
      <c r="C274" s="175" t="str">
        <f t="shared" si="44"/>
        <v/>
      </c>
      <c r="D274" s="175" t="str">
        <f t="shared" si="44"/>
        <v/>
      </c>
      <c r="E274" s="175" t="str">
        <f t="shared" si="44"/>
        <v/>
      </c>
      <c r="F274" s="175" t="str">
        <f t="shared" si="44"/>
        <v/>
      </c>
      <c r="G274" s="175" t="str">
        <f t="shared" si="44"/>
        <v/>
      </c>
      <c r="H274" s="175" t="str">
        <f t="shared" si="44"/>
        <v/>
      </c>
      <c r="I274" s="175" t="str">
        <f t="shared" si="44"/>
        <v/>
      </c>
      <c r="J274" s="175" t="str">
        <f t="shared" si="44"/>
        <v/>
      </c>
      <c r="K274" s="175" t="str">
        <f t="shared" si="44"/>
        <v/>
      </c>
      <c r="L274" s="175" t="str">
        <f t="shared" si="44"/>
        <v/>
      </c>
      <c r="M274" s="175" t="str">
        <f t="shared" si="44"/>
        <v/>
      </c>
      <c r="N274" s="175" t="str">
        <f t="shared" si="44"/>
        <v/>
      </c>
      <c r="O274" s="175" t="str">
        <f t="shared" si="44"/>
        <v/>
      </c>
      <c r="P274" s="175" t="str">
        <f t="shared" si="44"/>
        <v/>
      </c>
      <c r="Q274" s="175" t="str">
        <f t="shared" si="44"/>
        <v/>
      </c>
      <c r="R274" s="175" t="str">
        <f t="shared" si="44"/>
        <v/>
      </c>
      <c r="S274" s="175" t="str">
        <f t="shared" si="44"/>
        <v/>
      </c>
      <c r="T274" s="175" t="str">
        <f t="shared" si="44"/>
        <v/>
      </c>
      <c r="U274" s="175" t="str">
        <f t="shared" si="44"/>
        <v/>
      </c>
      <c r="V274" s="175" t="str">
        <f t="shared" si="44"/>
        <v/>
      </c>
      <c r="W274" s="175" t="str">
        <f t="shared" si="44"/>
        <v/>
      </c>
      <c r="X274" s="175" t="str">
        <f t="shared" si="44"/>
        <v/>
      </c>
      <c r="Y274" s="175" t="str">
        <f t="shared" si="44"/>
        <v/>
      </c>
      <c r="Z274" s="175" t="str">
        <f t="shared" si="44"/>
        <v/>
      </c>
      <c r="AA274" s="175" t="str">
        <f t="shared" si="44"/>
        <v/>
      </c>
      <c r="AB274" s="175" t="str">
        <f t="shared" si="44"/>
        <v/>
      </c>
      <c r="AC274" s="175" t="str">
        <f t="shared" si="44"/>
        <v/>
      </c>
      <c r="AD274" s="175" t="str">
        <f t="shared" si="44"/>
        <v/>
      </c>
      <c r="AE274" s="175" t="str">
        <f t="shared" si="44"/>
        <v/>
      </c>
      <c r="AF274" s="175" t="str">
        <f t="shared" si="44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1630" priority="176">
      <formula>$AH11=0</formula>
    </cfRule>
  </conditionalFormatting>
  <conditionalFormatting sqref="B8 M8 S8 AB8">
    <cfRule type="expression" dxfId="1629" priority="430">
      <formula>C$9&lt;8/24</formula>
    </cfRule>
    <cfRule type="expression" dxfId="1628" priority="428">
      <formula>AND(C$9&gt;=14/24,C$9&lt;20/24)</formula>
    </cfRule>
    <cfRule type="expression" dxfId="1627" priority="429">
      <formula>AND(C$9&gt;=8/24,C$9&lt;14/24)</formula>
    </cfRule>
  </conditionalFormatting>
  <conditionalFormatting sqref="B55:D59">
    <cfRule type="expression" dxfId="1626" priority="149">
      <formula>AND(B$9&gt;=8/24,B$9&lt;14/24)</formula>
    </cfRule>
    <cfRule type="expression" dxfId="1625" priority="150">
      <formula>B$9&lt;8/24</formula>
    </cfRule>
    <cfRule type="expression" dxfId="1624" priority="148">
      <formula>AND(B$9&gt;=14/24,B$9&lt;20/24)</formula>
    </cfRule>
    <cfRule type="expression" dxfId="1623" priority="147">
      <formula>B$9&gt;=20/24</formula>
    </cfRule>
  </conditionalFormatting>
  <conditionalFormatting sqref="B73:D83 E78:G83">
    <cfRule type="expression" dxfId="1622" priority="107">
      <formula>AND(B$9&gt;=14/24,B$9&lt;20/24)</formula>
    </cfRule>
    <cfRule type="expression" dxfId="1621" priority="109">
      <formula>B$9&lt;8/24</formula>
    </cfRule>
    <cfRule type="expression" dxfId="1620" priority="108">
      <formula>AND(B$9&gt;=8/24,B$9&lt;14/24)</formula>
    </cfRule>
    <cfRule type="expression" dxfId="1619" priority="106">
      <formula>B$9&gt;=20/24</formula>
    </cfRule>
  </conditionalFormatting>
  <conditionalFormatting sqref="B60:V60">
    <cfRule type="expression" dxfId="1618" priority="136">
      <formula>B$9&lt;8/24</formula>
    </cfRule>
    <cfRule type="expression" dxfId="1617" priority="135">
      <formula>AND(B$9&gt;=8/24,B$9&lt;14/24)</formula>
    </cfRule>
    <cfRule type="expression" dxfId="1616" priority="134">
      <formula>AND(B$9&gt;=14/24,B$9&lt;20/24)</formula>
    </cfRule>
    <cfRule type="expression" dxfId="1615" priority="133">
      <formula>B$9&gt;=20/24</formula>
    </cfRule>
  </conditionalFormatting>
  <conditionalFormatting sqref="B11:Z45">
    <cfRule type="expression" dxfId="1614" priority="57">
      <formula>B$9&gt;=20/24</formula>
    </cfRule>
    <cfRule type="expression" dxfId="1613" priority="58">
      <formula>AND(B$9&gt;=14/24,B$9&lt;20/24)</formula>
    </cfRule>
    <cfRule type="expression" dxfId="1612" priority="59">
      <formula>AND(B$9&gt;=8/24,B$9&lt;14/24)</formula>
    </cfRule>
    <cfRule type="expression" dxfId="1611" priority="60">
      <formula>B$9&lt;8/24</formula>
    </cfRule>
  </conditionalFormatting>
  <conditionalFormatting sqref="B11:Z46">
    <cfRule type="expression" dxfId="1610" priority="55">
      <formula>B11&gt;$AG11</formula>
    </cfRule>
  </conditionalFormatting>
  <conditionalFormatting sqref="B46:Z46">
    <cfRule type="expression" dxfId="1609" priority="52">
      <formula>AND(B$9&gt;=14/24,B$9&lt;20/24)</formula>
    </cfRule>
    <cfRule type="expression" dxfId="1608" priority="51">
      <formula>B$9&gt;=20/24</formula>
    </cfRule>
    <cfRule type="expression" dxfId="1607" priority="53">
      <formula>AND(B$9&gt;=8/24,B$9&lt;14/24)</formula>
    </cfRule>
    <cfRule type="expression" dxfId="1606" priority="54">
      <formula>B$9&lt;8/24</formula>
    </cfRule>
  </conditionalFormatting>
  <conditionalFormatting sqref="B47:Z47">
    <cfRule type="expression" dxfId="1605" priority="86">
      <formula>B47&gt;$AG47</formula>
    </cfRule>
  </conditionalFormatting>
  <conditionalFormatting sqref="B47:Z49">
    <cfRule type="expression" dxfId="1604" priority="76">
      <formula>B$9&lt;8/24</formula>
    </cfRule>
    <cfRule type="expression" dxfId="1603" priority="73">
      <formula>B$9&gt;=20/24</formula>
    </cfRule>
    <cfRule type="expression" dxfId="1602" priority="74">
      <formula>AND(B$9&gt;=14/24,B$9&lt;20/24)</formula>
    </cfRule>
    <cfRule type="expression" dxfId="1601" priority="75">
      <formula>AND(B$9&gt;=8/24,B$9&lt;14/24)</formula>
    </cfRule>
  </conditionalFormatting>
  <conditionalFormatting sqref="B48:Z72">
    <cfRule type="expression" dxfId="1600" priority="71">
      <formula>B48&gt;$AG48</formula>
    </cfRule>
  </conditionalFormatting>
  <conditionalFormatting sqref="B51:Z54">
    <cfRule type="expression" dxfId="1599" priority="95">
      <formula>AND(B$9&gt;=8/24,B$9&lt;14/24)</formula>
    </cfRule>
    <cfRule type="expression" dxfId="1598" priority="96">
      <formula>B$9&lt;8/24</formula>
    </cfRule>
    <cfRule type="expression" dxfId="1597" priority="93">
      <formula>B$9&gt;=20/24</formula>
    </cfRule>
    <cfRule type="expression" dxfId="1596" priority="94">
      <formula>AND(B$9&gt;=14/24,B$9&lt;20/24)</formula>
    </cfRule>
  </conditionalFormatting>
  <conditionalFormatting sqref="B61:Z66">
    <cfRule type="expression" dxfId="1595" priority="91">
      <formula>B$9&lt;8/24</formula>
    </cfRule>
    <cfRule type="expression" dxfId="1594" priority="88">
      <formula>B$9&gt;=20/24</formula>
    </cfRule>
    <cfRule type="expression" dxfId="1593" priority="89">
      <formula>AND(B$9&gt;=14/24,B$9&lt;20/24)</formula>
    </cfRule>
    <cfRule type="expression" dxfId="1592" priority="90">
      <formula>AND(B$9&gt;=8/24,B$9&lt;14/24)</formula>
    </cfRule>
  </conditionalFormatting>
  <conditionalFormatting sqref="B69:Z72 B93:Z109">
    <cfRule type="expression" dxfId="1591" priority="105">
      <formula>B$9&lt;8/24</formula>
    </cfRule>
    <cfRule type="expression" dxfId="1590" priority="102">
      <formula>B$9&gt;=20/24</formula>
    </cfRule>
    <cfRule type="expression" dxfId="1589" priority="104">
      <formula>AND(B$9&gt;=8/24,B$9&lt;14/24)</formula>
    </cfRule>
    <cfRule type="expression" dxfId="1588" priority="103">
      <formula>AND(B$9&gt;=14/24,B$9&lt;20/24)</formula>
    </cfRule>
  </conditionalFormatting>
  <conditionalFormatting sqref="B84:Z91">
    <cfRule type="expression" dxfId="1587" priority="99">
      <formula>AND(B$9&gt;=8/24,B$9&lt;14/24)</formula>
    </cfRule>
    <cfRule type="expression" dxfId="1586" priority="98">
      <formula>AND(B$9&gt;=14/24,B$9&lt;20/24)</formula>
    </cfRule>
    <cfRule type="expression" dxfId="1585" priority="97">
      <formula>B$9&gt;=20/24</formula>
    </cfRule>
    <cfRule type="expression" dxfId="1584" priority="100">
      <formula>B$9&lt;8/24</formula>
    </cfRule>
  </conditionalFormatting>
  <conditionalFormatting sqref="B111:Z120">
    <cfRule type="expression" dxfId="1583" priority="48">
      <formula>AND(B$9&gt;=14/24,B$9&lt;20/24)</formula>
    </cfRule>
    <cfRule type="expression" dxfId="1582" priority="50">
      <formula>B$9&lt;8/24</formula>
    </cfRule>
    <cfRule type="expression" dxfId="1581" priority="49">
      <formula>AND(B$9&gt;=8/24,B$9&lt;14/24)</formula>
    </cfRule>
    <cfRule type="expression" dxfId="1580" priority="47">
      <formula>B$9&gt;=20/24</formula>
    </cfRule>
  </conditionalFormatting>
  <conditionalFormatting sqref="B9:AF10 B227:AF227 D229:AF230 B229:B235 D231:H231 J231:AF231 D232:AF235 U248:AF248">
    <cfRule type="expression" dxfId="1579" priority="422">
      <formula>AND(B$9&gt;=14/24,B$9&lt;20/24)</formula>
    </cfRule>
    <cfRule type="expression" dxfId="1578" priority="421">
      <formula>B$9&gt;=20/24</formula>
    </cfRule>
    <cfRule type="expression" dxfId="1577" priority="423">
      <formula>AND(B$9&gt;=8/24,B$9&lt;14/24)</formula>
    </cfRule>
    <cfRule type="expression" dxfId="1576" priority="424">
      <formula>B$9&lt;8/24</formula>
    </cfRule>
  </conditionalFormatting>
  <conditionalFormatting sqref="E76:H77 I76:Z78 H78">
    <cfRule type="expression" dxfId="1575" priority="294">
      <formula>E$9&lt;8/24</formula>
    </cfRule>
    <cfRule type="expression" dxfId="1574" priority="293">
      <formula>AND(E$9&gt;=8/24,E$9&lt;14/24)</formula>
    </cfRule>
    <cfRule type="expression" dxfId="1573" priority="292">
      <formula>AND(E$9&gt;=14/24,E$9&lt;20/24)</formula>
    </cfRule>
    <cfRule type="expression" dxfId="1572" priority="291">
      <formula>E$9&gt;=20/24</formula>
    </cfRule>
  </conditionalFormatting>
  <conditionalFormatting sqref="E55:R57">
    <cfRule type="expression" dxfId="1571" priority="362">
      <formula>E$9&lt;8/24</formula>
    </cfRule>
    <cfRule type="expression" dxfId="1570" priority="361">
      <formula>AND(E$9&gt;=8/24,E$9&lt;14/24)</formula>
    </cfRule>
    <cfRule type="expression" dxfId="1569" priority="360">
      <formula>AND(E$9&gt;=14/24,E$9&lt;20/24)</formula>
    </cfRule>
    <cfRule type="expression" dxfId="1568" priority="359">
      <formula>E$9&gt;=20/24</formula>
    </cfRule>
  </conditionalFormatting>
  <conditionalFormatting sqref="E73:Z75">
    <cfRule type="expression" dxfId="1567" priority="384">
      <formula>AND(E$9&gt;=8/24,E$9&lt;14/24)</formula>
    </cfRule>
    <cfRule type="expression" dxfId="1566" priority="383">
      <formula>AND(E$9&gt;=14/24,E$9&lt;20/24)</formula>
    </cfRule>
    <cfRule type="expression" dxfId="1565" priority="382">
      <formula>E$9&gt;=20/24</formula>
    </cfRule>
    <cfRule type="expression" dxfId="1564" priority="385">
      <formula>E$9&lt;8/24</formula>
    </cfRule>
  </conditionalFormatting>
  <conditionalFormatting sqref="H79:Z83">
    <cfRule type="expression" dxfId="1563" priority="249">
      <formula>H$9&gt;=20/24</formula>
    </cfRule>
    <cfRule type="expression" dxfId="1562" priority="250">
      <formula>AND(H$9&gt;=14/24,H$9&lt;20/24)</formula>
    </cfRule>
    <cfRule type="expression" dxfId="1561" priority="251">
      <formula>AND(H$9&gt;=8/24,H$9&lt;14/24)</formula>
    </cfRule>
    <cfRule type="expression" dxfId="1560" priority="252">
      <formula>H$9&lt;8/24</formula>
    </cfRule>
  </conditionalFormatting>
  <conditionalFormatting sqref="O3:P3">
    <cfRule type="iconSet" priority="42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559" priority="427">
      <formula>C$9&gt;=20/24</formula>
    </cfRule>
  </conditionalFormatting>
  <conditionalFormatting sqref="S8">
    <cfRule type="expression" dxfId="1558" priority="403">
      <formula>U$9&lt;8/24</formula>
    </cfRule>
    <cfRule type="expression" dxfId="1557" priority="402">
      <formula>AND(U$9&gt;=8/24,U$9&lt;14/24)</formula>
    </cfRule>
    <cfRule type="expression" dxfId="1556" priority="401">
      <formula>AND(U$9&gt;=14/24,U$9&lt;20/24)</formula>
    </cfRule>
    <cfRule type="expression" dxfId="1555" priority="400">
      <formula>U$9&gt;=20/24</formula>
    </cfRule>
  </conditionalFormatting>
  <conditionalFormatting sqref="T248">
    <cfRule type="expression" dxfId="1554" priority="440">
      <formula>AX$9&gt;=20/24</formula>
    </cfRule>
    <cfRule type="expression" dxfId="1553" priority="441">
      <formula>AND(AX$9&gt;=14/24,AX$9&lt;20/24)</formula>
    </cfRule>
    <cfRule type="expression" dxfId="1552" priority="442">
      <formula>AND(AX$9&gt;=8/24,AX$9&lt;14/24)</formula>
    </cfRule>
    <cfRule type="expression" dxfId="1551" priority="443">
      <formula>AX$9&lt;8/24</formula>
    </cfRule>
  </conditionalFormatting>
  <conditionalFormatting sqref="V3 AB3">
    <cfRule type="iconSet" priority="426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550" priority="398">
      <formula>AND(AD$9&gt;=8/24,AD$9&lt;14/24)</formula>
    </cfRule>
    <cfRule type="expression" dxfId="1549" priority="399">
      <formula>AD$9&lt;8/24</formula>
    </cfRule>
    <cfRule type="expression" dxfId="1548" priority="397">
      <formula>AND(AD$9&gt;=14/24,AD$9&lt;20/24)</formula>
    </cfRule>
    <cfRule type="expression" dxfId="1547" priority="396">
      <formula>AD$9&gt;=20/24</formula>
    </cfRule>
  </conditionalFormatting>
  <conditionalFormatting sqref="AB55:AC56 S55:V58 AD55:AF59 W55:Z60 AC57:AC59">
    <cfRule type="expression" dxfId="1546" priority="378">
      <formula>AND(S$9&gt;=14/24,S$9&lt;20/24)</formula>
    </cfRule>
    <cfRule type="expression" dxfId="1545" priority="379">
      <formula>AND(S$9&gt;=8/24,S$9&lt;14/24)</formula>
    </cfRule>
    <cfRule type="expression" dxfId="1544" priority="380">
      <formula>S$9&lt;8/24</formula>
    </cfRule>
  </conditionalFormatting>
  <conditionalFormatting sqref="AB55:AC56 AD55:AF59 AC57:AC59 S55:V58 W55:Z60">
    <cfRule type="expression" dxfId="1543" priority="377">
      <formula>S$9&gt;=20/24</formula>
    </cfRule>
  </conditionalFormatting>
  <conditionalFormatting sqref="AB55:AC56 AD55:AF59 AC57:AC59">
    <cfRule type="expression" dxfId="1542" priority="376">
      <formula>AB55&gt;$AG55</formula>
    </cfRule>
  </conditionalFormatting>
  <conditionalFormatting sqref="AB11:AF49 AA11:AA120 AB51:AF53 AB57:AB66 AC60:AF66 AB73:AF91 AB93:AF109">
    <cfRule type="expression" dxfId="1541" priority="5">
      <formula>AA$9&lt;8/24</formula>
    </cfRule>
    <cfRule type="expression" dxfId="1540" priority="2">
      <formula>AA$9&gt;=20/24</formula>
    </cfRule>
    <cfRule type="expression" dxfId="1539" priority="3">
      <formula>AND(AA$9&gt;=14/24,AA$9&lt;20/24)</formula>
    </cfRule>
    <cfRule type="expression" dxfId="1538" priority="4">
      <formula>AND(AA$9&gt;=8/24,AA$9&lt;14/24)</formula>
    </cfRule>
  </conditionalFormatting>
  <conditionalFormatting sqref="AB11:AF53 AA11:AA120 AB57:AB66 AC60:AF66 AB77:AF83 AB101:AB108">
    <cfRule type="expression" dxfId="1537" priority="1">
      <formula>AA11&gt;$AG11</formula>
    </cfRule>
  </conditionalFormatting>
  <conditionalFormatting sqref="AB67:AF72">
    <cfRule type="expression" dxfId="1536" priority="285">
      <formula>AB67&gt;$AG67</formula>
    </cfRule>
  </conditionalFormatting>
  <conditionalFormatting sqref="AB69:AF72">
    <cfRule type="expression" dxfId="1535" priority="289">
      <formula>AB$9&lt;8/24</formula>
    </cfRule>
    <cfRule type="expression" dxfId="1534" priority="288">
      <formula>AND(AB$9&gt;=8/24,AB$9&lt;14/24)</formula>
    </cfRule>
    <cfRule type="expression" dxfId="1533" priority="287">
      <formula>AND(AB$9&gt;=14/24,AB$9&lt;20/24)</formula>
    </cfRule>
    <cfRule type="expression" dxfId="1532" priority="286">
      <formula>AB$9&gt;=20/24</formula>
    </cfRule>
  </conditionalFormatting>
  <conditionalFormatting sqref="AB111:AF120">
    <cfRule type="expression" dxfId="1531" priority="168">
      <formula>AND(AB$9&gt;=14/24,AB$9&lt;20/24)</formula>
    </cfRule>
    <cfRule type="expression" dxfId="1530" priority="167">
      <formula>AB$9&gt;=20/24</formula>
    </cfRule>
    <cfRule type="expression" dxfId="1529" priority="169">
      <formula>AND(AB$9&gt;=8/24,AB$9&lt;14/24)</formula>
    </cfRule>
    <cfRule type="expression" dxfId="1528" priority="170">
      <formula>AB$9&lt;8/24</formula>
    </cfRule>
  </conditionalFormatting>
  <conditionalFormatting sqref="AB54:AG54">
    <cfRule type="expression" dxfId="1527" priority="272">
      <formula>AB54&gt;$AG54</formula>
    </cfRule>
    <cfRule type="expression" dxfId="1526" priority="276">
      <formula>AB$9&lt;8/24</formula>
    </cfRule>
    <cfRule type="expression" dxfId="1525" priority="273">
      <formula>AB$9&gt;=20/24</formula>
    </cfRule>
    <cfRule type="expression" dxfId="1524" priority="274">
      <formula>AND(AB$9&gt;=14/24,AB$9&lt;20/24)</formula>
    </cfRule>
    <cfRule type="expression" dxfId="1523" priority="275">
      <formula>AND(AB$9&gt;=8/24,AB$9&lt;14/24)</formula>
    </cfRule>
  </conditionalFormatting>
  <conditionalFormatting sqref="AG50 AG67:AG68 AG72">
    <cfRule type="expression" dxfId="1522" priority="353">
      <formula>AG50&gt;$AG50</formula>
    </cfRule>
  </conditionalFormatting>
  <conditionalFormatting sqref="AG72 AG89">
    <cfRule type="expression" dxfId="1521" priority="357">
      <formula>AG$9&lt;8/24</formula>
    </cfRule>
    <cfRule type="expression" dxfId="1520" priority="354">
      <formula>AG$9&gt;=20/24</formula>
    </cfRule>
    <cfRule type="expression" dxfId="1519" priority="355">
      <formula>AND(AG$9&gt;=14/24,AG$9&lt;20/24)</formula>
    </cfRule>
    <cfRule type="expression" dxfId="1518" priority="356">
      <formula>AND(AG$9&gt;=8/24,AG$9&lt;14/24)</formula>
    </cfRule>
  </conditionalFormatting>
  <conditionalFormatting sqref="AG248">
    <cfRule type="expression" dxfId="1517" priority="432">
      <formula>B$9&gt;=20/24</formula>
    </cfRule>
    <cfRule type="expression" dxfId="1516" priority="433">
      <formula>AND(B$9&gt;=14/24,B$9&lt;20/24)</formula>
    </cfRule>
    <cfRule type="expression" dxfId="1515" priority="434">
      <formula>AND(B$9&gt;=8/24,B$9&lt;14/24)</formula>
    </cfRule>
    <cfRule type="expression" dxfId="1514" priority="435">
      <formula>B$9&lt;8/24</formula>
    </cfRule>
  </conditionalFormatting>
  <conditionalFormatting sqref="AH248:AX248">
    <cfRule type="expression" dxfId="1513" priority="436">
      <formula>AG$9&gt;=20/24</formula>
    </cfRule>
    <cfRule type="expression" dxfId="1512" priority="437">
      <formula>AND(AG$9&gt;=14/24,AG$9&lt;20/24)</formula>
    </cfRule>
    <cfRule type="expression" dxfId="1511" priority="438">
      <formula>AND(AG$9&gt;=8/24,AG$9&lt;14/24)</formula>
    </cfRule>
    <cfRule type="expression" dxfId="1510" priority="439">
      <formula>AG$9&lt;8/24</formula>
    </cfRule>
  </conditionalFormatting>
  <conditionalFormatting sqref="AL4:AL6">
    <cfRule type="iconSet" priority="42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31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31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41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40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4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509" priority="448">
      <formula>AJ$9&lt;8/24</formula>
    </cfRule>
    <cfRule type="expression" dxfId="1508" priority="445">
      <formula>AJ$9&gt;=20/24</formula>
    </cfRule>
    <cfRule type="expression" dxfId="1507" priority="446">
      <formula>AND(AJ$9&gt;=14/24,AJ$9&lt;20/24)</formula>
    </cfRule>
    <cfRule type="expression" dxfId="1506" priority="447">
      <formula>AND(AJ$9&gt;=8/24,AJ$9&lt;14/24)</formula>
    </cfRule>
  </conditionalFormatting>
  <conditionalFormatting sqref="AL80:AN80 AL86:AN86">
    <cfRule type="expression" dxfId="1505" priority="248">
      <formula>AL$9&lt;8/24</formula>
    </cfRule>
    <cfRule type="expression" dxfId="1504" priority="246">
      <formula>AND(AL$9&gt;=14/24,AL$9&lt;20/24)</formula>
    </cfRule>
    <cfRule type="expression" dxfId="1503" priority="245">
      <formula>AL$9&gt;=20/24</formula>
    </cfRule>
    <cfRule type="expression" dxfId="1502" priority="247">
      <formula>AND(AL$9&gt;=8/24,AL$9&lt;14/24)</formula>
    </cfRule>
  </conditionalFormatting>
  <conditionalFormatting sqref="AN81:AN84">
    <cfRule type="expression" dxfId="1501" priority="241">
      <formula>AN$9&gt;=20/24</formula>
    </cfRule>
    <cfRule type="expression" dxfId="1500" priority="242">
      <formula>AND(AN$9&gt;=14/24,AN$9&lt;20/24)</formula>
    </cfRule>
    <cfRule type="expression" dxfId="1499" priority="243">
      <formula>AND(AN$9&gt;=8/24,AN$9&lt;14/24)</formula>
    </cfRule>
    <cfRule type="expression" dxfId="1498" priority="244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6E33-5A0C-4B97-93DA-785D29535131}">
  <dimension ref="A1:CJ281"/>
  <sheetViews>
    <sheetView zoomScale="112" zoomScaleNormal="112" workbookViewId="0">
      <pane xSplit="1" ySplit="10" topLeftCell="B108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S120" sqref="S12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7.5703125" style="1" customWidth="1"/>
    <col min="19" max="19" width="7" style="1" customWidth="1"/>
    <col min="20" max="20" width="6.85546875" style="1" customWidth="1"/>
    <col min="21" max="22" width="8.140625" style="1" customWidth="1"/>
    <col min="23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2080/03/12</v>
      </c>
      <c r="C4" s="187"/>
      <c r="D4" s="187"/>
      <c r="E4" s="188" t="str">
        <f ca="1">"2079/"&amp;"12/"&amp;INT(MID(CELL("filename",G6),FIND("]",CELL("filename",G6))+1,200))</f>
        <v>2079/12/12</v>
      </c>
      <c r="F4" s="188"/>
      <c r="G4" s="188"/>
      <c r="H4" s="188" t="str">
        <f ca="1">TEXT(E4,"dddd")</f>
        <v>Tuesday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49.6</v>
      </c>
      <c r="C5" s="30">
        <f t="shared" si="0"/>
        <v>49.1</v>
      </c>
      <c r="D5" s="30">
        <f t="shared" si="0"/>
        <v>34.799999999999997</v>
      </c>
      <c r="E5" s="30">
        <f t="shared" si="0"/>
        <v>32</v>
      </c>
      <c r="F5" s="30">
        <f t="shared" si="0"/>
        <v>34.1</v>
      </c>
      <c r="G5" s="30">
        <f t="shared" si="0"/>
        <v>26</v>
      </c>
      <c r="H5" s="30">
        <f t="shared" si="0"/>
        <v>28.4</v>
      </c>
      <c r="I5" s="30">
        <f t="shared" si="0"/>
        <v>40.299999999999997</v>
      </c>
      <c r="J5" s="30">
        <f t="shared" si="0"/>
        <v>45.3</v>
      </c>
      <c r="K5" s="30">
        <f t="shared" si="0"/>
        <v>44.2</v>
      </c>
      <c r="L5" s="30">
        <f t="shared" si="0"/>
        <v>34.700000000000003</v>
      </c>
      <c r="M5" s="30">
        <f t="shared" si="0"/>
        <v>40</v>
      </c>
      <c r="N5" s="30">
        <f t="shared" si="0"/>
        <v>56.900000000000006</v>
      </c>
      <c r="O5" s="30">
        <f t="shared" si="0"/>
        <v>51.9</v>
      </c>
      <c r="P5" s="30">
        <f t="shared" si="0"/>
        <v>55.4</v>
      </c>
      <c r="Q5" s="30">
        <f t="shared" si="0"/>
        <v>58.3</v>
      </c>
      <c r="R5" s="30">
        <f t="shared" si="0"/>
        <v>52.9</v>
      </c>
      <c r="S5" s="30">
        <f t="shared" si="0"/>
        <v>45.2</v>
      </c>
      <c r="T5" s="30">
        <f t="shared" si="0"/>
        <v>86.9</v>
      </c>
      <c r="U5" s="30">
        <f t="shared" si="0"/>
        <v>92.4</v>
      </c>
      <c r="V5" s="30">
        <f t="shared" si="0"/>
        <v>91.2</v>
      </c>
      <c r="W5" s="30">
        <f t="shared" si="0"/>
        <v>72.7</v>
      </c>
      <c r="X5" s="30">
        <f t="shared" si="0"/>
        <v>73.099999999999994</v>
      </c>
      <c r="Y5" s="30">
        <f t="shared" si="0"/>
        <v>88.5</v>
      </c>
      <c r="Z5" s="30">
        <f t="shared" si="0"/>
        <v>106.2</v>
      </c>
      <c r="AA5" s="30">
        <f t="shared" si="0"/>
        <v>106.2</v>
      </c>
      <c r="AB5" s="30">
        <f t="shared" si="0"/>
        <v>106.2</v>
      </c>
      <c r="AC5" s="30">
        <f t="shared" si="0"/>
        <v>95.3</v>
      </c>
      <c r="AD5" s="30">
        <f t="shared" si="0"/>
        <v>55</v>
      </c>
      <c r="AE5" s="30">
        <f t="shared" si="0"/>
        <v>50</v>
      </c>
      <c r="AF5" s="30">
        <f>B84</f>
        <v>45.400000000000006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1938MW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Load=1850</v>
      </c>
      <c r="B7" s="35">
        <f t="shared" ref="B7:AF7" si="1">B91</f>
        <v>1890.35</v>
      </c>
      <c r="C7" s="35">
        <f t="shared" si="1"/>
        <v>1913.0499999999997</v>
      </c>
      <c r="D7" s="35">
        <f t="shared" si="1"/>
        <v>1955.1499999999999</v>
      </c>
      <c r="E7" s="35">
        <f t="shared" si="1"/>
        <v>1883.85</v>
      </c>
      <c r="F7" s="35">
        <f t="shared" si="1"/>
        <v>1881.05</v>
      </c>
      <c r="G7" s="35">
        <f t="shared" si="1"/>
        <v>1896.25</v>
      </c>
      <c r="H7" s="35">
        <f t="shared" si="1"/>
        <v>1887.25</v>
      </c>
      <c r="I7" s="35">
        <f t="shared" si="1"/>
        <v>1907.75</v>
      </c>
      <c r="J7" s="35">
        <f t="shared" si="1"/>
        <v>1855.75</v>
      </c>
      <c r="K7" s="35">
        <f t="shared" si="1"/>
        <v>1860.75</v>
      </c>
      <c r="L7" s="35">
        <f t="shared" si="1"/>
        <v>1937.65</v>
      </c>
      <c r="M7" s="35">
        <f t="shared" si="1"/>
        <v>1849.7499999999998</v>
      </c>
      <c r="N7" s="35">
        <f>N91</f>
        <v>1853.5500000000002</v>
      </c>
      <c r="O7" s="35">
        <f t="shared" si="1"/>
        <v>1932.15</v>
      </c>
      <c r="P7" s="35">
        <f t="shared" si="1"/>
        <v>1923.9500000000003</v>
      </c>
      <c r="Q7" s="35">
        <f t="shared" si="1"/>
        <v>1927.5500000000002</v>
      </c>
      <c r="R7" s="35">
        <f t="shared" si="1"/>
        <v>1933.29</v>
      </c>
      <c r="S7" s="35">
        <f t="shared" si="1"/>
        <v>1858.69</v>
      </c>
      <c r="T7" s="35">
        <f t="shared" si="1"/>
        <v>1861.69</v>
      </c>
      <c r="U7" s="35">
        <f t="shared" si="1"/>
        <v>1890.0900000000001</v>
      </c>
      <c r="V7" s="35">
        <f t="shared" si="1"/>
        <v>1945.0900000000001</v>
      </c>
      <c r="W7" s="35">
        <f t="shared" si="1"/>
        <v>1926.5900000000001</v>
      </c>
      <c r="X7" s="35">
        <f t="shared" si="1"/>
        <v>1908.0900000000001</v>
      </c>
      <c r="Y7" s="35">
        <f t="shared" si="1"/>
        <v>1907.5900000000001</v>
      </c>
      <c r="Z7" s="35">
        <f t="shared" si="1"/>
        <v>1953.79</v>
      </c>
      <c r="AA7" s="35">
        <f t="shared" si="1"/>
        <v>2036.8900000000003</v>
      </c>
      <c r="AB7" s="35">
        <f t="shared" si="1"/>
        <v>1991.1900000000003</v>
      </c>
      <c r="AC7" s="35">
        <f t="shared" si="1"/>
        <v>1991.1900000000003</v>
      </c>
      <c r="AD7" s="35">
        <f t="shared" si="1"/>
        <v>1934.0900000000001</v>
      </c>
      <c r="AE7" s="35">
        <f t="shared" si="1"/>
        <v>1902.4900000000002</v>
      </c>
      <c r="AF7" s="35">
        <f t="shared" si="1"/>
        <v>1949.4900000000002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60.5</v>
      </c>
      <c r="C11" s="45">
        <v>60.5</v>
      </c>
      <c r="D11" s="45">
        <v>60.5</v>
      </c>
      <c r="E11" s="45">
        <v>60.5</v>
      </c>
      <c r="F11" s="45">
        <v>60.5</v>
      </c>
      <c r="G11" s="45">
        <v>60.5</v>
      </c>
      <c r="H11" s="45">
        <v>60.5</v>
      </c>
      <c r="I11" s="45">
        <v>60.5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50</v>
      </c>
      <c r="W11" s="45">
        <v>50</v>
      </c>
      <c r="X11" s="45">
        <v>50</v>
      </c>
      <c r="Y11" s="45">
        <v>52.5</v>
      </c>
      <c r="Z11" s="45">
        <v>52.5</v>
      </c>
      <c r="AA11" s="45">
        <v>53.9</v>
      </c>
      <c r="AB11" s="45">
        <v>53.9</v>
      </c>
      <c r="AC11" s="45">
        <v>53.9</v>
      </c>
      <c r="AD11" s="45">
        <v>53.9</v>
      </c>
      <c r="AE11" s="45">
        <v>53.9</v>
      </c>
      <c r="AF11" s="45">
        <v>53.9</v>
      </c>
      <c r="AG11" s="46">
        <v>86</v>
      </c>
      <c r="AH11" s="47">
        <f t="shared" ref="AH11:AH76" si="2">MAX(B11:AF11)</f>
        <v>60.5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27</v>
      </c>
      <c r="C12" s="45">
        <v>27</v>
      </c>
      <c r="D12" s="45">
        <v>27</v>
      </c>
      <c r="E12" s="45">
        <v>27</v>
      </c>
      <c r="F12" s="45">
        <v>27</v>
      </c>
      <c r="G12" s="45">
        <v>27</v>
      </c>
      <c r="H12" s="45">
        <v>27</v>
      </c>
      <c r="I12" s="45">
        <v>27</v>
      </c>
      <c r="J12" s="45">
        <v>27</v>
      </c>
      <c r="K12" s="45">
        <v>27</v>
      </c>
      <c r="L12" s="45">
        <v>27</v>
      </c>
      <c r="M12" s="45">
        <v>0</v>
      </c>
      <c r="N12" s="45">
        <v>0</v>
      </c>
      <c r="O12" s="45">
        <v>0</v>
      </c>
      <c r="P12" s="45">
        <v>20</v>
      </c>
      <c r="Q12" s="45">
        <v>20</v>
      </c>
      <c r="R12" s="45">
        <v>20</v>
      </c>
      <c r="S12" s="45">
        <v>20</v>
      </c>
      <c r="T12" s="45">
        <v>20</v>
      </c>
      <c r="U12" s="45">
        <v>20</v>
      </c>
      <c r="V12" s="45">
        <v>20</v>
      </c>
      <c r="W12" s="45">
        <v>20</v>
      </c>
      <c r="X12" s="45">
        <v>20</v>
      </c>
      <c r="Y12" s="45">
        <v>19.600000000000001</v>
      </c>
      <c r="Z12" s="45">
        <v>27</v>
      </c>
      <c r="AA12" s="45">
        <v>27</v>
      </c>
      <c r="AB12" s="45">
        <v>27</v>
      </c>
      <c r="AC12" s="45">
        <v>27</v>
      </c>
      <c r="AD12" s="45">
        <v>21</v>
      </c>
      <c r="AE12" s="45">
        <v>21</v>
      </c>
      <c r="AF12" s="45">
        <v>21</v>
      </c>
      <c r="AG12" s="49">
        <v>54</v>
      </c>
      <c r="AH12" s="47">
        <f t="shared" si="2"/>
        <v>27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54.4</v>
      </c>
      <c r="C13" s="45">
        <v>54.4</v>
      </c>
      <c r="D13" s="45">
        <v>54.4</v>
      </c>
      <c r="E13" s="45">
        <v>54.4</v>
      </c>
      <c r="F13" s="45">
        <v>54.4</v>
      </c>
      <c r="G13" s="45">
        <v>54.4</v>
      </c>
      <c r="H13" s="45">
        <v>54.4</v>
      </c>
      <c r="I13" s="45">
        <v>54.4</v>
      </c>
      <c r="J13" s="45">
        <v>54.4</v>
      </c>
      <c r="K13" s="45">
        <v>54.4</v>
      </c>
      <c r="L13" s="45">
        <v>54.4</v>
      </c>
      <c r="M13" s="45">
        <v>54.4</v>
      </c>
      <c r="N13" s="45">
        <v>54.4</v>
      </c>
      <c r="O13" s="45">
        <v>54.4</v>
      </c>
      <c r="P13" s="45">
        <v>54.3</v>
      </c>
      <c r="Q13" s="45">
        <v>54.3</v>
      </c>
      <c r="R13" s="45">
        <v>54.3</v>
      </c>
      <c r="S13" s="45">
        <v>54.3</v>
      </c>
      <c r="T13" s="45">
        <v>54.3</v>
      </c>
      <c r="U13" s="45">
        <v>54.3</v>
      </c>
      <c r="V13" s="45">
        <v>54.4</v>
      </c>
      <c r="W13" s="45">
        <v>54.4</v>
      </c>
      <c r="X13" s="45">
        <v>54.4</v>
      </c>
      <c r="Y13" s="45">
        <v>54.4</v>
      </c>
      <c r="Z13" s="45">
        <v>54.4</v>
      </c>
      <c r="AA13" s="45">
        <v>54.4</v>
      </c>
      <c r="AB13" s="45">
        <v>54.4</v>
      </c>
      <c r="AC13" s="45">
        <v>54.4</v>
      </c>
      <c r="AD13" s="45">
        <v>54.4</v>
      </c>
      <c r="AE13" s="45">
        <v>54.4</v>
      </c>
      <c r="AF13" s="45">
        <v>54.4</v>
      </c>
      <c r="AG13" s="46">
        <v>52.4</v>
      </c>
      <c r="AH13" s="47">
        <f t="shared" si="2"/>
        <v>54.4</v>
      </c>
      <c r="AI13" s="48">
        <f t="shared" si="3"/>
        <v>54.3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45">
        <v>50.4</v>
      </c>
      <c r="C14" s="45">
        <v>50.4</v>
      </c>
      <c r="D14" s="45">
        <v>50.4</v>
      </c>
      <c r="E14" s="45">
        <v>50.4</v>
      </c>
      <c r="F14" s="45">
        <v>50.4</v>
      </c>
      <c r="G14" s="45">
        <v>50.4</v>
      </c>
      <c r="H14" s="45">
        <v>50.4</v>
      </c>
      <c r="I14" s="45">
        <v>50.4</v>
      </c>
      <c r="J14" s="45">
        <v>50.4</v>
      </c>
      <c r="K14" s="45">
        <v>50.4</v>
      </c>
      <c r="L14" s="45">
        <v>50.4</v>
      </c>
      <c r="M14" s="45">
        <v>50.4</v>
      </c>
      <c r="N14" s="45">
        <v>50.4</v>
      </c>
      <c r="O14" s="45">
        <v>50.4</v>
      </c>
      <c r="P14" s="45">
        <v>50.4</v>
      </c>
      <c r="Q14" s="45">
        <v>50.4</v>
      </c>
      <c r="R14" s="45">
        <v>50.4</v>
      </c>
      <c r="S14" s="45">
        <v>50.4</v>
      </c>
      <c r="T14" s="45">
        <v>50.4</v>
      </c>
      <c r="U14" s="45">
        <v>50.4</v>
      </c>
      <c r="V14" s="45">
        <v>50.4</v>
      </c>
      <c r="W14" s="45">
        <v>50.4</v>
      </c>
      <c r="X14" s="45">
        <v>50.4</v>
      </c>
      <c r="Y14" s="45">
        <v>50.4</v>
      </c>
      <c r="Z14" s="45">
        <v>50.4</v>
      </c>
      <c r="AA14" s="45">
        <v>50.4</v>
      </c>
      <c r="AB14" s="45">
        <v>50.4</v>
      </c>
      <c r="AC14" s="45">
        <v>50.4</v>
      </c>
      <c r="AD14" s="45">
        <v>50.4</v>
      </c>
      <c r="AE14" s="45">
        <v>50.4</v>
      </c>
      <c r="AF14" s="45">
        <v>50.4</v>
      </c>
      <c r="AG14" s="49">
        <v>50</v>
      </c>
      <c r="AH14" s="47">
        <f t="shared" si="2"/>
        <v>50.4</v>
      </c>
      <c r="AI14" s="48">
        <f t="shared" si="3"/>
        <v>50.4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45.9</v>
      </c>
      <c r="C15" s="45">
        <v>45.9</v>
      </c>
      <c r="D15" s="45">
        <v>45.9</v>
      </c>
      <c r="E15" s="45">
        <v>45.9</v>
      </c>
      <c r="F15" s="45">
        <v>45.9</v>
      </c>
      <c r="G15" s="45">
        <v>45.9</v>
      </c>
      <c r="H15" s="45">
        <v>45.9</v>
      </c>
      <c r="I15" s="45">
        <v>45.9</v>
      </c>
      <c r="J15" s="45">
        <v>45.9</v>
      </c>
      <c r="K15" s="45">
        <v>45.9</v>
      </c>
      <c r="L15" s="45">
        <v>45.9</v>
      </c>
      <c r="M15" s="45">
        <v>45.9</v>
      </c>
      <c r="N15" s="45">
        <v>45.9</v>
      </c>
      <c r="O15" s="45">
        <v>45.9</v>
      </c>
      <c r="P15" s="45">
        <v>45.7</v>
      </c>
      <c r="Q15" s="45">
        <v>45.7</v>
      </c>
      <c r="R15" s="45">
        <v>45.7</v>
      </c>
      <c r="S15" s="45">
        <v>45.7</v>
      </c>
      <c r="T15" s="45">
        <v>45.7</v>
      </c>
      <c r="U15" s="45">
        <v>45.7</v>
      </c>
      <c r="V15" s="45">
        <v>45.9</v>
      </c>
      <c r="W15" s="45">
        <v>45.9</v>
      </c>
      <c r="X15" s="45">
        <v>45.9</v>
      </c>
      <c r="Y15" s="45">
        <v>45.9</v>
      </c>
      <c r="Z15" s="45">
        <v>45.9</v>
      </c>
      <c r="AA15" s="45">
        <v>45.9</v>
      </c>
      <c r="AB15" s="45">
        <v>45.9</v>
      </c>
      <c r="AC15" s="45">
        <v>45.9</v>
      </c>
      <c r="AD15" s="45">
        <v>45.9</v>
      </c>
      <c r="AE15" s="45">
        <v>45.9</v>
      </c>
      <c r="AF15" s="45">
        <v>45.9</v>
      </c>
      <c r="AG15" s="49">
        <v>45</v>
      </c>
      <c r="AH15" s="47">
        <f t="shared" si="2"/>
        <v>45.9</v>
      </c>
      <c r="AI15" s="48">
        <f t="shared" si="3"/>
        <v>45.7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45</v>
      </c>
      <c r="Q16" s="45">
        <v>45</v>
      </c>
      <c r="R16" s="45">
        <v>45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9">
        <v>44</v>
      </c>
      <c r="AH16" s="47">
        <f>MAX(B16:AG16)</f>
        <v>45</v>
      </c>
      <c r="AI16" s="48">
        <f>MIN(B16:AG16)</f>
        <v>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32.5</v>
      </c>
      <c r="C17" s="45">
        <v>32.5</v>
      </c>
      <c r="D17" s="45">
        <v>32.5</v>
      </c>
      <c r="E17" s="45">
        <v>31.5</v>
      </c>
      <c r="F17" s="45">
        <v>31.5</v>
      </c>
      <c r="G17" s="45">
        <v>31.5</v>
      </c>
      <c r="H17" s="45">
        <v>31.5</v>
      </c>
      <c r="I17" s="45">
        <v>31.5</v>
      </c>
      <c r="J17" s="45">
        <v>31.5</v>
      </c>
      <c r="K17" s="45">
        <v>31.5</v>
      </c>
      <c r="L17" s="45">
        <v>31.5</v>
      </c>
      <c r="M17" s="45">
        <v>30.7</v>
      </c>
      <c r="N17" s="45">
        <v>30.7</v>
      </c>
      <c r="O17" s="45">
        <v>30.7</v>
      </c>
      <c r="P17" s="45">
        <v>30.7</v>
      </c>
      <c r="Q17" s="45">
        <v>30.7</v>
      </c>
      <c r="R17" s="45">
        <v>30.7</v>
      </c>
      <c r="S17" s="45">
        <v>42</v>
      </c>
      <c r="T17" s="45">
        <v>42</v>
      </c>
      <c r="U17" s="45">
        <v>42</v>
      </c>
      <c r="V17" s="45">
        <v>42</v>
      </c>
      <c r="W17" s="45">
        <v>42</v>
      </c>
      <c r="X17" s="45">
        <v>42</v>
      </c>
      <c r="Y17" s="45">
        <v>40.5</v>
      </c>
      <c r="Z17" s="45">
        <v>40.5</v>
      </c>
      <c r="AA17" s="45">
        <v>40.5</v>
      </c>
      <c r="AB17" s="45">
        <v>40.5</v>
      </c>
      <c r="AC17" s="45">
        <v>40.5</v>
      </c>
      <c r="AD17" s="45">
        <v>40.5</v>
      </c>
      <c r="AE17" s="45">
        <v>32</v>
      </c>
      <c r="AF17" s="45">
        <v>0</v>
      </c>
      <c r="AG17" s="49">
        <v>42</v>
      </c>
      <c r="AH17" s="47">
        <f t="shared" si="2"/>
        <v>42</v>
      </c>
      <c r="AI17" s="48">
        <f t="shared" si="3"/>
        <v>0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28.2</v>
      </c>
      <c r="C18" s="45">
        <v>28.2</v>
      </c>
      <c r="D18" s="45">
        <v>28.2</v>
      </c>
      <c r="E18" s="45">
        <v>28.2</v>
      </c>
      <c r="F18" s="45">
        <v>28.2</v>
      </c>
      <c r="G18" s="45">
        <v>28.2</v>
      </c>
      <c r="H18" s="45">
        <v>28.2</v>
      </c>
      <c r="I18" s="45">
        <v>28.2</v>
      </c>
      <c r="J18" s="45">
        <v>28.2</v>
      </c>
      <c r="K18" s="45">
        <v>28.2</v>
      </c>
      <c r="L18" s="45">
        <v>28.2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0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0</v>
      </c>
      <c r="C19" s="45">
        <v>0</v>
      </c>
      <c r="D19" s="45">
        <v>10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25</v>
      </c>
      <c r="N19" s="45">
        <v>25</v>
      </c>
      <c r="O19" s="45">
        <v>25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0</v>
      </c>
      <c r="AE19" s="45">
        <v>0</v>
      </c>
      <c r="AF19" s="45">
        <v>0</v>
      </c>
      <c r="AG19" s="49">
        <v>36</v>
      </c>
      <c r="AH19" s="47">
        <f t="shared" si="2"/>
        <v>36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29</v>
      </c>
      <c r="C20" s="45">
        <v>29</v>
      </c>
      <c r="D20" s="45">
        <v>29</v>
      </c>
      <c r="E20" s="45">
        <v>14.7</v>
      </c>
      <c r="F20" s="45">
        <v>14.7</v>
      </c>
      <c r="G20" s="45">
        <v>20</v>
      </c>
      <c r="H20" s="45">
        <v>20</v>
      </c>
      <c r="I20" s="45">
        <v>30</v>
      </c>
      <c r="J20" s="45">
        <v>30</v>
      </c>
      <c r="K20" s="45">
        <v>30</v>
      </c>
      <c r="L20" s="45">
        <v>30</v>
      </c>
      <c r="M20" s="45">
        <v>30</v>
      </c>
      <c r="N20" s="45">
        <v>15.3</v>
      </c>
      <c r="O20" s="45">
        <v>29</v>
      </c>
      <c r="P20" s="45">
        <v>15.3</v>
      </c>
      <c r="Q20" s="45">
        <v>15.3</v>
      </c>
      <c r="R20" s="45">
        <v>10</v>
      </c>
      <c r="S20" s="45">
        <v>10</v>
      </c>
      <c r="T20" s="45">
        <v>10</v>
      </c>
      <c r="U20" s="45">
        <v>10</v>
      </c>
      <c r="V20" s="45">
        <v>15.6</v>
      </c>
      <c r="W20" s="45">
        <v>15.6</v>
      </c>
      <c r="X20" s="45">
        <v>15.6</v>
      </c>
      <c r="Y20" s="45">
        <v>15.6</v>
      </c>
      <c r="Z20" s="45">
        <v>15.6</v>
      </c>
      <c r="AA20" s="45">
        <v>20</v>
      </c>
      <c r="AB20" s="45">
        <v>20</v>
      </c>
      <c r="AC20" s="45">
        <v>20</v>
      </c>
      <c r="AD20" s="45">
        <v>20</v>
      </c>
      <c r="AE20" s="45">
        <v>20</v>
      </c>
      <c r="AF20" s="45">
        <v>20</v>
      </c>
      <c r="AG20" s="51">
        <v>30</v>
      </c>
      <c r="AH20" s="47">
        <f t="shared" si="2"/>
        <v>30</v>
      </c>
      <c r="AI20" s="48">
        <f t="shared" si="3"/>
        <v>10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18.8</v>
      </c>
      <c r="C21" s="45">
        <v>18.8</v>
      </c>
      <c r="D21" s="45">
        <v>18.8</v>
      </c>
      <c r="E21" s="45">
        <v>18.8</v>
      </c>
      <c r="F21" s="45">
        <v>18.8</v>
      </c>
      <c r="G21" s="45">
        <v>18.8</v>
      </c>
      <c r="H21" s="45">
        <v>18.8</v>
      </c>
      <c r="I21" s="45">
        <v>18.8</v>
      </c>
      <c r="J21" s="45">
        <v>18.8</v>
      </c>
      <c r="K21" s="45">
        <v>18.8</v>
      </c>
      <c r="L21" s="45">
        <v>18.8</v>
      </c>
      <c r="M21" s="45">
        <v>18.8</v>
      </c>
      <c r="N21" s="45">
        <v>18.8</v>
      </c>
      <c r="O21" s="45">
        <v>18.8</v>
      </c>
      <c r="P21" s="45">
        <v>18.8</v>
      </c>
      <c r="Q21" s="45">
        <v>18.8</v>
      </c>
      <c r="R21" s="45">
        <v>22.8</v>
      </c>
      <c r="S21" s="45">
        <v>22.8</v>
      </c>
      <c r="T21" s="45">
        <v>22.8</v>
      </c>
      <c r="U21" s="45">
        <v>22.8</v>
      </c>
      <c r="V21" s="45">
        <v>22.8</v>
      </c>
      <c r="W21" s="45">
        <v>22.8</v>
      </c>
      <c r="X21" s="45">
        <v>22.8</v>
      </c>
      <c r="Y21" s="45">
        <v>22.8</v>
      </c>
      <c r="Z21" s="45">
        <v>22.8</v>
      </c>
      <c r="AA21" s="45">
        <v>22.8</v>
      </c>
      <c r="AB21" s="45">
        <v>22.8</v>
      </c>
      <c r="AC21" s="45">
        <v>22.8</v>
      </c>
      <c r="AD21" s="45">
        <v>22.8</v>
      </c>
      <c r="AE21" s="45">
        <v>22.8</v>
      </c>
      <c r="AF21" s="45">
        <v>22.8</v>
      </c>
      <c r="AG21" s="49">
        <v>24.2</v>
      </c>
      <c r="AH21" s="47">
        <f t="shared" si="2"/>
        <v>22.8</v>
      </c>
      <c r="AI21" s="48">
        <f t="shared" si="3"/>
        <v>18.8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20</v>
      </c>
      <c r="Q22" s="45">
        <v>20</v>
      </c>
      <c r="R22" s="45">
        <v>20</v>
      </c>
      <c r="S22" s="45">
        <v>20</v>
      </c>
      <c r="T22" s="45">
        <v>20</v>
      </c>
      <c r="U22" s="45">
        <v>20</v>
      </c>
      <c r="V22" s="45">
        <v>20</v>
      </c>
      <c r="W22" s="45">
        <v>20</v>
      </c>
      <c r="X22" s="45">
        <v>20</v>
      </c>
      <c r="Y22" s="45">
        <v>20</v>
      </c>
      <c r="Z22" s="45">
        <v>20</v>
      </c>
      <c r="AA22" s="45">
        <v>25</v>
      </c>
      <c r="AB22" s="45">
        <v>25</v>
      </c>
      <c r="AC22" s="45">
        <v>25</v>
      </c>
      <c r="AD22" s="45">
        <v>25</v>
      </c>
      <c r="AE22" s="45">
        <v>25</v>
      </c>
      <c r="AF22" s="45">
        <v>25</v>
      </c>
      <c r="AG22" s="49">
        <v>28</v>
      </c>
      <c r="AH22" s="47">
        <f t="shared" si="2"/>
        <v>25</v>
      </c>
      <c r="AI22" s="48">
        <f t="shared" si="3"/>
        <v>20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10</v>
      </c>
      <c r="X23" s="45">
        <v>10</v>
      </c>
      <c r="Y23" s="45">
        <v>10</v>
      </c>
      <c r="Z23" s="45">
        <v>25</v>
      </c>
      <c r="AA23" s="45">
        <v>25</v>
      </c>
      <c r="AB23" s="45">
        <v>25</v>
      </c>
      <c r="AC23" s="45">
        <v>25</v>
      </c>
      <c r="AD23" s="45">
        <v>25</v>
      </c>
      <c r="AE23" s="45">
        <v>25</v>
      </c>
      <c r="AF23" s="45">
        <v>25</v>
      </c>
      <c r="AG23" s="51">
        <v>30</v>
      </c>
      <c r="AH23" s="47">
        <f t="shared" si="2"/>
        <v>25</v>
      </c>
      <c r="AI23" s="48">
        <f t="shared" si="3"/>
        <v>9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25</v>
      </c>
      <c r="C24" s="45">
        <v>25</v>
      </c>
      <c r="D24" s="45">
        <v>25</v>
      </c>
      <c r="E24" s="45">
        <v>25</v>
      </c>
      <c r="F24" s="45">
        <v>25</v>
      </c>
      <c r="G24" s="45">
        <v>25</v>
      </c>
      <c r="H24" s="45">
        <v>25</v>
      </c>
      <c r="I24" s="45">
        <v>25</v>
      </c>
      <c r="J24" s="45">
        <v>25</v>
      </c>
      <c r="K24" s="45">
        <v>25</v>
      </c>
      <c r="L24" s="45">
        <v>25</v>
      </c>
      <c r="M24" s="45">
        <v>25</v>
      </c>
      <c r="N24" s="45">
        <v>25</v>
      </c>
      <c r="O24" s="45">
        <v>25</v>
      </c>
      <c r="P24" s="45">
        <v>25</v>
      </c>
      <c r="Q24" s="45">
        <v>25</v>
      </c>
      <c r="R24" s="45">
        <v>25.3</v>
      </c>
      <c r="S24" s="45">
        <v>25.3</v>
      </c>
      <c r="T24" s="45">
        <v>25.3</v>
      </c>
      <c r="U24" s="45">
        <v>25.3</v>
      </c>
      <c r="V24" s="45">
        <v>25.3</v>
      </c>
      <c r="W24" s="45">
        <v>25.3</v>
      </c>
      <c r="X24" s="45">
        <v>25.3</v>
      </c>
      <c r="Y24" s="45">
        <v>25.3</v>
      </c>
      <c r="Z24" s="45">
        <v>25.3</v>
      </c>
      <c r="AA24" s="45">
        <v>26.2</v>
      </c>
      <c r="AB24" s="45">
        <v>26.2</v>
      </c>
      <c r="AC24" s="45">
        <v>26.2</v>
      </c>
      <c r="AD24" s="45">
        <v>26.2</v>
      </c>
      <c r="AE24" s="45">
        <v>26.2</v>
      </c>
      <c r="AF24" s="45">
        <v>26.2</v>
      </c>
      <c r="AG24" s="49">
        <v>25</v>
      </c>
      <c r="AH24" s="47">
        <f t="shared" si="2"/>
        <v>26.2</v>
      </c>
      <c r="AI24" s="48">
        <f t="shared" si="3"/>
        <v>25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21.4</v>
      </c>
      <c r="C26" s="45">
        <v>21.4</v>
      </c>
      <c r="D26" s="45">
        <v>21.4</v>
      </c>
      <c r="E26" s="45">
        <v>21.4</v>
      </c>
      <c r="F26" s="45">
        <v>21.4</v>
      </c>
      <c r="G26" s="45">
        <v>21.4</v>
      </c>
      <c r="H26" s="45">
        <v>21.4</v>
      </c>
      <c r="I26" s="45">
        <v>21.4</v>
      </c>
      <c r="J26" s="45">
        <v>21.4</v>
      </c>
      <c r="K26" s="45">
        <v>21.4</v>
      </c>
      <c r="L26" s="45">
        <v>21.4</v>
      </c>
      <c r="M26" s="45">
        <v>21.4</v>
      </c>
      <c r="N26" s="45">
        <v>21.4</v>
      </c>
      <c r="O26" s="45">
        <v>21.4</v>
      </c>
      <c r="P26" s="45">
        <v>21.4</v>
      </c>
      <c r="Q26" s="45">
        <v>21.4</v>
      </c>
      <c r="R26" s="45">
        <v>21.4</v>
      </c>
      <c r="S26" s="45">
        <v>21.4</v>
      </c>
      <c r="T26" s="45">
        <v>21.4</v>
      </c>
      <c r="U26" s="45">
        <v>21.4</v>
      </c>
      <c r="V26" s="45">
        <v>21.4</v>
      </c>
      <c r="W26" s="45">
        <v>21.4</v>
      </c>
      <c r="X26" s="45">
        <v>21.4</v>
      </c>
      <c r="Y26" s="45">
        <v>21.4</v>
      </c>
      <c r="Z26" s="45">
        <v>21.4</v>
      </c>
      <c r="AA26" s="45">
        <v>21.4</v>
      </c>
      <c r="AB26" s="45">
        <v>21.4</v>
      </c>
      <c r="AC26" s="45">
        <v>21.4</v>
      </c>
      <c r="AD26" s="45">
        <v>21.4</v>
      </c>
      <c r="AE26" s="45">
        <v>21.4</v>
      </c>
      <c r="AF26" s="45">
        <v>21.4</v>
      </c>
      <c r="AG26" s="49">
        <v>25</v>
      </c>
      <c r="AH26" s="47">
        <f t="shared" si="2"/>
        <v>21.4</v>
      </c>
      <c r="AI26" s="48">
        <f t="shared" si="3"/>
        <v>21.4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25</v>
      </c>
      <c r="C27" s="45">
        <v>25</v>
      </c>
      <c r="D27" s="45">
        <v>25</v>
      </c>
      <c r="E27" s="45">
        <v>12.5</v>
      </c>
      <c r="F27" s="45">
        <v>12.5</v>
      </c>
      <c r="G27" s="45">
        <v>18</v>
      </c>
      <c r="H27" s="45">
        <v>18</v>
      </c>
      <c r="I27" s="45">
        <v>25</v>
      </c>
      <c r="J27" s="45">
        <v>25</v>
      </c>
      <c r="K27" s="45">
        <v>25</v>
      </c>
      <c r="L27" s="45">
        <v>25</v>
      </c>
      <c r="M27" s="45">
        <v>25</v>
      </c>
      <c r="N27" s="45">
        <v>25</v>
      </c>
      <c r="O27" s="45">
        <v>25</v>
      </c>
      <c r="P27" s="45">
        <v>13</v>
      </c>
      <c r="Q27" s="45">
        <v>13</v>
      </c>
      <c r="R27" s="45">
        <v>10</v>
      </c>
      <c r="S27" s="45">
        <v>10</v>
      </c>
      <c r="T27" s="45">
        <v>10</v>
      </c>
      <c r="U27" s="45">
        <v>10</v>
      </c>
      <c r="V27" s="45">
        <v>10</v>
      </c>
      <c r="W27" s="45">
        <v>10</v>
      </c>
      <c r="X27" s="45">
        <v>10</v>
      </c>
      <c r="Y27" s="45">
        <v>10.5</v>
      </c>
      <c r="Z27" s="45">
        <v>25</v>
      </c>
      <c r="AA27" s="45">
        <v>25</v>
      </c>
      <c r="AB27" s="45">
        <v>25</v>
      </c>
      <c r="AC27" s="45">
        <v>25</v>
      </c>
      <c r="AD27" s="45">
        <v>25</v>
      </c>
      <c r="AE27" s="45">
        <v>25</v>
      </c>
      <c r="AF27" s="45">
        <v>25</v>
      </c>
      <c r="AG27" s="49">
        <v>25</v>
      </c>
      <c r="AH27" s="47">
        <f t="shared" si="2"/>
        <v>25</v>
      </c>
      <c r="AI27" s="48">
        <f t="shared" si="3"/>
        <v>10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19.600000000000001</v>
      </c>
      <c r="C28" s="45">
        <v>19.600000000000001</v>
      </c>
      <c r="D28" s="45">
        <v>19.600000000000001</v>
      </c>
      <c r="E28" s="45">
        <v>19.600000000000001</v>
      </c>
      <c r="F28" s="45">
        <v>19.600000000000001</v>
      </c>
      <c r="G28" s="45">
        <v>19.600000000000001</v>
      </c>
      <c r="H28" s="45">
        <v>19.600000000000001</v>
      </c>
      <c r="I28" s="45">
        <v>19.600000000000001</v>
      </c>
      <c r="J28" s="45">
        <v>19.600000000000001</v>
      </c>
      <c r="K28" s="45">
        <v>19.600000000000001</v>
      </c>
      <c r="L28" s="45">
        <v>19.600000000000001</v>
      </c>
      <c r="M28" s="45">
        <v>19.600000000000001</v>
      </c>
      <c r="N28" s="45">
        <v>19.600000000000001</v>
      </c>
      <c r="O28" s="45">
        <v>19.600000000000001</v>
      </c>
      <c r="P28" s="45">
        <v>13.6</v>
      </c>
      <c r="Q28" s="45">
        <v>13.6</v>
      </c>
      <c r="R28" s="45">
        <v>14.7</v>
      </c>
      <c r="S28" s="45">
        <v>14.7</v>
      </c>
      <c r="T28" s="45">
        <v>14.7</v>
      </c>
      <c r="U28" s="45">
        <v>14.7</v>
      </c>
      <c r="V28" s="45">
        <v>14.7</v>
      </c>
      <c r="W28" s="45">
        <v>14.7</v>
      </c>
      <c r="X28" s="45">
        <v>14.7</v>
      </c>
      <c r="Y28" s="45">
        <v>14.7</v>
      </c>
      <c r="Z28" s="45">
        <v>14.7</v>
      </c>
      <c r="AA28" s="45">
        <v>14.7</v>
      </c>
      <c r="AB28" s="45">
        <v>14.7</v>
      </c>
      <c r="AC28" s="45">
        <v>14.7</v>
      </c>
      <c r="AD28" s="45">
        <v>14.7</v>
      </c>
      <c r="AE28" s="45">
        <v>14.7</v>
      </c>
      <c r="AF28" s="45">
        <v>14.7</v>
      </c>
      <c r="AG28" s="49">
        <v>23.5</v>
      </c>
      <c r="AH28" s="47">
        <f t="shared" si="2"/>
        <v>19.600000000000001</v>
      </c>
      <c r="AI28" s="48">
        <f t="shared" si="3"/>
        <v>13.6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15.8</v>
      </c>
      <c r="C29" s="45">
        <v>15.8</v>
      </c>
      <c r="D29" s="45">
        <v>15.8</v>
      </c>
      <c r="E29" s="45">
        <v>15.8</v>
      </c>
      <c r="F29" s="45">
        <v>15.8</v>
      </c>
      <c r="G29" s="45">
        <v>15.8</v>
      </c>
      <c r="H29" s="45">
        <v>15.8</v>
      </c>
      <c r="I29" s="45">
        <v>15.8</v>
      </c>
      <c r="J29" s="45">
        <v>15.8</v>
      </c>
      <c r="K29" s="45">
        <v>15.8</v>
      </c>
      <c r="L29" s="45">
        <v>15.8</v>
      </c>
      <c r="M29" s="45">
        <v>15.8</v>
      </c>
      <c r="N29" s="45">
        <v>15.8</v>
      </c>
      <c r="O29" s="45">
        <v>15.8</v>
      </c>
      <c r="P29" s="45">
        <v>15.8</v>
      </c>
      <c r="Q29" s="45">
        <v>15.8</v>
      </c>
      <c r="R29" s="45">
        <v>15.8</v>
      </c>
      <c r="S29" s="45">
        <v>15.8</v>
      </c>
      <c r="T29" s="45">
        <v>15.8</v>
      </c>
      <c r="U29" s="45">
        <v>15.8</v>
      </c>
      <c r="V29" s="45">
        <v>15.8</v>
      </c>
      <c r="W29" s="45">
        <v>15.8</v>
      </c>
      <c r="X29" s="45">
        <v>15.8</v>
      </c>
      <c r="Y29" s="45">
        <v>15.8</v>
      </c>
      <c r="Z29" s="45">
        <v>15.8</v>
      </c>
      <c r="AA29" s="45">
        <v>15.8</v>
      </c>
      <c r="AB29" s="45">
        <v>15.8</v>
      </c>
      <c r="AC29" s="45">
        <v>15.8</v>
      </c>
      <c r="AD29" s="45">
        <v>15.8</v>
      </c>
      <c r="AE29" s="45">
        <v>15.8</v>
      </c>
      <c r="AF29" s="45">
        <v>15.8</v>
      </c>
      <c r="AG29" s="49">
        <v>22.2</v>
      </c>
      <c r="AH29" s="47">
        <f t="shared" si="2"/>
        <v>15.8</v>
      </c>
      <c r="AI29" s="48">
        <f t="shared" si="3"/>
        <v>15.8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17.8</v>
      </c>
      <c r="C32" s="45">
        <v>17.8</v>
      </c>
      <c r="D32" s="45">
        <v>17.8</v>
      </c>
      <c r="E32" s="45">
        <v>17.8</v>
      </c>
      <c r="F32" s="45">
        <v>17.8</v>
      </c>
      <c r="G32" s="45">
        <v>17.8</v>
      </c>
      <c r="H32" s="45">
        <v>17.8</v>
      </c>
      <c r="I32" s="45">
        <v>17.8</v>
      </c>
      <c r="J32" s="45">
        <v>17.8</v>
      </c>
      <c r="K32" s="45">
        <v>17.8</v>
      </c>
      <c r="L32" s="45">
        <v>17.8</v>
      </c>
      <c r="M32" s="45">
        <v>17.8</v>
      </c>
      <c r="N32" s="45">
        <v>17.8</v>
      </c>
      <c r="O32" s="45">
        <v>17.8</v>
      </c>
      <c r="P32" s="45">
        <v>22</v>
      </c>
      <c r="Q32" s="45">
        <v>22</v>
      </c>
      <c r="R32" s="45">
        <v>25</v>
      </c>
      <c r="S32" s="45">
        <v>25</v>
      </c>
      <c r="T32" s="45">
        <v>25</v>
      </c>
      <c r="U32" s="45">
        <v>25</v>
      </c>
      <c r="V32" s="45">
        <v>25</v>
      </c>
      <c r="W32" s="45">
        <v>25</v>
      </c>
      <c r="X32" s="45">
        <v>25</v>
      </c>
      <c r="Y32" s="45">
        <v>25</v>
      </c>
      <c r="Z32" s="45">
        <v>25</v>
      </c>
      <c r="AA32" s="45">
        <v>25</v>
      </c>
      <c r="AB32" s="45">
        <v>25</v>
      </c>
      <c r="AC32" s="45">
        <v>25</v>
      </c>
      <c r="AD32" s="45">
        <v>25</v>
      </c>
      <c r="AE32" s="45">
        <v>25</v>
      </c>
      <c r="AF32" s="45">
        <v>25</v>
      </c>
      <c r="AG32" s="49">
        <v>22</v>
      </c>
      <c r="AH32" s="47">
        <f t="shared" si="2"/>
        <v>25</v>
      </c>
      <c r="AI32" s="48">
        <f t="shared" si="3"/>
        <v>17.8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10</v>
      </c>
      <c r="C33" s="45">
        <v>10</v>
      </c>
      <c r="D33" s="45">
        <v>10</v>
      </c>
      <c r="E33" s="45">
        <v>10</v>
      </c>
      <c r="F33" s="45">
        <v>10</v>
      </c>
      <c r="G33" s="45">
        <v>10</v>
      </c>
      <c r="H33" s="45">
        <v>10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>
        <v>10</v>
      </c>
      <c r="W33" s="45">
        <v>10</v>
      </c>
      <c r="X33" s="45">
        <v>10</v>
      </c>
      <c r="Y33" s="45">
        <v>10</v>
      </c>
      <c r="Z33" s="45">
        <v>10</v>
      </c>
      <c r="AA33" s="45">
        <v>18</v>
      </c>
      <c r="AB33" s="45">
        <v>18</v>
      </c>
      <c r="AC33" s="45">
        <v>18</v>
      </c>
      <c r="AD33" s="45">
        <v>18</v>
      </c>
      <c r="AE33" s="45">
        <v>18</v>
      </c>
      <c r="AF33" s="45">
        <v>19</v>
      </c>
      <c r="AG33" s="49">
        <v>20</v>
      </c>
      <c r="AH33" s="47">
        <f t="shared" si="2"/>
        <v>19</v>
      </c>
      <c r="AI33" s="48">
        <f t="shared" si="3"/>
        <v>5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4</v>
      </c>
      <c r="C34" s="45">
        <v>4</v>
      </c>
      <c r="D34" s="45">
        <v>4</v>
      </c>
      <c r="E34" s="45">
        <v>4</v>
      </c>
      <c r="F34" s="45">
        <v>4</v>
      </c>
      <c r="G34" s="45">
        <v>4</v>
      </c>
      <c r="H34" s="45">
        <v>4</v>
      </c>
      <c r="I34" s="45">
        <v>4</v>
      </c>
      <c r="J34" s="45">
        <v>4</v>
      </c>
      <c r="K34" s="45">
        <v>4</v>
      </c>
      <c r="L34" s="45">
        <v>12</v>
      </c>
      <c r="M34" s="45">
        <v>12</v>
      </c>
      <c r="N34" s="45">
        <v>12</v>
      </c>
      <c r="O34" s="45">
        <v>12</v>
      </c>
      <c r="P34" s="45">
        <v>0</v>
      </c>
      <c r="Q34" s="45">
        <v>0</v>
      </c>
      <c r="R34" s="45">
        <v>4</v>
      </c>
      <c r="S34" s="45">
        <v>18</v>
      </c>
      <c r="T34" s="45">
        <v>18</v>
      </c>
      <c r="U34" s="45">
        <v>18</v>
      </c>
      <c r="V34" s="45">
        <v>18</v>
      </c>
      <c r="W34" s="45">
        <v>18</v>
      </c>
      <c r="X34" s="45">
        <v>18</v>
      </c>
      <c r="Y34" s="45">
        <v>18</v>
      </c>
      <c r="Z34" s="45">
        <v>18</v>
      </c>
      <c r="AA34" s="45">
        <v>13</v>
      </c>
      <c r="AB34" s="45">
        <v>13</v>
      </c>
      <c r="AC34" s="45">
        <v>13</v>
      </c>
      <c r="AD34" s="45">
        <v>13</v>
      </c>
      <c r="AE34" s="45">
        <v>13</v>
      </c>
      <c r="AF34" s="45">
        <v>13</v>
      </c>
      <c r="AG34" s="49">
        <v>18</v>
      </c>
      <c r="AH34" s="47">
        <f t="shared" si="2"/>
        <v>18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0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1.5</v>
      </c>
      <c r="C37" s="45">
        <v>1.5</v>
      </c>
      <c r="D37" s="45">
        <v>1.5</v>
      </c>
      <c r="E37" s="45">
        <v>1.5</v>
      </c>
      <c r="F37" s="45">
        <v>1.5</v>
      </c>
      <c r="G37" s="45">
        <v>1.5</v>
      </c>
      <c r="H37" s="45">
        <v>1.5</v>
      </c>
      <c r="I37" s="45">
        <v>1.5</v>
      </c>
      <c r="J37" s="45">
        <v>1.5</v>
      </c>
      <c r="K37" s="45">
        <v>1.5</v>
      </c>
      <c r="L37" s="45">
        <v>1.5</v>
      </c>
      <c r="M37" s="45">
        <v>1.5</v>
      </c>
      <c r="N37" s="45">
        <v>1.5</v>
      </c>
      <c r="O37" s="45">
        <v>1.5</v>
      </c>
      <c r="P37" s="45">
        <v>1.5</v>
      </c>
      <c r="Q37" s="45">
        <v>1.5</v>
      </c>
      <c r="R37" s="45">
        <v>1.5</v>
      </c>
      <c r="S37" s="45">
        <v>1.5</v>
      </c>
      <c r="T37" s="45">
        <v>1.5</v>
      </c>
      <c r="U37" s="45">
        <v>1.5</v>
      </c>
      <c r="V37" s="45">
        <v>1.5</v>
      </c>
      <c r="W37" s="45">
        <v>1.5</v>
      </c>
      <c r="X37" s="45">
        <v>1.5</v>
      </c>
      <c r="Y37" s="45">
        <v>1.5</v>
      </c>
      <c r="Z37" s="45">
        <v>1.5</v>
      </c>
      <c r="AA37" s="45">
        <v>1.5</v>
      </c>
      <c r="AB37" s="45">
        <v>1.5</v>
      </c>
      <c r="AC37" s="45">
        <v>1.5</v>
      </c>
      <c r="AD37" s="45">
        <v>1.5</v>
      </c>
      <c r="AE37" s="45">
        <v>1.5</v>
      </c>
      <c r="AF37" s="45">
        <v>1.5</v>
      </c>
      <c r="AG37" s="49">
        <v>13.6</v>
      </c>
      <c r="AH37" s="47">
        <f t="shared" si="2"/>
        <v>1.5</v>
      </c>
      <c r="AI37" s="48">
        <f t="shared" si="3"/>
        <v>1.5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12</v>
      </c>
      <c r="C39" s="45">
        <v>12</v>
      </c>
      <c r="D39" s="45">
        <v>12</v>
      </c>
      <c r="E39" s="45">
        <v>6</v>
      </c>
      <c r="F39" s="45">
        <v>6</v>
      </c>
      <c r="G39" s="45">
        <v>8</v>
      </c>
      <c r="H39" s="45">
        <v>8</v>
      </c>
      <c r="I39" s="45">
        <v>12</v>
      </c>
      <c r="J39" s="45">
        <v>12</v>
      </c>
      <c r="K39" s="45">
        <v>12</v>
      </c>
      <c r="L39" s="45">
        <v>12</v>
      </c>
      <c r="M39" s="45">
        <v>12</v>
      </c>
      <c r="N39" s="45">
        <v>12</v>
      </c>
      <c r="O39" s="45">
        <v>12</v>
      </c>
      <c r="P39" s="45">
        <v>12</v>
      </c>
      <c r="Q39" s="45">
        <v>12</v>
      </c>
      <c r="R39" s="45">
        <v>12</v>
      </c>
      <c r="S39" s="45">
        <v>12</v>
      </c>
      <c r="T39" s="45">
        <v>12</v>
      </c>
      <c r="U39" s="45">
        <v>12</v>
      </c>
      <c r="V39" s="45">
        <v>12</v>
      </c>
      <c r="W39" s="45">
        <v>12</v>
      </c>
      <c r="X39" s="45">
        <v>12</v>
      </c>
      <c r="Y39" s="45">
        <v>10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12</v>
      </c>
      <c r="AG39" s="49">
        <v>12</v>
      </c>
      <c r="AH39" s="47">
        <f t="shared" si="2"/>
        <v>12</v>
      </c>
      <c r="AI39" s="48">
        <f t="shared" si="3"/>
        <v>6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8</v>
      </c>
      <c r="C40" s="45">
        <v>8</v>
      </c>
      <c r="D40" s="45">
        <v>8</v>
      </c>
      <c r="E40" s="45">
        <v>8</v>
      </c>
      <c r="F40" s="45">
        <v>8</v>
      </c>
      <c r="G40" s="45">
        <v>8</v>
      </c>
      <c r="H40" s="45">
        <v>8</v>
      </c>
      <c r="I40" s="45">
        <v>8</v>
      </c>
      <c r="J40" s="45">
        <v>8</v>
      </c>
      <c r="K40" s="45">
        <v>8</v>
      </c>
      <c r="L40" s="45">
        <v>8</v>
      </c>
      <c r="M40" s="45">
        <v>8</v>
      </c>
      <c r="N40" s="45">
        <v>8</v>
      </c>
      <c r="O40" s="45">
        <v>8</v>
      </c>
      <c r="P40" s="45">
        <v>8</v>
      </c>
      <c r="Q40" s="45">
        <v>8</v>
      </c>
      <c r="R40" s="45">
        <v>8</v>
      </c>
      <c r="S40" s="45">
        <v>8</v>
      </c>
      <c r="T40" s="45">
        <v>8</v>
      </c>
      <c r="U40" s="45">
        <v>8</v>
      </c>
      <c r="V40" s="45">
        <v>8</v>
      </c>
      <c r="W40" s="45">
        <v>8</v>
      </c>
      <c r="X40" s="45">
        <v>8</v>
      </c>
      <c r="Y40" s="45">
        <v>8</v>
      </c>
      <c r="Z40" s="45">
        <v>8</v>
      </c>
      <c r="AA40" s="45">
        <v>8</v>
      </c>
      <c r="AB40" s="45">
        <v>8</v>
      </c>
      <c r="AC40" s="45">
        <v>8</v>
      </c>
      <c r="AD40" s="45">
        <v>8</v>
      </c>
      <c r="AE40" s="45">
        <v>8</v>
      </c>
      <c r="AF40" s="45">
        <v>8</v>
      </c>
      <c r="AG40" s="49">
        <v>12</v>
      </c>
      <c r="AH40" s="47">
        <f t="shared" si="2"/>
        <v>8</v>
      </c>
      <c r="AI40" s="48">
        <f t="shared" si="3"/>
        <v>8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11</v>
      </c>
      <c r="C41" s="45">
        <v>11</v>
      </c>
      <c r="D41" s="45">
        <v>11</v>
      </c>
      <c r="E41" s="45">
        <v>11</v>
      </c>
      <c r="F41" s="45">
        <v>11</v>
      </c>
      <c r="G41" s="45">
        <v>11</v>
      </c>
      <c r="H41" s="45">
        <v>11</v>
      </c>
      <c r="I41" s="45">
        <v>11</v>
      </c>
      <c r="J41" s="45">
        <v>11</v>
      </c>
      <c r="K41" s="45">
        <v>11</v>
      </c>
      <c r="L41" s="45">
        <v>11</v>
      </c>
      <c r="M41" s="45">
        <v>11</v>
      </c>
      <c r="N41" s="45">
        <v>11</v>
      </c>
      <c r="O41" s="45">
        <v>11</v>
      </c>
      <c r="P41" s="45">
        <v>11</v>
      </c>
      <c r="Q41" s="45">
        <v>11</v>
      </c>
      <c r="R41" s="45">
        <v>11</v>
      </c>
      <c r="S41" s="45">
        <v>11</v>
      </c>
      <c r="T41" s="45">
        <v>11</v>
      </c>
      <c r="U41" s="45">
        <v>11</v>
      </c>
      <c r="V41" s="45">
        <v>11</v>
      </c>
      <c r="W41" s="45">
        <v>11</v>
      </c>
      <c r="X41" s="45">
        <v>11</v>
      </c>
      <c r="Y41" s="45">
        <v>11</v>
      </c>
      <c r="Z41" s="45">
        <v>11</v>
      </c>
      <c r="AA41" s="45">
        <v>11</v>
      </c>
      <c r="AB41" s="45">
        <v>11</v>
      </c>
      <c r="AC41" s="45">
        <v>11</v>
      </c>
      <c r="AD41" s="45">
        <v>11</v>
      </c>
      <c r="AE41" s="45">
        <v>11</v>
      </c>
      <c r="AF41" s="45">
        <v>11</v>
      </c>
      <c r="AG41" s="49">
        <v>12</v>
      </c>
      <c r="AH41" s="47">
        <f t="shared" si="2"/>
        <v>11</v>
      </c>
      <c r="AI41" s="48">
        <f t="shared" si="3"/>
        <v>11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10.199999999999999</v>
      </c>
      <c r="C42" s="45">
        <v>10.199999999999999</v>
      </c>
      <c r="D42" s="45">
        <v>10.199999999999999</v>
      </c>
      <c r="E42" s="45">
        <v>10.199999999999999</v>
      </c>
      <c r="F42" s="45">
        <v>10.199999999999999</v>
      </c>
      <c r="G42" s="45">
        <v>10.199999999999999</v>
      </c>
      <c r="H42" s="45">
        <v>10.199999999999999</v>
      </c>
      <c r="I42" s="45">
        <v>10.199999999999999</v>
      </c>
      <c r="J42" s="45">
        <v>10.199999999999999</v>
      </c>
      <c r="K42" s="45">
        <v>10.199999999999999</v>
      </c>
      <c r="L42" s="45">
        <v>10.199999999999999</v>
      </c>
      <c r="M42" s="45">
        <v>10.199999999999999</v>
      </c>
      <c r="N42" s="45">
        <v>10.199999999999999</v>
      </c>
      <c r="O42" s="45">
        <v>10.199999999999999</v>
      </c>
      <c r="P42" s="45">
        <v>10.199999999999999</v>
      </c>
      <c r="Q42" s="45">
        <v>10.199999999999999</v>
      </c>
      <c r="R42" s="45">
        <v>10.199999999999999</v>
      </c>
      <c r="S42" s="45">
        <v>10.199999999999999</v>
      </c>
      <c r="T42" s="45">
        <v>10.199999999999999</v>
      </c>
      <c r="U42" s="45">
        <v>10.199999999999999</v>
      </c>
      <c r="V42" s="45">
        <v>10.199999999999999</v>
      </c>
      <c r="W42" s="45">
        <v>10.199999999999999</v>
      </c>
      <c r="X42" s="45">
        <v>10.199999999999999</v>
      </c>
      <c r="Y42" s="45">
        <v>10.199999999999999</v>
      </c>
      <c r="Z42" s="45">
        <v>10.199999999999999</v>
      </c>
      <c r="AA42" s="45">
        <v>10.199999999999999</v>
      </c>
      <c r="AB42" s="45">
        <v>10.199999999999999</v>
      </c>
      <c r="AC42" s="45">
        <v>10.199999999999999</v>
      </c>
      <c r="AD42" s="45">
        <v>10.199999999999999</v>
      </c>
      <c r="AE42" s="45">
        <v>10.199999999999999</v>
      </c>
      <c r="AF42" s="45">
        <v>10.199999999999999</v>
      </c>
      <c r="AG42" s="52">
        <v>22</v>
      </c>
      <c r="AH42" s="47">
        <f t="shared" si="2"/>
        <v>10.199999999999999</v>
      </c>
      <c r="AI42" s="48">
        <f t="shared" si="3"/>
        <v>10.199999999999999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10.210000000000001</v>
      </c>
      <c r="C44" s="45">
        <v>10.210000000000001</v>
      </c>
      <c r="D44" s="45">
        <v>10.210000000000001</v>
      </c>
      <c r="E44" s="45">
        <v>10.210000000000001</v>
      </c>
      <c r="F44" s="45">
        <v>10.210000000000001</v>
      </c>
      <c r="G44" s="45">
        <v>10.210000000000001</v>
      </c>
      <c r="H44" s="45">
        <v>10.210000000000001</v>
      </c>
      <c r="I44" s="45">
        <v>10.210000000000001</v>
      </c>
      <c r="J44" s="45">
        <v>10.210000000000001</v>
      </c>
      <c r="K44" s="45">
        <v>10.210000000000001</v>
      </c>
      <c r="L44" s="45">
        <v>10.210000000000001</v>
      </c>
      <c r="M44" s="45">
        <v>10.210000000000001</v>
      </c>
      <c r="N44" s="45">
        <v>10.210000000000001</v>
      </c>
      <c r="O44" s="45">
        <v>10.210000000000001</v>
      </c>
      <c r="P44" s="45">
        <v>10.210000000000001</v>
      </c>
      <c r="Q44" s="45">
        <v>10.210000000000001</v>
      </c>
      <c r="R44" s="45">
        <v>10.210000000000001</v>
      </c>
      <c r="S44" s="45">
        <v>10.210000000000001</v>
      </c>
      <c r="T44" s="45">
        <v>10.210000000000001</v>
      </c>
      <c r="U44" s="45">
        <v>10.210000000000001</v>
      </c>
      <c r="V44" s="45">
        <v>10.210000000000001</v>
      </c>
      <c r="W44" s="45">
        <v>10.210000000000001</v>
      </c>
      <c r="X44" s="45">
        <v>10.210000000000001</v>
      </c>
      <c r="Y44" s="45">
        <v>10.210000000000001</v>
      </c>
      <c r="Z44" s="45">
        <v>10.210000000000001</v>
      </c>
      <c r="AA44" s="45">
        <v>10.210000000000001</v>
      </c>
      <c r="AB44" s="45">
        <v>10.210000000000001</v>
      </c>
      <c r="AC44" s="45">
        <v>10.210000000000001</v>
      </c>
      <c r="AD44" s="45">
        <v>10.210000000000001</v>
      </c>
      <c r="AE44" s="45">
        <v>10.210000000000001</v>
      </c>
      <c r="AF44" s="45">
        <v>10.210000000000001</v>
      </c>
      <c r="AG44" s="54">
        <v>11</v>
      </c>
      <c r="AH44" s="47">
        <f t="shared" si="2"/>
        <v>10.210000000000001</v>
      </c>
      <c r="AI44" s="48">
        <f t="shared" si="3"/>
        <v>10.210000000000001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0</v>
      </c>
      <c r="C45" s="45">
        <v>0</v>
      </c>
      <c r="D45" s="45">
        <v>0</v>
      </c>
      <c r="E45" s="45">
        <v>5</v>
      </c>
      <c r="F45" s="45">
        <v>5</v>
      </c>
      <c r="G45" s="45">
        <v>5</v>
      </c>
      <c r="H45" s="45">
        <v>5</v>
      </c>
      <c r="I45" s="45">
        <v>5</v>
      </c>
      <c r="J45" s="45">
        <v>5</v>
      </c>
      <c r="K45" s="45">
        <v>5</v>
      </c>
      <c r="L45" s="45">
        <v>5</v>
      </c>
      <c r="M45" s="45">
        <v>5</v>
      </c>
      <c r="N45" s="45">
        <v>5</v>
      </c>
      <c r="O45" s="45">
        <v>5</v>
      </c>
      <c r="P45" s="45">
        <v>5</v>
      </c>
      <c r="Q45" s="45">
        <v>5</v>
      </c>
      <c r="R45" s="45">
        <v>5</v>
      </c>
      <c r="S45" s="45">
        <v>5</v>
      </c>
      <c r="T45" s="45">
        <v>5</v>
      </c>
      <c r="U45" s="45">
        <v>5</v>
      </c>
      <c r="V45" s="45">
        <v>5</v>
      </c>
      <c r="W45" s="45">
        <v>5</v>
      </c>
      <c r="X45" s="45">
        <v>5</v>
      </c>
      <c r="Y45" s="45">
        <v>5</v>
      </c>
      <c r="Z45" s="45">
        <v>5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0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1</v>
      </c>
      <c r="N47" s="45">
        <v>2</v>
      </c>
      <c r="O47" s="45">
        <v>2</v>
      </c>
      <c r="P47" s="45">
        <v>2</v>
      </c>
      <c r="Q47" s="45">
        <v>2</v>
      </c>
      <c r="R47" s="45">
        <v>2</v>
      </c>
      <c r="S47" s="45">
        <v>2</v>
      </c>
      <c r="T47" s="45">
        <v>2</v>
      </c>
      <c r="U47" s="45">
        <v>2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2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45">
        <v>250</v>
      </c>
      <c r="C48" s="45">
        <v>250</v>
      </c>
      <c r="D48" s="45">
        <v>250</v>
      </c>
      <c r="E48" s="45">
        <v>250</v>
      </c>
      <c r="F48" s="45">
        <v>250</v>
      </c>
      <c r="G48" s="45">
        <v>250</v>
      </c>
      <c r="H48" s="45">
        <v>250</v>
      </c>
      <c r="I48" s="45">
        <v>250</v>
      </c>
      <c r="J48" s="45">
        <v>250</v>
      </c>
      <c r="K48" s="45">
        <v>250</v>
      </c>
      <c r="L48" s="45">
        <v>250</v>
      </c>
      <c r="M48" s="45">
        <v>250</v>
      </c>
      <c r="N48" s="45">
        <v>250</v>
      </c>
      <c r="O48" s="45">
        <v>250</v>
      </c>
      <c r="P48" s="45">
        <v>250</v>
      </c>
      <c r="Q48" s="45">
        <v>250</v>
      </c>
      <c r="R48" s="45">
        <v>250</v>
      </c>
      <c r="S48" s="45">
        <v>250</v>
      </c>
      <c r="T48" s="45">
        <v>250</v>
      </c>
      <c r="U48" s="45">
        <v>250</v>
      </c>
      <c r="V48" s="45">
        <v>250</v>
      </c>
      <c r="W48" s="45">
        <v>250</v>
      </c>
      <c r="X48" s="45">
        <v>250</v>
      </c>
      <c r="Y48" s="45">
        <v>250</v>
      </c>
      <c r="Z48" s="45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>
        <f t="shared" ref="Q49:Z49" si="4">81.6+20.89</f>
        <v>102.49</v>
      </c>
      <c r="R49" s="50">
        <f t="shared" si="4"/>
        <v>102.49</v>
      </c>
      <c r="S49" s="50">
        <f t="shared" si="4"/>
        <v>102.49</v>
      </c>
      <c r="T49" s="50">
        <f t="shared" si="4"/>
        <v>102.49</v>
      </c>
      <c r="U49" s="50">
        <f t="shared" si="4"/>
        <v>102.49</v>
      </c>
      <c r="V49" s="50">
        <f t="shared" si="4"/>
        <v>102.49</v>
      </c>
      <c r="W49" s="50">
        <f t="shared" si="4"/>
        <v>102.49</v>
      </c>
      <c r="X49" s="50">
        <f t="shared" si="4"/>
        <v>102.49</v>
      </c>
      <c r="Y49" s="50">
        <f t="shared" si="4"/>
        <v>102.49</v>
      </c>
      <c r="Z49" s="50">
        <f t="shared" si="4"/>
        <v>102.49</v>
      </c>
      <c r="AA49" s="56">
        <v>102.49</v>
      </c>
      <c r="AB49" s="56">
        <v>102.49</v>
      </c>
      <c r="AC49" s="56">
        <v>102.49</v>
      </c>
      <c r="AD49" s="56">
        <v>102.49</v>
      </c>
      <c r="AE49" s="56">
        <v>102.49</v>
      </c>
      <c r="AF49" s="56">
        <v>102.49</v>
      </c>
      <c r="AG49" s="54">
        <v>240</v>
      </c>
      <c r="AH49" s="47">
        <f t="shared" si="2"/>
        <v>102.49</v>
      </c>
      <c r="AI49" s="48">
        <f t="shared" si="3"/>
        <v>102.49</v>
      </c>
      <c r="AK49" s="74"/>
    </row>
    <row r="50" spans="1:41" ht="15.75" thickBot="1" x14ac:dyDescent="0.3">
      <c r="A50" s="58" t="s">
        <v>66</v>
      </c>
      <c r="B50" s="59">
        <f t="shared" ref="B50" si="5">SUM(B11:B48)</f>
        <v>920.51</v>
      </c>
      <c r="C50" s="59">
        <f t="shared" ref="C50:AE50" si="6">SUM(C11:C48)</f>
        <v>920.51</v>
      </c>
      <c r="D50" s="59">
        <f t="shared" si="6"/>
        <v>930.51</v>
      </c>
      <c r="E50" s="59">
        <f t="shared" si="6"/>
        <v>927.70999999999992</v>
      </c>
      <c r="F50" s="59">
        <f t="shared" si="6"/>
        <v>927.70999999999992</v>
      </c>
      <c r="G50" s="59">
        <f t="shared" si="6"/>
        <v>940.51</v>
      </c>
      <c r="H50" s="59">
        <f t="shared" si="6"/>
        <v>940.51</v>
      </c>
      <c r="I50" s="59">
        <f t="shared" si="6"/>
        <v>956.51</v>
      </c>
      <c r="J50" s="59">
        <f t="shared" si="6"/>
        <v>896.01</v>
      </c>
      <c r="K50" s="59">
        <f t="shared" si="6"/>
        <v>896.01</v>
      </c>
      <c r="L50" s="59">
        <f t="shared" si="6"/>
        <v>904.01</v>
      </c>
      <c r="M50" s="59">
        <f t="shared" si="6"/>
        <v>876.01</v>
      </c>
      <c r="N50" s="59">
        <f t="shared" si="6"/>
        <v>862.31000000000006</v>
      </c>
      <c r="O50" s="59">
        <f t="shared" si="6"/>
        <v>876.01</v>
      </c>
      <c r="P50" s="59">
        <f t="shared" si="6"/>
        <v>868.21</v>
      </c>
      <c r="Q50" s="59">
        <f t="shared" si="6"/>
        <v>873.21</v>
      </c>
      <c r="R50" s="59">
        <f t="shared" ref="R50" si="7">SUM(R11:R48)</f>
        <v>878.31</v>
      </c>
      <c r="S50" s="59">
        <f t="shared" si="6"/>
        <v>858.61</v>
      </c>
      <c r="T50" s="59">
        <f t="shared" si="6"/>
        <v>858.61</v>
      </c>
      <c r="U50" s="59">
        <f t="shared" si="6"/>
        <v>858.61</v>
      </c>
      <c r="V50" s="59">
        <f t="shared" si="6"/>
        <v>912.5100000000001</v>
      </c>
      <c r="W50" s="59">
        <f t="shared" si="6"/>
        <v>912.5100000000001</v>
      </c>
      <c r="X50" s="59">
        <f t="shared" si="6"/>
        <v>912.5100000000001</v>
      </c>
      <c r="Y50" s="59">
        <f t="shared" si="6"/>
        <v>911.61000000000013</v>
      </c>
      <c r="Z50" s="59">
        <f t="shared" si="6"/>
        <v>950.5100000000001</v>
      </c>
      <c r="AA50" s="59">
        <v>972.21</v>
      </c>
      <c r="AB50" s="59">
        <f t="shared" si="6"/>
        <v>970.21</v>
      </c>
      <c r="AC50" s="59">
        <f t="shared" si="6"/>
        <v>970.21</v>
      </c>
      <c r="AD50" s="59">
        <f t="shared" si="6"/>
        <v>928.21</v>
      </c>
      <c r="AE50" s="59">
        <f t="shared" si="6"/>
        <v>866.71</v>
      </c>
      <c r="AF50" s="59">
        <f t="shared" ref="AF50" si="8">SUM(AF11:AF48)</f>
        <v>888.71</v>
      </c>
      <c r="AG50" s="60">
        <f>SUM(AG13:AG48)</f>
        <v>922.14</v>
      </c>
      <c r="AH50" s="47">
        <f t="shared" si="2"/>
        <v>972.21</v>
      </c>
      <c r="AI50" s="48">
        <f t="shared" si="3"/>
        <v>858.61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62">
        <v>456</v>
      </c>
      <c r="O51" s="62">
        <v>456</v>
      </c>
      <c r="P51" s="62">
        <v>456</v>
      </c>
      <c r="Q51" s="62">
        <v>456</v>
      </c>
      <c r="R51" s="62">
        <v>456</v>
      </c>
      <c r="S51" s="62">
        <v>456</v>
      </c>
      <c r="T51" s="62">
        <v>456</v>
      </c>
      <c r="U51" s="62">
        <v>456</v>
      </c>
      <c r="V51" s="62">
        <v>456</v>
      </c>
      <c r="W51" s="62">
        <v>456</v>
      </c>
      <c r="X51" s="62">
        <v>456</v>
      </c>
      <c r="Y51" s="62">
        <v>456</v>
      </c>
      <c r="Z51" s="62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74"/>
    </row>
    <row r="52" spans="1:41" x14ac:dyDescent="0.25">
      <c r="A52" s="63" t="s">
        <v>68</v>
      </c>
      <c r="B52" s="45">
        <v>55</v>
      </c>
      <c r="C52" s="45">
        <v>55</v>
      </c>
      <c r="D52" s="45">
        <v>55</v>
      </c>
      <c r="E52" s="45">
        <v>55</v>
      </c>
      <c r="F52" s="45">
        <v>55</v>
      </c>
      <c r="G52" s="45">
        <v>55</v>
      </c>
      <c r="H52" s="45">
        <v>55</v>
      </c>
      <c r="I52" s="45">
        <v>55</v>
      </c>
      <c r="J52" s="45">
        <v>55</v>
      </c>
      <c r="K52" s="45">
        <v>55</v>
      </c>
      <c r="L52" s="45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45">
        <v>22.5</v>
      </c>
      <c r="C53" s="45">
        <v>22.5</v>
      </c>
      <c r="D53" s="45">
        <v>22.5</v>
      </c>
      <c r="E53" s="45">
        <v>22.5</v>
      </c>
      <c r="F53" s="45">
        <v>22.5</v>
      </c>
      <c r="G53" s="45">
        <v>22.5</v>
      </c>
      <c r="H53" s="45">
        <v>22.5</v>
      </c>
      <c r="I53" s="45">
        <v>22.5</v>
      </c>
      <c r="J53" s="45">
        <v>22.5</v>
      </c>
      <c r="K53" s="45">
        <v>22.5</v>
      </c>
      <c r="L53" s="45">
        <v>22.5</v>
      </c>
      <c r="M53" s="66">
        <v>22.4</v>
      </c>
      <c r="N53" s="66">
        <v>22.4</v>
      </c>
      <c r="O53" s="66">
        <v>22.4</v>
      </c>
      <c r="P53" s="66">
        <v>22.5</v>
      </c>
      <c r="Q53" s="66">
        <v>22.5</v>
      </c>
      <c r="R53" s="66">
        <v>22.4</v>
      </c>
      <c r="S53" s="66">
        <v>22.4</v>
      </c>
      <c r="T53" s="66">
        <v>22.4</v>
      </c>
      <c r="U53" s="66">
        <v>22.4</v>
      </c>
      <c r="V53" s="66">
        <v>22.4</v>
      </c>
      <c r="W53" s="66">
        <v>22.4</v>
      </c>
      <c r="X53" s="66">
        <v>22.4</v>
      </c>
      <c r="Y53" s="66">
        <v>22.4</v>
      </c>
      <c r="Z53" s="66">
        <v>22.4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22.4</v>
      </c>
      <c r="AG53" s="67">
        <v>22.1</v>
      </c>
      <c r="AH53" s="47">
        <f t="shared" si="2"/>
        <v>22.5</v>
      </c>
      <c r="AI53" s="48">
        <f t="shared" si="3"/>
        <v>22.4</v>
      </c>
      <c r="AK53" s="74"/>
    </row>
    <row r="54" spans="1:41" ht="15.75" thickBot="1" x14ac:dyDescent="0.3">
      <c r="A54" s="68" t="s">
        <v>70</v>
      </c>
      <c r="B54" s="59">
        <f t="shared" ref="B54" si="9">SUM(B51:B53)</f>
        <v>533.5</v>
      </c>
      <c r="C54" s="59">
        <f t="shared" ref="C54:AG54" si="10">SUM(C51:C53)</f>
        <v>533.5</v>
      </c>
      <c r="D54" s="59">
        <f t="shared" si="10"/>
        <v>533.5</v>
      </c>
      <c r="E54" s="59">
        <f t="shared" si="10"/>
        <v>533.5</v>
      </c>
      <c r="F54" s="59">
        <f t="shared" si="10"/>
        <v>533.5</v>
      </c>
      <c r="G54" s="59">
        <f t="shared" si="10"/>
        <v>533.5</v>
      </c>
      <c r="H54" s="59">
        <f t="shared" si="10"/>
        <v>533.5</v>
      </c>
      <c r="I54" s="59">
        <f t="shared" si="10"/>
        <v>533.5</v>
      </c>
      <c r="J54" s="59">
        <f t="shared" si="10"/>
        <v>533.5</v>
      </c>
      <c r="K54" s="59">
        <f t="shared" si="10"/>
        <v>533.5</v>
      </c>
      <c r="L54" s="59">
        <f t="shared" si="10"/>
        <v>533.5</v>
      </c>
      <c r="M54" s="59">
        <f t="shared" si="10"/>
        <v>533.4</v>
      </c>
      <c r="N54" s="59">
        <f t="shared" si="10"/>
        <v>533.4</v>
      </c>
      <c r="O54" s="59">
        <f t="shared" si="10"/>
        <v>533.4</v>
      </c>
      <c r="P54" s="59">
        <f t="shared" si="10"/>
        <v>533.5</v>
      </c>
      <c r="Q54" s="59">
        <f t="shared" si="10"/>
        <v>533.5</v>
      </c>
      <c r="R54" s="59">
        <f t="shared" ref="R54" si="11">SUM(R51:R53)</f>
        <v>533.4</v>
      </c>
      <c r="S54" s="59">
        <f t="shared" si="10"/>
        <v>533.4</v>
      </c>
      <c r="T54" s="59">
        <f t="shared" si="10"/>
        <v>533.4</v>
      </c>
      <c r="U54" s="59">
        <f t="shared" si="10"/>
        <v>533.4</v>
      </c>
      <c r="V54" s="59">
        <f t="shared" si="10"/>
        <v>533.4</v>
      </c>
      <c r="W54" s="59">
        <f t="shared" si="10"/>
        <v>533.4</v>
      </c>
      <c r="X54" s="59">
        <f t="shared" si="10"/>
        <v>533.4</v>
      </c>
      <c r="Y54" s="59">
        <f t="shared" si="10"/>
        <v>533.4</v>
      </c>
      <c r="Z54" s="59">
        <f t="shared" si="10"/>
        <v>533.4</v>
      </c>
      <c r="AA54" s="59">
        <v>533.4</v>
      </c>
      <c r="AB54" s="59">
        <f t="shared" si="10"/>
        <v>533.4</v>
      </c>
      <c r="AC54" s="59">
        <f t="shared" si="10"/>
        <v>533.4</v>
      </c>
      <c r="AD54" s="59">
        <f t="shared" si="10"/>
        <v>533.4</v>
      </c>
      <c r="AE54" s="59">
        <f t="shared" si="10"/>
        <v>533.4</v>
      </c>
      <c r="AF54" s="59">
        <f t="shared" ref="AF54" si="12">SUM(AF51:AF53)</f>
        <v>533.4</v>
      </c>
      <c r="AG54" s="60">
        <f t="shared" si="10"/>
        <v>538.1</v>
      </c>
      <c r="AH54" s="47">
        <f t="shared" si="2"/>
        <v>533.5</v>
      </c>
      <c r="AI54" s="48">
        <f t="shared" si="3"/>
        <v>533.4</v>
      </c>
      <c r="AK54" s="74"/>
    </row>
    <row r="55" spans="1:41" x14ac:dyDescent="0.25">
      <c r="A55" s="44" t="s">
        <v>71</v>
      </c>
      <c r="B55" s="45">
        <v>97</v>
      </c>
      <c r="C55" s="45">
        <v>97</v>
      </c>
      <c r="D55" s="45">
        <v>97</v>
      </c>
      <c r="E55" s="45">
        <v>97.1</v>
      </c>
      <c r="F55" s="45">
        <v>97</v>
      </c>
      <c r="G55" s="45">
        <v>97</v>
      </c>
      <c r="H55" s="45">
        <v>97</v>
      </c>
      <c r="I55" s="45">
        <v>97.1</v>
      </c>
      <c r="J55" s="45">
        <v>97.1</v>
      </c>
      <c r="K55" s="45">
        <v>97.1</v>
      </c>
      <c r="L55" s="45">
        <v>97.1</v>
      </c>
      <c r="M55" s="45">
        <v>97.1</v>
      </c>
      <c r="N55" s="45">
        <v>96.9</v>
      </c>
      <c r="O55" s="45">
        <v>96.9</v>
      </c>
      <c r="P55" s="45">
        <v>96.9</v>
      </c>
      <c r="Q55" s="45">
        <v>96.9</v>
      </c>
      <c r="R55" s="45">
        <v>96.7</v>
      </c>
      <c r="S55" s="45">
        <v>96.7</v>
      </c>
      <c r="T55" s="45">
        <v>96.7</v>
      </c>
      <c r="U55" s="45">
        <v>96.7</v>
      </c>
      <c r="V55" s="45">
        <v>96.7</v>
      </c>
      <c r="W55" s="45">
        <v>96.7</v>
      </c>
      <c r="X55" s="45">
        <v>96.7</v>
      </c>
      <c r="Y55" s="45">
        <v>96.7</v>
      </c>
      <c r="Z55" s="45">
        <v>96.7</v>
      </c>
      <c r="AA55" s="45">
        <v>96.7</v>
      </c>
      <c r="AB55" s="45">
        <v>96.7</v>
      </c>
      <c r="AC55" s="45">
        <v>96.7</v>
      </c>
      <c r="AD55" s="45">
        <v>96.7</v>
      </c>
      <c r="AE55" s="45">
        <v>97</v>
      </c>
      <c r="AF55" s="45">
        <v>97</v>
      </c>
      <c r="AG55" s="51">
        <v>144</v>
      </c>
      <c r="AH55" s="47">
        <f t="shared" si="2"/>
        <v>97.1</v>
      </c>
      <c r="AI55" s="48">
        <f t="shared" si="3"/>
        <v>96.7</v>
      </c>
      <c r="AK55" s="74"/>
    </row>
    <row r="56" spans="1:41" x14ac:dyDescent="0.25">
      <c r="A56" s="53" t="s">
        <v>72</v>
      </c>
      <c r="B56" s="45">
        <v>0</v>
      </c>
      <c r="C56" s="45">
        <v>0</v>
      </c>
      <c r="D56" s="45">
        <v>69</v>
      </c>
      <c r="E56" s="64">
        <v>69.7</v>
      </c>
      <c r="F56" s="64">
        <v>69.8</v>
      </c>
      <c r="G56" s="64">
        <v>70.5</v>
      </c>
      <c r="H56" s="64">
        <v>70.5</v>
      </c>
      <c r="I56" s="64">
        <v>71.3</v>
      </c>
      <c r="J56" s="64">
        <v>68.099999999999994</v>
      </c>
      <c r="K56" s="64">
        <v>68.099999999999994</v>
      </c>
      <c r="L56" s="64">
        <v>68.099999999999994</v>
      </c>
      <c r="M56" s="64">
        <v>70.3</v>
      </c>
      <c r="N56" s="64">
        <v>69.099999999999994</v>
      </c>
      <c r="O56" s="64">
        <v>69.5</v>
      </c>
      <c r="P56" s="64">
        <v>70.599999999999994</v>
      </c>
      <c r="Q56" s="64">
        <v>69</v>
      </c>
      <c r="R56" s="64">
        <v>70</v>
      </c>
      <c r="S56" s="64">
        <v>70</v>
      </c>
      <c r="T56" s="64">
        <v>70</v>
      </c>
      <c r="U56" s="64">
        <v>70</v>
      </c>
      <c r="V56" s="64">
        <v>70</v>
      </c>
      <c r="W56" s="64">
        <v>70</v>
      </c>
      <c r="X56" s="64">
        <v>70</v>
      </c>
      <c r="Y56" s="64">
        <v>70</v>
      </c>
      <c r="Z56" s="64">
        <v>70</v>
      </c>
      <c r="AA56" s="45">
        <v>70</v>
      </c>
      <c r="AB56" s="45">
        <v>70</v>
      </c>
      <c r="AC56" s="45">
        <v>70</v>
      </c>
      <c r="AD56" s="45">
        <v>68.7</v>
      </c>
      <c r="AE56" s="45">
        <v>70</v>
      </c>
      <c r="AF56" s="45">
        <v>70</v>
      </c>
      <c r="AG56" s="54">
        <v>70</v>
      </c>
      <c r="AH56" s="47">
        <f t="shared" si="2"/>
        <v>71.3</v>
      </c>
      <c r="AI56" s="48">
        <f t="shared" si="3"/>
        <v>0</v>
      </c>
      <c r="AK56" s="74"/>
    </row>
    <row r="57" spans="1:41" x14ac:dyDescent="0.25">
      <c r="A57" s="53" t="s">
        <v>73</v>
      </c>
      <c r="B57" s="45">
        <v>68.2</v>
      </c>
      <c r="C57" s="45">
        <v>68.2</v>
      </c>
      <c r="D57" s="45">
        <v>68.2</v>
      </c>
      <c r="E57" s="64">
        <v>68.2</v>
      </c>
      <c r="F57" s="64">
        <v>68.2</v>
      </c>
      <c r="G57" s="64">
        <v>67.8</v>
      </c>
      <c r="H57" s="64">
        <v>66.900000000000006</v>
      </c>
      <c r="I57" s="64">
        <v>67.599999999999994</v>
      </c>
      <c r="J57" s="64">
        <v>66.400000000000006</v>
      </c>
      <c r="K57" s="64">
        <v>66.400000000000006</v>
      </c>
      <c r="L57" s="64">
        <v>66.400000000000006</v>
      </c>
      <c r="M57" s="64">
        <v>61.1</v>
      </c>
      <c r="N57" s="64">
        <v>67.599999999999994</v>
      </c>
      <c r="O57" s="64">
        <v>50.4</v>
      </c>
      <c r="P57" s="64">
        <v>68.3</v>
      </c>
      <c r="Q57" s="64">
        <v>68.3</v>
      </c>
      <c r="R57" s="64">
        <v>68.099999999999994</v>
      </c>
      <c r="S57" s="64">
        <v>68.099999999999994</v>
      </c>
      <c r="T57" s="64">
        <v>68.099999999999994</v>
      </c>
      <c r="U57" s="64">
        <v>68.099999999999994</v>
      </c>
      <c r="V57" s="64">
        <v>68.099999999999994</v>
      </c>
      <c r="W57" s="64">
        <v>68.099999999999994</v>
      </c>
      <c r="X57" s="64">
        <v>68.099999999999994</v>
      </c>
      <c r="Y57" s="64">
        <v>68.099999999999994</v>
      </c>
      <c r="Z57" s="64">
        <v>68.099999999999994</v>
      </c>
      <c r="AA57" s="45">
        <v>68.099999999999994</v>
      </c>
      <c r="AB57" s="45">
        <v>68.099999999999994</v>
      </c>
      <c r="AC57" s="45">
        <v>68.099999999999994</v>
      </c>
      <c r="AD57" s="45">
        <v>65.2</v>
      </c>
      <c r="AE57" s="45">
        <v>63.8</v>
      </c>
      <c r="AF57" s="45">
        <v>63.8</v>
      </c>
      <c r="AG57" s="54">
        <v>69</v>
      </c>
      <c r="AH57" s="47">
        <f t="shared" si="2"/>
        <v>68.3</v>
      </c>
      <c r="AI57" s="48">
        <f t="shared" si="3"/>
        <v>50.4</v>
      </c>
      <c r="AK57" s="74"/>
    </row>
    <row r="58" spans="1:41" x14ac:dyDescent="0.25">
      <c r="A58" s="53" t="s">
        <v>74</v>
      </c>
      <c r="B58" s="45">
        <v>60.2</v>
      </c>
      <c r="C58" s="45">
        <v>60.2</v>
      </c>
      <c r="D58" s="45">
        <v>60.2</v>
      </c>
      <c r="E58" s="56">
        <v>60.4</v>
      </c>
      <c r="F58" s="56">
        <v>60.4</v>
      </c>
      <c r="G58" s="56">
        <v>60.4</v>
      </c>
      <c r="H58" s="56">
        <v>60.4</v>
      </c>
      <c r="I58" s="56">
        <v>60.4</v>
      </c>
      <c r="J58" s="56">
        <v>60.9</v>
      </c>
      <c r="K58" s="56">
        <v>60.9</v>
      </c>
      <c r="L58" s="56">
        <v>60.9</v>
      </c>
      <c r="M58" s="64">
        <v>60.4</v>
      </c>
      <c r="N58" s="64">
        <v>60.4</v>
      </c>
      <c r="O58" s="64">
        <v>60.4</v>
      </c>
      <c r="P58" s="64">
        <v>60.4</v>
      </c>
      <c r="Q58" s="64">
        <v>60</v>
      </c>
      <c r="R58" s="64">
        <v>60.04</v>
      </c>
      <c r="S58" s="64">
        <v>60.04</v>
      </c>
      <c r="T58" s="64">
        <v>60.04</v>
      </c>
      <c r="U58" s="64">
        <v>60.04</v>
      </c>
      <c r="V58" s="64">
        <v>60.04</v>
      </c>
      <c r="W58" s="64">
        <v>60.04</v>
      </c>
      <c r="X58" s="64">
        <v>60.04</v>
      </c>
      <c r="Y58" s="64">
        <v>60.04</v>
      </c>
      <c r="Z58" s="64">
        <v>60.04</v>
      </c>
      <c r="AA58" s="45">
        <v>60.04</v>
      </c>
      <c r="AB58" s="45">
        <v>60.04</v>
      </c>
      <c r="AC58" s="45">
        <v>60.04</v>
      </c>
      <c r="AD58" s="45">
        <v>60.04</v>
      </c>
      <c r="AE58" s="45">
        <v>60.04</v>
      </c>
      <c r="AF58" s="45">
        <v>60.04</v>
      </c>
      <c r="AG58" s="54">
        <v>60</v>
      </c>
      <c r="AH58" s="47">
        <f t="shared" si="2"/>
        <v>60.9</v>
      </c>
      <c r="AI58" s="48">
        <f t="shared" si="3"/>
        <v>60</v>
      </c>
      <c r="AK58" s="74"/>
    </row>
    <row r="59" spans="1:41" x14ac:dyDescent="0.25">
      <c r="A59" s="53" t="s">
        <v>75</v>
      </c>
      <c r="B59" s="45">
        <v>30</v>
      </c>
      <c r="C59" s="45">
        <v>30</v>
      </c>
      <c r="D59" s="45">
        <v>30</v>
      </c>
      <c r="E59" s="56">
        <v>30</v>
      </c>
      <c r="F59" s="56">
        <v>30</v>
      </c>
      <c r="G59" s="56">
        <v>30</v>
      </c>
      <c r="H59" s="56">
        <v>30</v>
      </c>
      <c r="I59" s="56">
        <v>30</v>
      </c>
      <c r="J59" s="56">
        <v>30</v>
      </c>
      <c r="K59" s="56">
        <v>30</v>
      </c>
      <c r="L59" s="56">
        <v>30</v>
      </c>
      <c r="M59" s="56">
        <v>30</v>
      </c>
      <c r="N59" s="56">
        <v>30</v>
      </c>
      <c r="O59" s="64">
        <v>30</v>
      </c>
      <c r="P59" s="64">
        <v>30</v>
      </c>
      <c r="Q59" s="64">
        <v>30</v>
      </c>
      <c r="R59" s="64">
        <v>30</v>
      </c>
      <c r="S59" s="64">
        <v>30</v>
      </c>
      <c r="T59" s="64">
        <v>30</v>
      </c>
      <c r="U59" s="64">
        <v>30</v>
      </c>
      <c r="V59" s="64">
        <v>30</v>
      </c>
      <c r="W59" s="64">
        <v>30</v>
      </c>
      <c r="X59" s="64">
        <v>30</v>
      </c>
      <c r="Y59" s="64">
        <v>30</v>
      </c>
      <c r="Z59" s="64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45">
        <v>0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0.5</v>
      </c>
      <c r="J60" s="64">
        <v>1</v>
      </c>
      <c r="K60" s="64">
        <v>1</v>
      </c>
      <c r="L60" s="64">
        <v>1</v>
      </c>
      <c r="M60" s="64">
        <v>8</v>
      </c>
      <c r="N60" s="64">
        <v>14.7</v>
      </c>
      <c r="O60" s="64">
        <v>18</v>
      </c>
      <c r="P60" s="64">
        <v>12.1</v>
      </c>
      <c r="Q60" s="64">
        <v>7.1</v>
      </c>
      <c r="R60" s="64">
        <v>8.1</v>
      </c>
      <c r="S60" s="64">
        <v>8.1</v>
      </c>
      <c r="T60" s="64">
        <v>8.1</v>
      </c>
      <c r="U60" s="64">
        <v>8.1</v>
      </c>
      <c r="V60" s="64">
        <v>8.1</v>
      </c>
      <c r="W60" s="64">
        <v>8.1</v>
      </c>
      <c r="X60" s="64">
        <v>8.1</v>
      </c>
      <c r="Y60" s="64">
        <v>8.1</v>
      </c>
      <c r="Z60" s="64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18</v>
      </c>
      <c r="AI60" s="48">
        <f t="shared" si="3"/>
        <v>0</v>
      </c>
      <c r="AK60" s="74"/>
    </row>
    <row r="61" spans="1:41" x14ac:dyDescent="0.25">
      <c r="A61" s="53" t="s">
        <v>77</v>
      </c>
      <c r="B61" s="45">
        <v>15</v>
      </c>
      <c r="C61" s="45">
        <v>15</v>
      </c>
      <c r="D61" s="45">
        <v>15</v>
      </c>
      <c r="E61" s="45">
        <v>15</v>
      </c>
      <c r="F61" s="45">
        <v>15</v>
      </c>
      <c r="G61" s="45">
        <v>15</v>
      </c>
      <c r="H61" s="45">
        <v>15</v>
      </c>
      <c r="I61" s="45">
        <v>15</v>
      </c>
      <c r="J61" s="45">
        <v>15</v>
      </c>
      <c r="K61" s="45">
        <v>15</v>
      </c>
      <c r="L61" s="45">
        <v>15</v>
      </c>
      <c r="M61" s="45">
        <v>17</v>
      </c>
      <c r="N61" s="45">
        <v>17</v>
      </c>
      <c r="O61" s="45">
        <v>17</v>
      </c>
      <c r="P61" s="45">
        <v>17</v>
      </c>
      <c r="Q61" s="45">
        <v>17</v>
      </c>
      <c r="R61" s="45">
        <v>17</v>
      </c>
      <c r="S61" s="45">
        <v>17</v>
      </c>
      <c r="T61" s="45">
        <v>17</v>
      </c>
      <c r="U61" s="45">
        <v>17</v>
      </c>
      <c r="V61" s="45">
        <v>17</v>
      </c>
      <c r="W61" s="45">
        <v>17</v>
      </c>
      <c r="X61" s="45">
        <v>17</v>
      </c>
      <c r="Y61" s="45">
        <v>17</v>
      </c>
      <c r="Z61" s="45">
        <v>17</v>
      </c>
      <c r="AA61" s="64">
        <v>17</v>
      </c>
      <c r="AB61" s="64">
        <v>17</v>
      </c>
      <c r="AC61" s="64">
        <v>17</v>
      </c>
      <c r="AD61" s="64">
        <v>17</v>
      </c>
      <c r="AE61" s="64">
        <v>17</v>
      </c>
      <c r="AF61" s="64">
        <v>17</v>
      </c>
      <c r="AG61" s="54">
        <v>24</v>
      </c>
      <c r="AH61" s="47">
        <f t="shared" si="2"/>
        <v>17</v>
      </c>
      <c r="AI61" s="48">
        <f t="shared" si="3"/>
        <v>15</v>
      </c>
      <c r="AK61" s="74"/>
    </row>
    <row r="62" spans="1:41" x14ac:dyDescent="0.25">
      <c r="A62" s="53" t="s">
        <v>78</v>
      </c>
      <c r="B62" s="45">
        <v>5</v>
      </c>
      <c r="C62" s="45">
        <v>5</v>
      </c>
      <c r="D62" s="45">
        <v>5</v>
      </c>
      <c r="E62" s="45">
        <v>5</v>
      </c>
      <c r="F62" s="45">
        <v>5</v>
      </c>
      <c r="G62" s="45">
        <v>5</v>
      </c>
      <c r="H62" s="45">
        <v>5</v>
      </c>
      <c r="I62" s="45">
        <v>5</v>
      </c>
      <c r="J62" s="45">
        <v>5</v>
      </c>
      <c r="K62" s="45">
        <v>5</v>
      </c>
      <c r="L62" s="45">
        <v>5</v>
      </c>
      <c r="M62" s="45">
        <v>3.5</v>
      </c>
      <c r="N62" s="45">
        <v>3.5</v>
      </c>
      <c r="O62" s="45">
        <v>3.5</v>
      </c>
      <c r="P62" s="45">
        <v>3.5</v>
      </c>
      <c r="Q62" s="45">
        <v>3.5</v>
      </c>
      <c r="R62" s="45">
        <v>3.5</v>
      </c>
      <c r="S62" s="45">
        <v>3.5</v>
      </c>
      <c r="T62" s="45">
        <v>3.5</v>
      </c>
      <c r="U62" s="45">
        <v>3.5</v>
      </c>
      <c r="V62" s="45">
        <v>3.5</v>
      </c>
      <c r="W62" s="45">
        <v>3.5</v>
      </c>
      <c r="X62" s="45">
        <v>3.5</v>
      </c>
      <c r="Y62" s="45">
        <v>3.5</v>
      </c>
      <c r="Z62" s="45">
        <v>3.5</v>
      </c>
      <c r="AA62" s="64">
        <v>3.5</v>
      </c>
      <c r="AB62" s="64">
        <v>3.5</v>
      </c>
      <c r="AC62" s="64">
        <v>3.5</v>
      </c>
      <c r="AD62" s="64">
        <v>3.5</v>
      </c>
      <c r="AE62" s="64">
        <v>3.5</v>
      </c>
      <c r="AF62" s="64">
        <v>3.5</v>
      </c>
      <c r="AG62" s="54">
        <v>15</v>
      </c>
      <c r="AH62" s="47">
        <f t="shared" si="2"/>
        <v>5</v>
      </c>
      <c r="AI62" s="48">
        <f t="shared" si="3"/>
        <v>3.5</v>
      </c>
      <c r="AK62" s="74"/>
      <c r="AL62" s="69"/>
      <c r="AO62" s="69"/>
    </row>
    <row r="63" spans="1:41" s="69" customFormat="1" x14ac:dyDescent="0.25">
      <c r="A63" s="53" t="s">
        <v>79</v>
      </c>
      <c r="B63" s="45">
        <v>12.4</v>
      </c>
      <c r="C63" s="45">
        <v>12.4</v>
      </c>
      <c r="D63" s="45">
        <v>12.4</v>
      </c>
      <c r="E63" s="45">
        <v>12.4</v>
      </c>
      <c r="F63" s="45">
        <v>12.4</v>
      </c>
      <c r="G63" s="45">
        <v>12.4</v>
      </c>
      <c r="H63" s="45">
        <v>12.4</v>
      </c>
      <c r="I63" s="45">
        <v>12.4</v>
      </c>
      <c r="J63" s="45">
        <v>12.4</v>
      </c>
      <c r="K63" s="45">
        <v>12.4</v>
      </c>
      <c r="L63" s="45">
        <v>12.4</v>
      </c>
      <c r="M63" s="45">
        <v>12.4</v>
      </c>
      <c r="N63" s="45">
        <v>12.4</v>
      </c>
      <c r="O63" s="45">
        <v>13.3</v>
      </c>
      <c r="P63" s="45">
        <v>13.3</v>
      </c>
      <c r="Q63" s="45">
        <v>8</v>
      </c>
      <c r="R63" s="45">
        <v>12.7</v>
      </c>
      <c r="S63" s="45">
        <v>12.7</v>
      </c>
      <c r="T63" s="45">
        <v>12.7</v>
      </c>
      <c r="U63" s="45">
        <v>12.7</v>
      </c>
      <c r="V63" s="45">
        <v>12.7</v>
      </c>
      <c r="W63" s="45">
        <v>12.7</v>
      </c>
      <c r="X63" s="45">
        <v>12.7</v>
      </c>
      <c r="Y63" s="45">
        <v>12.7</v>
      </c>
      <c r="Z63" s="45">
        <v>12.7</v>
      </c>
      <c r="AA63" s="64">
        <v>12.7</v>
      </c>
      <c r="AB63" s="64">
        <v>12.7</v>
      </c>
      <c r="AC63" s="64">
        <v>12.7</v>
      </c>
      <c r="AD63" s="64">
        <v>12.7</v>
      </c>
      <c r="AE63" s="64">
        <v>12.7</v>
      </c>
      <c r="AF63" s="64">
        <v>12.7</v>
      </c>
      <c r="AG63" s="54">
        <v>14.1</v>
      </c>
      <c r="AH63" s="47">
        <f t="shared" si="2"/>
        <v>13.3</v>
      </c>
      <c r="AI63" s="48">
        <f t="shared" si="3"/>
        <v>8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45">
        <v>14</v>
      </c>
      <c r="C64" s="45">
        <v>14</v>
      </c>
      <c r="D64" s="45">
        <v>14</v>
      </c>
      <c r="E64" s="45">
        <v>14</v>
      </c>
      <c r="F64" s="45">
        <v>14</v>
      </c>
      <c r="G64" s="45">
        <v>14</v>
      </c>
      <c r="H64" s="45">
        <v>14</v>
      </c>
      <c r="I64" s="45">
        <v>14</v>
      </c>
      <c r="J64" s="45">
        <v>14</v>
      </c>
      <c r="K64" s="45">
        <v>14</v>
      </c>
      <c r="L64" s="45">
        <v>14</v>
      </c>
      <c r="M64" s="45">
        <v>14</v>
      </c>
      <c r="N64" s="45">
        <v>14</v>
      </c>
      <c r="O64" s="45">
        <v>7.3</v>
      </c>
      <c r="P64" s="45">
        <v>7.3</v>
      </c>
      <c r="Q64" s="45">
        <v>7.3</v>
      </c>
      <c r="R64" s="45">
        <v>7.3</v>
      </c>
      <c r="S64" s="45">
        <v>7.3</v>
      </c>
      <c r="T64" s="45">
        <v>7.3</v>
      </c>
      <c r="U64" s="45">
        <v>7.3</v>
      </c>
      <c r="V64" s="45">
        <v>7.3</v>
      </c>
      <c r="W64" s="45">
        <v>7.3</v>
      </c>
      <c r="X64" s="45">
        <v>7.3</v>
      </c>
      <c r="Y64" s="45">
        <v>7.3</v>
      </c>
      <c r="Z64" s="45">
        <v>7.3</v>
      </c>
      <c r="AA64" s="64">
        <v>7.3</v>
      </c>
      <c r="AB64" s="64">
        <v>7.3</v>
      </c>
      <c r="AC64" s="64">
        <v>7.3</v>
      </c>
      <c r="AD64" s="64">
        <v>7.3</v>
      </c>
      <c r="AE64" s="64">
        <v>7.3</v>
      </c>
      <c r="AF64" s="64">
        <v>7.3</v>
      </c>
      <c r="AG64" s="54">
        <v>14</v>
      </c>
      <c r="AH64" s="47">
        <f t="shared" si="2"/>
        <v>14</v>
      </c>
      <c r="AI64" s="48">
        <f t="shared" si="3"/>
        <v>7.3</v>
      </c>
      <c r="AK64" s="74"/>
    </row>
    <row r="65" spans="1:40" x14ac:dyDescent="0.25">
      <c r="A65" s="53" t="s">
        <v>81</v>
      </c>
      <c r="B65" s="45">
        <v>9.5</v>
      </c>
      <c r="C65" s="45">
        <v>9.5</v>
      </c>
      <c r="D65" s="45">
        <v>9.5</v>
      </c>
      <c r="E65" s="45">
        <v>9.5</v>
      </c>
      <c r="F65" s="45">
        <v>9.5</v>
      </c>
      <c r="G65" s="45">
        <v>9.5</v>
      </c>
      <c r="H65" s="45">
        <v>9.5</v>
      </c>
      <c r="I65" s="45">
        <v>9.5</v>
      </c>
      <c r="J65" s="45">
        <v>9.5</v>
      </c>
      <c r="K65" s="45">
        <v>9.5</v>
      </c>
      <c r="L65" s="45">
        <v>9.5</v>
      </c>
      <c r="M65" s="45">
        <v>9.5</v>
      </c>
      <c r="N65" s="45">
        <v>9.5</v>
      </c>
      <c r="O65" s="45">
        <v>9.5</v>
      </c>
      <c r="P65" s="45">
        <v>9.5</v>
      </c>
      <c r="Q65" s="45">
        <v>9.5</v>
      </c>
      <c r="R65" s="45">
        <v>9.5</v>
      </c>
      <c r="S65" s="45">
        <v>9.5</v>
      </c>
      <c r="T65" s="45">
        <v>9.5</v>
      </c>
      <c r="U65" s="45">
        <v>9.5</v>
      </c>
      <c r="V65" s="45">
        <v>9.5</v>
      </c>
      <c r="W65" s="45">
        <v>9.5</v>
      </c>
      <c r="X65" s="45">
        <v>9.5</v>
      </c>
      <c r="Y65" s="45">
        <v>9.5</v>
      </c>
      <c r="Z65" s="45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74"/>
    </row>
    <row r="66" spans="1:40" x14ac:dyDescent="0.25">
      <c r="A66" s="53" t="s">
        <v>82</v>
      </c>
      <c r="B66" s="45">
        <v>3</v>
      </c>
      <c r="C66" s="45">
        <v>3</v>
      </c>
      <c r="D66" s="45">
        <v>3</v>
      </c>
      <c r="E66" s="45">
        <v>3</v>
      </c>
      <c r="F66" s="45">
        <v>3</v>
      </c>
      <c r="G66" s="45">
        <v>3</v>
      </c>
      <c r="H66" s="45">
        <v>3</v>
      </c>
      <c r="I66" s="45">
        <v>3</v>
      </c>
      <c r="J66" s="45">
        <v>3</v>
      </c>
      <c r="K66" s="45">
        <v>3</v>
      </c>
      <c r="L66" s="45">
        <v>3</v>
      </c>
      <c r="M66" s="45">
        <v>3</v>
      </c>
      <c r="N66" s="45">
        <v>3</v>
      </c>
      <c r="O66" s="45">
        <v>3</v>
      </c>
      <c r="P66" s="45">
        <v>3</v>
      </c>
      <c r="Q66" s="45">
        <v>3</v>
      </c>
      <c r="R66" s="45">
        <v>3</v>
      </c>
      <c r="S66" s="45">
        <v>3</v>
      </c>
      <c r="T66" s="45">
        <v>3</v>
      </c>
      <c r="U66" s="45">
        <v>3</v>
      </c>
      <c r="V66" s="45">
        <v>3</v>
      </c>
      <c r="W66" s="45">
        <v>3</v>
      </c>
      <c r="X66" s="45">
        <v>3</v>
      </c>
      <c r="Y66" s="45">
        <v>3</v>
      </c>
      <c r="Z66" s="45">
        <v>3</v>
      </c>
      <c r="AA66" s="64">
        <v>3</v>
      </c>
      <c r="AB66" s="64">
        <v>3</v>
      </c>
      <c r="AC66" s="64">
        <v>3</v>
      </c>
      <c r="AD66" s="64">
        <v>3</v>
      </c>
      <c r="AE66" s="64">
        <v>3</v>
      </c>
      <c r="AF66" s="64">
        <v>3</v>
      </c>
      <c r="AG66" s="54">
        <v>6.2</v>
      </c>
      <c r="AH66" s="47">
        <f t="shared" si="2"/>
        <v>3</v>
      </c>
      <c r="AI66" s="48">
        <f t="shared" si="3"/>
        <v>3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" si="13">SUM(B55:B67)</f>
        <v>317.83999999999997</v>
      </c>
      <c r="C68" s="59">
        <f t="shared" ref="C68:AG68" si="14">SUM(C55:C67)</f>
        <v>317.83999999999997</v>
      </c>
      <c r="D68" s="59">
        <f t="shared" si="14"/>
        <v>386.84</v>
      </c>
      <c r="E68" s="59">
        <f t="shared" si="14"/>
        <v>387.84</v>
      </c>
      <c r="F68" s="59">
        <f t="shared" si="14"/>
        <v>387.84</v>
      </c>
      <c r="G68" s="59">
        <f t="shared" si="14"/>
        <v>388.14</v>
      </c>
      <c r="H68" s="59">
        <f t="shared" si="14"/>
        <v>387.24</v>
      </c>
      <c r="I68" s="59">
        <f t="shared" si="14"/>
        <v>389.34</v>
      </c>
      <c r="J68" s="59">
        <f t="shared" si="14"/>
        <v>385.94</v>
      </c>
      <c r="K68" s="59">
        <f t="shared" si="14"/>
        <v>385.94</v>
      </c>
      <c r="L68" s="59">
        <f t="shared" si="14"/>
        <v>385.94</v>
      </c>
      <c r="M68" s="59">
        <f t="shared" si="14"/>
        <v>389.84</v>
      </c>
      <c r="N68" s="59">
        <f t="shared" si="14"/>
        <v>401.64</v>
      </c>
      <c r="O68" s="59">
        <f t="shared" si="14"/>
        <v>382.34000000000003</v>
      </c>
      <c r="P68" s="59">
        <f t="shared" si="14"/>
        <v>395.44000000000005</v>
      </c>
      <c r="Q68" s="59">
        <f t="shared" si="14"/>
        <v>383.14000000000004</v>
      </c>
      <c r="R68" s="59">
        <f t="shared" ref="R68" si="15">SUM(R55:R67)</f>
        <v>389.48</v>
      </c>
      <c r="S68" s="59">
        <f t="shared" si="14"/>
        <v>389.48</v>
      </c>
      <c r="T68" s="59">
        <f t="shared" si="14"/>
        <v>389.48</v>
      </c>
      <c r="U68" s="59">
        <f t="shared" si="14"/>
        <v>389.48</v>
      </c>
      <c r="V68" s="59">
        <f t="shared" si="14"/>
        <v>389.48</v>
      </c>
      <c r="W68" s="59">
        <f t="shared" si="14"/>
        <v>389.48</v>
      </c>
      <c r="X68" s="59">
        <f t="shared" si="14"/>
        <v>389.48</v>
      </c>
      <c r="Y68" s="59">
        <f t="shared" si="14"/>
        <v>389.48</v>
      </c>
      <c r="Z68" s="59">
        <f t="shared" si="14"/>
        <v>381.38</v>
      </c>
      <c r="AA68" s="59">
        <v>381.38</v>
      </c>
      <c r="AB68" s="59">
        <f t="shared" si="14"/>
        <v>381.38</v>
      </c>
      <c r="AC68" s="59">
        <f t="shared" si="14"/>
        <v>381.38</v>
      </c>
      <c r="AD68" s="59">
        <f t="shared" si="14"/>
        <v>377.18000000000006</v>
      </c>
      <c r="AE68" s="59">
        <f t="shared" si="14"/>
        <v>347.38000000000005</v>
      </c>
      <c r="AF68" s="59">
        <f t="shared" si="14"/>
        <v>377.38000000000005</v>
      </c>
      <c r="AG68" s="60">
        <f t="shared" si="14"/>
        <v>489.91</v>
      </c>
      <c r="AH68" s="47">
        <f t="shared" si="2"/>
        <v>401.64</v>
      </c>
      <c r="AI68" s="48">
        <f t="shared" si="3"/>
        <v>317.83999999999997</v>
      </c>
      <c r="AK68" s="74"/>
    </row>
    <row r="69" spans="1:40" x14ac:dyDescent="0.25">
      <c r="A69" s="44" t="s">
        <v>85</v>
      </c>
      <c r="B69" s="45">
        <v>19.600000000000001</v>
      </c>
      <c r="C69" s="45">
        <v>29.9</v>
      </c>
      <c r="D69" s="45">
        <v>10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30</v>
      </c>
      <c r="L69" s="45">
        <v>55</v>
      </c>
      <c r="M69" s="45">
        <v>10.9</v>
      </c>
      <c r="N69" s="45">
        <v>10.9</v>
      </c>
      <c r="O69" s="45">
        <v>13.7</v>
      </c>
      <c r="P69" s="45">
        <v>11</v>
      </c>
      <c r="Q69" s="45">
        <v>19.7</v>
      </c>
      <c r="R69" s="45">
        <v>14.3</v>
      </c>
      <c r="S69" s="45">
        <v>14</v>
      </c>
      <c r="T69" s="45">
        <v>28</v>
      </c>
      <c r="U69" s="45">
        <v>14.3</v>
      </c>
      <c r="V69" s="45">
        <v>11</v>
      </c>
      <c r="W69" s="45">
        <v>0</v>
      </c>
      <c r="X69" s="45">
        <v>0</v>
      </c>
      <c r="Y69" s="45">
        <v>0</v>
      </c>
      <c r="Z69" s="45">
        <v>0</v>
      </c>
      <c r="AA69" s="45">
        <v>13.7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55</v>
      </c>
      <c r="AI69" s="48">
        <f t="shared" si="3"/>
        <v>0</v>
      </c>
      <c r="AK69" s="74"/>
    </row>
    <row r="70" spans="1:40" x14ac:dyDescent="0.25">
      <c r="A70" s="53" t="s">
        <v>86</v>
      </c>
      <c r="B70" s="64">
        <v>9.9</v>
      </c>
      <c r="C70" s="45">
        <v>15.9</v>
      </c>
      <c r="D70" s="64">
        <v>3.8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10</v>
      </c>
      <c r="M70" s="64">
        <v>3.6</v>
      </c>
      <c r="N70" s="64">
        <v>3.9</v>
      </c>
      <c r="O70" s="64">
        <v>14.5</v>
      </c>
      <c r="P70" s="64">
        <v>10.199999999999999</v>
      </c>
      <c r="Q70" s="64">
        <v>9.1999999999999993</v>
      </c>
      <c r="R70" s="64">
        <v>7</v>
      </c>
      <c r="S70" s="64">
        <v>8.1999999999999993</v>
      </c>
      <c r="T70" s="64">
        <v>5.0999999999999996</v>
      </c>
      <c r="U70" s="64">
        <v>5.3</v>
      </c>
      <c r="V70" s="64">
        <v>4.5999999999999996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15.9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66">
        <v>3.6</v>
      </c>
      <c r="C71" s="45">
        <v>5.8</v>
      </c>
      <c r="D71" s="66">
        <v>1.4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5</v>
      </c>
      <c r="M71" s="66">
        <v>1.3</v>
      </c>
      <c r="N71" s="66">
        <v>1.4</v>
      </c>
      <c r="O71" s="66">
        <v>5.3</v>
      </c>
      <c r="P71" s="66">
        <v>3.7</v>
      </c>
      <c r="Q71" s="66">
        <v>3.4</v>
      </c>
      <c r="R71" s="66">
        <v>2.5</v>
      </c>
      <c r="S71" s="66">
        <v>2.1</v>
      </c>
      <c r="T71" s="66">
        <v>1.9</v>
      </c>
      <c r="U71" s="66">
        <v>2.1</v>
      </c>
      <c r="V71" s="66">
        <v>1.7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5.8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 t="shared" ref="B72:I72" si="16">B69+B70+B71</f>
        <v>33.1</v>
      </c>
      <c r="C72" s="59">
        <f t="shared" si="16"/>
        <v>51.599999999999994</v>
      </c>
      <c r="D72" s="59">
        <f t="shared" si="16"/>
        <v>15.200000000000001</v>
      </c>
      <c r="E72" s="59">
        <f t="shared" si="16"/>
        <v>0</v>
      </c>
      <c r="F72" s="59">
        <f t="shared" si="16"/>
        <v>0</v>
      </c>
      <c r="G72" s="59">
        <f t="shared" si="16"/>
        <v>0</v>
      </c>
      <c r="H72" s="59">
        <f t="shared" si="16"/>
        <v>0</v>
      </c>
      <c r="I72" s="59">
        <f t="shared" si="16"/>
        <v>0</v>
      </c>
      <c r="J72" s="59">
        <v>0</v>
      </c>
      <c r="K72" s="59">
        <v>0</v>
      </c>
      <c r="L72" s="59">
        <f>L69+L70+L71</f>
        <v>70</v>
      </c>
      <c r="M72" s="59">
        <f t="shared" ref="M72:AF72" si="17">M69+M70+M71</f>
        <v>15.8</v>
      </c>
      <c r="N72" s="59">
        <f t="shared" si="17"/>
        <v>16.2</v>
      </c>
      <c r="O72" s="59">
        <f t="shared" si="17"/>
        <v>33.5</v>
      </c>
      <c r="P72" s="59">
        <f t="shared" si="17"/>
        <v>24.9</v>
      </c>
      <c r="Q72" s="59">
        <f t="shared" si="17"/>
        <v>32.299999999999997</v>
      </c>
      <c r="R72" s="59">
        <f t="shared" ref="R72" si="18">R69+R70+R71</f>
        <v>23.8</v>
      </c>
      <c r="S72" s="59">
        <f t="shared" si="17"/>
        <v>24.3</v>
      </c>
      <c r="T72" s="59">
        <f t="shared" si="17"/>
        <v>35</v>
      </c>
      <c r="U72" s="59">
        <f t="shared" si="17"/>
        <v>21.700000000000003</v>
      </c>
      <c r="V72" s="59">
        <f t="shared" si="17"/>
        <v>17.3</v>
      </c>
      <c r="W72" s="59">
        <f t="shared" si="17"/>
        <v>0</v>
      </c>
      <c r="X72" s="59">
        <f t="shared" si="17"/>
        <v>0</v>
      </c>
      <c r="Y72" s="59">
        <f t="shared" si="17"/>
        <v>0</v>
      </c>
      <c r="Z72" s="59">
        <f t="shared" si="17"/>
        <v>0</v>
      </c>
      <c r="AA72" s="59">
        <v>13.7</v>
      </c>
      <c r="AB72" s="59">
        <f t="shared" si="17"/>
        <v>0</v>
      </c>
      <c r="AC72" s="59">
        <f t="shared" si="17"/>
        <v>0</v>
      </c>
      <c r="AD72" s="59">
        <f t="shared" si="17"/>
        <v>0</v>
      </c>
      <c r="AE72" s="59">
        <f t="shared" si="17"/>
        <v>0</v>
      </c>
      <c r="AF72" s="59">
        <f t="shared" si="17"/>
        <v>0</v>
      </c>
      <c r="AG72" s="60">
        <f>SUM(AG69:AG71)</f>
        <v>106</v>
      </c>
      <c r="AH72" s="47">
        <f t="shared" si="2"/>
        <v>70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21.1</v>
      </c>
      <c r="C73" s="45">
        <v>25.5</v>
      </c>
      <c r="D73" s="45">
        <v>25.5</v>
      </c>
      <c r="E73" s="45">
        <v>24.8</v>
      </c>
      <c r="F73" s="45">
        <v>22</v>
      </c>
      <c r="G73" s="45">
        <v>24.1</v>
      </c>
      <c r="H73" s="45">
        <v>16</v>
      </c>
      <c r="I73" s="45">
        <v>18.399999999999999</v>
      </c>
      <c r="J73" s="45">
        <v>20.3</v>
      </c>
      <c r="K73" s="45">
        <v>25.3</v>
      </c>
      <c r="L73" s="45">
        <v>24.2</v>
      </c>
      <c r="M73" s="45">
        <v>16.899999999999999</v>
      </c>
      <c r="N73" s="45">
        <v>19.3</v>
      </c>
      <c r="O73" s="45">
        <v>36.200000000000003</v>
      </c>
      <c r="P73" s="45">
        <v>31.4</v>
      </c>
      <c r="Q73" s="45">
        <v>37.4</v>
      </c>
      <c r="R73" s="45">
        <v>37.4</v>
      </c>
      <c r="S73" s="45">
        <v>32</v>
      </c>
      <c r="T73" s="45">
        <v>24.3</v>
      </c>
      <c r="U73" s="45">
        <v>56.9</v>
      </c>
      <c r="V73" s="45">
        <v>62.4</v>
      </c>
      <c r="W73" s="45">
        <v>58.7</v>
      </c>
      <c r="X73" s="45">
        <v>38</v>
      </c>
      <c r="Y73" s="45">
        <v>38.4</v>
      </c>
      <c r="Z73" s="45">
        <v>52.1</v>
      </c>
      <c r="AA73" s="45">
        <v>66.2</v>
      </c>
      <c r="AB73" s="45">
        <v>73</v>
      </c>
      <c r="AC73" s="45">
        <v>73</v>
      </c>
      <c r="AD73" s="45">
        <v>54.9</v>
      </c>
      <c r="AE73" s="45">
        <v>0</v>
      </c>
      <c r="AF73" s="45">
        <v>0</v>
      </c>
      <c r="AG73" s="51"/>
      <c r="AH73" s="47">
        <f t="shared" si="2"/>
        <v>73</v>
      </c>
      <c r="AI73" s="48">
        <f t="shared" si="3"/>
        <v>0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-185</v>
      </c>
      <c r="C75" s="64">
        <v>-225.6</v>
      </c>
      <c r="D75" s="64">
        <v>-266</v>
      </c>
      <c r="E75" s="64">
        <v>-276</v>
      </c>
      <c r="F75" s="64">
        <v>-299</v>
      </c>
      <c r="G75" s="64">
        <v>-308.5</v>
      </c>
      <c r="H75" s="64">
        <v>-331</v>
      </c>
      <c r="I75" s="64">
        <v>-342.4</v>
      </c>
      <c r="J75" s="64">
        <v>-247</v>
      </c>
      <c r="K75" s="64">
        <v>-245</v>
      </c>
      <c r="L75" s="64">
        <v>-246</v>
      </c>
      <c r="M75" s="64">
        <v>-219.7</v>
      </c>
      <c r="N75" s="64">
        <v>-204.6</v>
      </c>
      <c r="O75" s="64">
        <v>-228.5</v>
      </c>
      <c r="P75" s="64">
        <v>-167</v>
      </c>
      <c r="Q75" s="64">
        <v>-182</v>
      </c>
      <c r="R75" s="64">
        <v>-177.8</v>
      </c>
      <c r="S75" s="64">
        <v>-150</v>
      </c>
      <c r="T75" s="64">
        <v>-125</v>
      </c>
      <c r="U75" s="64">
        <v>-145</v>
      </c>
      <c r="V75" s="64">
        <v>-230</v>
      </c>
      <c r="W75" s="64">
        <v>-220</v>
      </c>
      <c r="X75" s="64">
        <v>-268</v>
      </c>
      <c r="Y75" s="64">
        <v>-320</v>
      </c>
      <c r="Z75" s="64">
        <v>-260</v>
      </c>
      <c r="AA75" s="64">
        <v>-210</v>
      </c>
      <c r="AB75" s="64">
        <v>-262</v>
      </c>
      <c r="AC75" s="64">
        <v>-262</v>
      </c>
      <c r="AD75" s="64">
        <v>-217</v>
      </c>
      <c r="AE75" s="64">
        <v>-270</v>
      </c>
      <c r="AF75" s="64">
        <v>-350</v>
      </c>
      <c r="AG75" s="75"/>
      <c r="AH75" s="47">
        <f t="shared" si="2"/>
        <v>-125</v>
      </c>
      <c r="AI75" s="48">
        <f t="shared" si="3"/>
        <v>-350</v>
      </c>
      <c r="AK75" s="74"/>
    </row>
    <row r="76" spans="1:40" x14ac:dyDescent="0.25">
      <c r="A76" s="53" t="s">
        <v>92</v>
      </c>
      <c r="B76" s="76">
        <v>24.3</v>
      </c>
      <c r="C76" s="64">
        <v>24.1</v>
      </c>
      <c r="D76" s="64">
        <v>23.6</v>
      </c>
      <c r="E76" s="76">
        <v>10</v>
      </c>
      <c r="F76" s="76">
        <v>10</v>
      </c>
      <c r="G76" s="76">
        <v>10</v>
      </c>
      <c r="H76" s="76">
        <v>10</v>
      </c>
      <c r="I76" s="76">
        <v>10</v>
      </c>
      <c r="J76" s="76">
        <v>20</v>
      </c>
      <c r="K76" s="76">
        <v>20</v>
      </c>
      <c r="L76" s="76">
        <v>20</v>
      </c>
      <c r="M76" s="76">
        <v>17.8</v>
      </c>
      <c r="N76" s="76">
        <v>20.7</v>
      </c>
      <c r="O76" s="76">
        <v>20.7</v>
      </c>
      <c r="P76" s="76">
        <v>20.5</v>
      </c>
      <c r="Q76" s="76">
        <v>18</v>
      </c>
      <c r="R76" s="76">
        <v>20.9</v>
      </c>
      <c r="S76" s="76">
        <v>20.9</v>
      </c>
      <c r="T76" s="76">
        <v>20.9</v>
      </c>
      <c r="U76" s="76">
        <v>30</v>
      </c>
      <c r="V76" s="76">
        <v>30</v>
      </c>
      <c r="W76" s="76">
        <v>32.5</v>
      </c>
      <c r="X76" s="76">
        <v>34.700000000000003</v>
      </c>
      <c r="Y76" s="76">
        <v>34.700000000000003</v>
      </c>
      <c r="Z76" s="76">
        <v>36.4</v>
      </c>
      <c r="AA76" s="76">
        <v>40</v>
      </c>
      <c r="AB76" s="76">
        <v>33.200000000000003</v>
      </c>
      <c r="AC76" s="76">
        <v>33.200000000000003</v>
      </c>
      <c r="AD76" s="76">
        <v>40.4</v>
      </c>
      <c r="AE76" s="76">
        <v>50</v>
      </c>
      <c r="AF76" s="76">
        <v>45</v>
      </c>
      <c r="AG76" s="75"/>
      <c r="AH76" s="47">
        <f t="shared" si="2"/>
        <v>50</v>
      </c>
      <c r="AI76" s="48">
        <f t="shared" si="3"/>
        <v>10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19">MAX(B77:AF77)</f>
        <v>0</v>
      </c>
      <c r="AI77" s="48">
        <f t="shared" ref="AI77:AI120" si="20">MIN(B77:AF77)</f>
        <v>0</v>
      </c>
      <c r="AK77" s="74"/>
    </row>
    <row r="78" spans="1:40" x14ac:dyDescent="0.25">
      <c r="A78" s="53" t="s">
        <v>94</v>
      </c>
      <c r="B78" s="45">
        <v>0</v>
      </c>
      <c r="C78" s="45">
        <v>0</v>
      </c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5</v>
      </c>
      <c r="AF78" s="77">
        <v>5</v>
      </c>
      <c r="AG78" s="75"/>
      <c r="AH78" s="47">
        <f t="shared" si="19"/>
        <v>5</v>
      </c>
      <c r="AI78" s="48">
        <f t="shared" si="20"/>
        <v>0</v>
      </c>
      <c r="AK78" s="74"/>
    </row>
    <row r="79" spans="1:40" ht="15.75" thickBot="1" x14ac:dyDescent="0.3">
      <c r="A79" s="53" t="s">
        <v>95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9"/>
        <v>0</v>
      </c>
      <c r="AI79" s="48">
        <f t="shared" si="20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19"/>
        <v>0</v>
      </c>
      <c r="AI80" s="48">
        <f t="shared" si="20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9"/>
        <v>0</v>
      </c>
      <c r="AI81" s="48">
        <f t="shared" si="20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9"/>
        <v>0</v>
      </c>
      <c r="AI82" s="48">
        <f t="shared" si="20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9"/>
        <v>0</v>
      </c>
      <c r="AI83" s="48">
        <f t="shared" si="20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" si="21">SUMIF(B73:B83,"&gt;0")</f>
        <v>45.400000000000006</v>
      </c>
      <c r="C84" s="59">
        <f t="shared" ref="C84:AF84" si="22">SUMIF(C73:C83,"&gt;0")</f>
        <v>49.6</v>
      </c>
      <c r="D84" s="59">
        <f t="shared" si="22"/>
        <v>49.1</v>
      </c>
      <c r="E84" s="59">
        <f t="shared" si="22"/>
        <v>34.799999999999997</v>
      </c>
      <c r="F84" s="59">
        <f t="shared" si="22"/>
        <v>32</v>
      </c>
      <c r="G84" s="59">
        <f t="shared" si="22"/>
        <v>34.1</v>
      </c>
      <c r="H84" s="59">
        <f t="shared" si="22"/>
        <v>26</v>
      </c>
      <c r="I84" s="59">
        <f t="shared" si="22"/>
        <v>28.4</v>
      </c>
      <c r="J84" s="59">
        <f t="shared" si="22"/>
        <v>40.299999999999997</v>
      </c>
      <c r="K84" s="59">
        <f t="shared" si="22"/>
        <v>45.3</v>
      </c>
      <c r="L84" s="59">
        <f t="shared" si="22"/>
        <v>44.2</v>
      </c>
      <c r="M84" s="59">
        <f t="shared" si="22"/>
        <v>34.700000000000003</v>
      </c>
      <c r="N84" s="59">
        <f t="shared" si="22"/>
        <v>40</v>
      </c>
      <c r="O84" s="59">
        <f t="shared" si="22"/>
        <v>56.900000000000006</v>
      </c>
      <c r="P84" s="59">
        <f t="shared" si="22"/>
        <v>51.9</v>
      </c>
      <c r="Q84" s="59">
        <f t="shared" si="22"/>
        <v>55.4</v>
      </c>
      <c r="R84" s="59">
        <f t="shared" si="22"/>
        <v>58.3</v>
      </c>
      <c r="S84" s="59">
        <f t="shared" si="22"/>
        <v>52.9</v>
      </c>
      <c r="T84" s="59">
        <f t="shared" si="22"/>
        <v>45.2</v>
      </c>
      <c r="U84" s="59">
        <f t="shared" si="22"/>
        <v>86.9</v>
      </c>
      <c r="V84" s="59">
        <f t="shared" si="22"/>
        <v>92.4</v>
      </c>
      <c r="W84" s="59">
        <f t="shared" si="22"/>
        <v>91.2</v>
      </c>
      <c r="X84" s="59">
        <f t="shared" si="22"/>
        <v>72.7</v>
      </c>
      <c r="Y84" s="59">
        <f t="shared" si="22"/>
        <v>73.099999999999994</v>
      </c>
      <c r="Z84" s="59">
        <f t="shared" si="22"/>
        <v>88.5</v>
      </c>
      <c r="AA84" s="59">
        <f t="shared" si="22"/>
        <v>106.2</v>
      </c>
      <c r="AB84" s="59">
        <f t="shared" si="22"/>
        <v>106.2</v>
      </c>
      <c r="AC84" s="59">
        <f t="shared" si="22"/>
        <v>106.2</v>
      </c>
      <c r="AD84" s="59">
        <f t="shared" si="22"/>
        <v>95.3</v>
      </c>
      <c r="AE84" s="59">
        <f t="shared" si="22"/>
        <v>55</v>
      </c>
      <c r="AF84" s="59">
        <f t="shared" si="22"/>
        <v>50</v>
      </c>
      <c r="AG84" s="88">
        <f>SUM(AG73:AG83)</f>
        <v>0</v>
      </c>
      <c r="AH84" s="47">
        <f t="shared" si="19"/>
        <v>106.2</v>
      </c>
      <c r="AI84" s="48">
        <f t="shared" si="20"/>
        <v>26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9"/>
        <v>0</v>
      </c>
      <c r="AI85" s="48">
        <f t="shared" si="20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9"/>
        <v>0</v>
      </c>
      <c r="AI86" s="48">
        <f t="shared" si="20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9"/>
        <v>0</v>
      </c>
      <c r="AI87" s="48">
        <f t="shared" si="20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>
        <v>0</v>
      </c>
      <c r="AB88" s="59"/>
      <c r="AC88" s="59"/>
      <c r="AD88" s="59"/>
      <c r="AE88" s="59"/>
      <c r="AF88" s="59"/>
      <c r="AG88" s="88">
        <f>SUM(AG85:AG87)</f>
        <v>55.4</v>
      </c>
      <c r="AH88" s="47">
        <f t="shared" si="19"/>
        <v>0</v>
      </c>
      <c r="AI88" s="48">
        <f t="shared" si="20"/>
        <v>0</v>
      </c>
    </row>
    <row r="89" spans="1:40" ht="15.75" thickBot="1" x14ac:dyDescent="0.3">
      <c r="A89" s="73" t="s">
        <v>108</v>
      </c>
      <c r="B89" s="95">
        <f t="shared" ref="B89" si="23">B50+B54+B72+B68+B84+B88</f>
        <v>1850.35</v>
      </c>
      <c r="C89" s="95">
        <f t="shared" ref="C89:AG89" si="24">C50+C54+C72+C68+C84+C88</f>
        <v>1873.0499999999997</v>
      </c>
      <c r="D89" s="95">
        <f t="shared" si="24"/>
        <v>1915.1499999999999</v>
      </c>
      <c r="E89" s="95">
        <f t="shared" si="24"/>
        <v>1883.85</v>
      </c>
      <c r="F89" s="95">
        <f t="shared" si="24"/>
        <v>1881.05</v>
      </c>
      <c r="G89" s="95">
        <f t="shared" si="24"/>
        <v>1896.25</v>
      </c>
      <c r="H89" s="95">
        <f t="shared" si="24"/>
        <v>1887.25</v>
      </c>
      <c r="I89" s="95">
        <f t="shared" si="24"/>
        <v>1907.75</v>
      </c>
      <c r="J89" s="95">
        <f t="shared" si="24"/>
        <v>1855.75</v>
      </c>
      <c r="K89" s="95">
        <f t="shared" si="24"/>
        <v>1860.75</v>
      </c>
      <c r="L89" s="95">
        <f t="shared" si="24"/>
        <v>1937.65</v>
      </c>
      <c r="M89" s="95">
        <f t="shared" si="24"/>
        <v>1849.7499999999998</v>
      </c>
      <c r="N89" s="95">
        <f t="shared" si="24"/>
        <v>1853.5500000000002</v>
      </c>
      <c r="O89" s="95">
        <f t="shared" si="24"/>
        <v>1882.15</v>
      </c>
      <c r="P89" s="95">
        <f t="shared" si="24"/>
        <v>1873.9500000000003</v>
      </c>
      <c r="Q89" s="95">
        <f t="shared" si="24"/>
        <v>1877.5500000000002</v>
      </c>
      <c r="R89" s="95">
        <f t="shared" si="24"/>
        <v>1883.29</v>
      </c>
      <c r="S89" s="95">
        <f t="shared" si="24"/>
        <v>1858.69</v>
      </c>
      <c r="T89" s="95">
        <f t="shared" si="24"/>
        <v>1861.69</v>
      </c>
      <c r="U89" s="95">
        <f t="shared" si="24"/>
        <v>1890.0900000000001</v>
      </c>
      <c r="V89" s="95">
        <f t="shared" si="24"/>
        <v>1945.0900000000001</v>
      </c>
      <c r="W89" s="95">
        <f t="shared" si="24"/>
        <v>1926.5900000000001</v>
      </c>
      <c r="X89" s="95">
        <f t="shared" si="24"/>
        <v>1908.0900000000001</v>
      </c>
      <c r="Y89" s="95">
        <f t="shared" si="24"/>
        <v>1907.5900000000001</v>
      </c>
      <c r="Z89" s="95">
        <f t="shared" si="24"/>
        <v>1953.79</v>
      </c>
      <c r="AA89" s="95">
        <v>2006.8900000000003</v>
      </c>
      <c r="AB89" s="95">
        <f t="shared" si="24"/>
        <v>1991.1900000000003</v>
      </c>
      <c r="AC89" s="95">
        <f t="shared" si="24"/>
        <v>1991.1900000000003</v>
      </c>
      <c r="AD89" s="95">
        <f t="shared" si="24"/>
        <v>1934.0900000000001</v>
      </c>
      <c r="AE89" s="95">
        <f t="shared" si="24"/>
        <v>1802.4900000000002</v>
      </c>
      <c r="AF89" s="95">
        <f t="shared" si="24"/>
        <v>1849.4900000000002</v>
      </c>
      <c r="AG89" s="60">
        <f t="shared" si="24"/>
        <v>2111.5500000000002</v>
      </c>
      <c r="AH89" s="47">
        <f t="shared" si="19"/>
        <v>2006.8900000000003</v>
      </c>
      <c r="AI89" s="48">
        <f t="shared" si="20"/>
        <v>1802.4900000000002</v>
      </c>
    </row>
    <row r="90" spans="1:40" ht="15.75" thickBot="1" x14ac:dyDescent="0.3">
      <c r="A90" s="96" t="s">
        <v>109</v>
      </c>
      <c r="B90" s="97">
        <v>40</v>
      </c>
      <c r="C90" s="97">
        <v>40</v>
      </c>
      <c r="D90" s="97">
        <v>40</v>
      </c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>
        <v>50</v>
      </c>
      <c r="P90" s="97">
        <v>50</v>
      </c>
      <c r="Q90" s="97">
        <v>50</v>
      </c>
      <c r="R90" s="97">
        <v>50</v>
      </c>
      <c r="S90" s="97"/>
      <c r="T90" s="97"/>
      <c r="U90" s="97"/>
      <c r="V90" s="97"/>
      <c r="W90" s="97"/>
      <c r="X90" s="97"/>
      <c r="Y90" s="97"/>
      <c r="Z90" s="97"/>
      <c r="AA90" s="97">
        <v>30</v>
      </c>
      <c r="AB90" s="97"/>
      <c r="AC90" s="97"/>
      <c r="AD90" s="97"/>
      <c r="AE90" s="97">
        <v>100</v>
      </c>
      <c r="AF90" s="97">
        <v>100</v>
      </c>
      <c r="AG90" s="88"/>
      <c r="AH90" s="47">
        <f t="shared" si="19"/>
        <v>100</v>
      </c>
      <c r="AI90" s="48">
        <f t="shared" si="20"/>
        <v>30</v>
      </c>
    </row>
    <row r="91" spans="1:40" ht="15.75" thickBot="1" x14ac:dyDescent="0.3">
      <c r="A91" s="73" t="s">
        <v>110</v>
      </c>
      <c r="B91" s="95">
        <f t="shared" ref="B91" si="25">B89+B90</f>
        <v>1890.35</v>
      </c>
      <c r="C91" s="95">
        <f t="shared" ref="C91:AF91" si="26">C89+C90</f>
        <v>1913.0499999999997</v>
      </c>
      <c r="D91" s="95">
        <f t="shared" si="26"/>
        <v>1955.1499999999999</v>
      </c>
      <c r="E91" s="95">
        <f t="shared" si="26"/>
        <v>1883.85</v>
      </c>
      <c r="F91" s="95">
        <f t="shared" si="26"/>
        <v>1881.05</v>
      </c>
      <c r="G91" s="95">
        <f t="shared" si="26"/>
        <v>1896.25</v>
      </c>
      <c r="H91" s="95">
        <f t="shared" si="26"/>
        <v>1887.25</v>
      </c>
      <c r="I91" s="95">
        <f t="shared" si="26"/>
        <v>1907.75</v>
      </c>
      <c r="J91" s="95">
        <f t="shared" si="26"/>
        <v>1855.75</v>
      </c>
      <c r="K91" s="95">
        <f t="shared" si="26"/>
        <v>1860.75</v>
      </c>
      <c r="L91" s="95">
        <f t="shared" si="26"/>
        <v>1937.65</v>
      </c>
      <c r="M91" s="95">
        <f t="shared" si="26"/>
        <v>1849.7499999999998</v>
      </c>
      <c r="N91" s="95">
        <f t="shared" si="26"/>
        <v>1853.5500000000002</v>
      </c>
      <c r="O91" s="95">
        <f t="shared" si="26"/>
        <v>1932.15</v>
      </c>
      <c r="P91" s="95">
        <f t="shared" si="26"/>
        <v>1923.9500000000003</v>
      </c>
      <c r="Q91" s="95">
        <f t="shared" si="26"/>
        <v>1927.5500000000002</v>
      </c>
      <c r="R91" s="95">
        <f t="shared" si="26"/>
        <v>1933.29</v>
      </c>
      <c r="S91" s="95">
        <f t="shared" si="26"/>
        <v>1858.69</v>
      </c>
      <c r="T91" s="95">
        <f t="shared" si="26"/>
        <v>1861.69</v>
      </c>
      <c r="U91" s="95">
        <f t="shared" si="26"/>
        <v>1890.0900000000001</v>
      </c>
      <c r="V91" s="95">
        <f t="shared" si="26"/>
        <v>1945.0900000000001</v>
      </c>
      <c r="W91" s="95">
        <f t="shared" si="26"/>
        <v>1926.5900000000001</v>
      </c>
      <c r="X91" s="95">
        <f t="shared" si="26"/>
        <v>1908.0900000000001</v>
      </c>
      <c r="Y91" s="95">
        <f t="shared" si="26"/>
        <v>1907.5900000000001</v>
      </c>
      <c r="Z91" s="95">
        <f t="shared" si="26"/>
        <v>1953.79</v>
      </c>
      <c r="AA91" s="95">
        <v>2036.8900000000003</v>
      </c>
      <c r="AB91" s="95">
        <f t="shared" si="26"/>
        <v>1991.1900000000003</v>
      </c>
      <c r="AC91" s="95">
        <f t="shared" si="26"/>
        <v>1991.1900000000003</v>
      </c>
      <c r="AD91" s="95">
        <f t="shared" si="26"/>
        <v>1934.0900000000001</v>
      </c>
      <c r="AE91" s="95">
        <f t="shared" si="26"/>
        <v>1902.4900000000002</v>
      </c>
      <c r="AF91" s="95">
        <f t="shared" si="26"/>
        <v>1949.4900000000002</v>
      </c>
      <c r="AG91" s="88">
        <f>AG88+AG84+AG72+AG68+AG50+AG90</f>
        <v>1573.45</v>
      </c>
      <c r="AH91" s="47">
        <f t="shared" si="19"/>
        <v>2036.8900000000003</v>
      </c>
      <c r="AI91" s="48">
        <f t="shared" si="20"/>
        <v>1849.7499999999998</v>
      </c>
    </row>
    <row r="92" spans="1:40" ht="15.75" thickBot="1" x14ac:dyDescent="0.3">
      <c r="A92" s="73" t="s">
        <v>111</v>
      </c>
      <c r="B92" s="95">
        <f t="shared" ref="B92" si="27">B91-B99</f>
        <v>1890.35</v>
      </c>
      <c r="C92" s="95">
        <f t="shared" ref="C92:AF92" si="28">C91-C99</f>
        <v>1913.0499999999997</v>
      </c>
      <c r="D92" s="95">
        <f t="shared" si="28"/>
        <v>1955.1499999999999</v>
      </c>
      <c r="E92" s="95">
        <f t="shared" si="28"/>
        <v>1883.85</v>
      </c>
      <c r="F92" s="95">
        <f t="shared" si="28"/>
        <v>1881.05</v>
      </c>
      <c r="G92" s="95">
        <f t="shared" si="28"/>
        <v>1896.25</v>
      </c>
      <c r="H92" s="95">
        <f t="shared" si="28"/>
        <v>1887.25</v>
      </c>
      <c r="I92" s="95">
        <f t="shared" si="28"/>
        <v>1907.75</v>
      </c>
      <c r="J92" s="95">
        <f t="shared" si="28"/>
        <v>1855.75</v>
      </c>
      <c r="K92" s="95">
        <f t="shared" si="28"/>
        <v>1860.75</v>
      </c>
      <c r="L92" s="95">
        <f t="shared" si="28"/>
        <v>1937.65</v>
      </c>
      <c r="M92" s="95">
        <f t="shared" si="28"/>
        <v>1849.7499999999998</v>
      </c>
      <c r="N92" s="95">
        <f t="shared" si="28"/>
        <v>1853.5500000000002</v>
      </c>
      <c r="O92" s="95">
        <f t="shared" si="28"/>
        <v>1932.15</v>
      </c>
      <c r="P92" s="95">
        <f t="shared" si="28"/>
        <v>1923.9500000000003</v>
      </c>
      <c r="Q92" s="95">
        <f t="shared" si="28"/>
        <v>1927.5500000000002</v>
      </c>
      <c r="R92" s="95">
        <f t="shared" si="28"/>
        <v>1933.29</v>
      </c>
      <c r="S92" s="95">
        <f t="shared" si="28"/>
        <v>1858.69</v>
      </c>
      <c r="T92" s="95">
        <f t="shared" si="28"/>
        <v>1861.69</v>
      </c>
      <c r="U92" s="95">
        <f t="shared" si="28"/>
        <v>1890.0900000000001</v>
      </c>
      <c r="V92" s="95">
        <f t="shared" si="28"/>
        <v>1945.0900000000001</v>
      </c>
      <c r="W92" s="95">
        <f t="shared" si="28"/>
        <v>1926.5900000000001</v>
      </c>
      <c r="X92" s="95">
        <f t="shared" si="28"/>
        <v>1908.0900000000001</v>
      </c>
      <c r="Y92" s="95">
        <f t="shared" si="28"/>
        <v>1907.5900000000001</v>
      </c>
      <c r="Z92" s="95">
        <f t="shared" si="28"/>
        <v>1953.79</v>
      </c>
      <c r="AA92" s="95">
        <v>2036.8900000000003</v>
      </c>
      <c r="AB92" s="95">
        <f t="shared" si="28"/>
        <v>1991.1900000000003</v>
      </c>
      <c r="AC92" s="95">
        <f t="shared" si="28"/>
        <v>1991.1900000000003</v>
      </c>
      <c r="AD92" s="95">
        <f t="shared" si="28"/>
        <v>1934.0900000000001</v>
      </c>
      <c r="AE92" s="95">
        <f t="shared" si="28"/>
        <v>1902.4900000000002</v>
      </c>
      <c r="AF92" s="95">
        <f t="shared" si="28"/>
        <v>1949.4900000000002</v>
      </c>
      <c r="AG92" s="88"/>
      <c r="AH92" s="47">
        <f t="shared" si="19"/>
        <v>2036.8900000000003</v>
      </c>
      <c r="AI92" s="48">
        <f t="shared" si="20"/>
        <v>1849.7499999999998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9"/>
        <v>0</v>
      </c>
      <c r="AI93" s="48">
        <f t="shared" si="20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9"/>
        <v>0</v>
      </c>
      <c r="AI94" s="48">
        <f t="shared" si="20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9"/>
        <v>0</v>
      </c>
      <c r="AI95" s="48">
        <f t="shared" si="20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9"/>
        <v>0</v>
      </c>
      <c r="AI96" s="48">
        <f t="shared" si="20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9"/>
        <v>0</v>
      </c>
      <c r="AI97" s="48">
        <f t="shared" si="20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9"/>
        <v>0</v>
      </c>
      <c r="AI98" s="48">
        <f t="shared" si="20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>
        <v>0</v>
      </c>
      <c r="AB99" s="59"/>
      <c r="AC99" s="59"/>
      <c r="AD99" s="59"/>
      <c r="AE99" s="59"/>
      <c r="AF99" s="59"/>
      <c r="AG99" s="88"/>
      <c r="AH99" s="47">
        <f t="shared" si="19"/>
        <v>0</v>
      </c>
      <c r="AI99" s="48">
        <f t="shared" si="20"/>
        <v>0</v>
      </c>
      <c r="AK99" s="74"/>
    </row>
    <row r="100" spans="1:37" ht="15.75" thickBot="1" x14ac:dyDescent="0.3">
      <c r="A100" s="73" t="s">
        <v>116</v>
      </c>
      <c r="B100" s="59">
        <f t="shared" ref="B100" si="29">B84-B99</f>
        <v>45.400000000000006</v>
      </c>
      <c r="C100" s="59">
        <f t="shared" ref="C100:AF100" si="30">C84-C99</f>
        <v>49.6</v>
      </c>
      <c r="D100" s="59">
        <f t="shared" si="30"/>
        <v>49.1</v>
      </c>
      <c r="E100" s="59">
        <f t="shared" si="30"/>
        <v>34.799999999999997</v>
      </c>
      <c r="F100" s="59">
        <f t="shared" si="30"/>
        <v>32</v>
      </c>
      <c r="G100" s="59">
        <f t="shared" si="30"/>
        <v>34.1</v>
      </c>
      <c r="H100" s="59">
        <f t="shared" si="30"/>
        <v>26</v>
      </c>
      <c r="I100" s="59">
        <f t="shared" si="30"/>
        <v>28.4</v>
      </c>
      <c r="J100" s="59">
        <f t="shared" si="30"/>
        <v>40.299999999999997</v>
      </c>
      <c r="K100" s="59">
        <f t="shared" si="30"/>
        <v>45.3</v>
      </c>
      <c r="L100" s="59">
        <f t="shared" si="30"/>
        <v>44.2</v>
      </c>
      <c r="M100" s="59">
        <f t="shared" si="30"/>
        <v>34.700000000000003</v>
      </c>
      <c r="N100" s="59">
        <f t="shared" si="30"/>
        <v>40</v>
      </c>
      <c r="O100" s="59">
        <f t="shared" si="30"/>
        <v>56.900000000000006</v>
      </c>
      <c r="P100" s="59">
        <f t="shared" si="30"/>
        <v>51.9</v>
      </c>
      <c r="Q100" s="59">
        <f t="shared" si="30"/>
        <v>55.4</v>
      </c>
      <c r="R100" s="59">
        <f t="shared" si="30"/>
        <v>58.3</v>
      </c>
      <c r="S100" s="59">
        <f t="shared" si="30"/>
        <v>52.9</v>
      </c>
      <c r="T100" s="59">
        <f t="shared" si="30"/>
        <v>45.2</v>
      </c>
      <c r="U100" s="59">
        <f t="shared" si="30"/>
        <v>86.9</v>
      </c>
      <c r="V100" s="59">
        <f t="shared" si="30"/>
        <v>92.4</v>
      </c>
      <c r="W100" s="59">
        <f t="shared" si="30"/>
        <v>91.2</v>
      </c>
      <c r="X100" s="59">
        <f t="shared" si="30"/>
        <v>72.7</v>
      </c>
      <c r="Y100" s="59">
        <f t="shared" si="30"/>
        <v>73.099999999999994</v>
      </c>
      <c r="Z100" s="59">
        <f t="shared" si="30"/>
        <v>88.5</v>
      </c>
      <c r="AA100" s="59">
        <v>106.2</v>
      </c>
      <c r="AB100" s="59">
        <f t="shared" si="30"/>
        <v>106.2</v>
      </c>
      <c r="AC100" s="59">
        <f t="shared" si="30"/>
        <v>106.2</v>
      </c>
      <c r="AD100" s="59">
        <f t="shared" si="30"/>
        <v>95.3</v>
      </c>
      <c r="AE100" s="59">
        <f t="shared" si="30"/>
        <v>55</v>
      </c>
      <c r="AF100" s="59">
        <f t="shared" si="30"/>
        <v>50</v>
      </c>
      <c r="AG100" s="88"/>
      <c r="AH100" s="47">
        <f t="shared" si="19"/>
        <v>106.2</v>
      </c>
      <c r="AI100" s="48">
        <f t="shared" si="20"/>
        <v>26</v>
      </c>
    </row>
    <row r="101" spans="1:37" x14ac:dyDescent="0.25">
      <c r="A101" s="100" t="s">
        <v>117</v>
      </c>
      <c r="B101" s="101">
        <v>49.991999999999997</v>
      </c>
      <c r="C101" s="101">
        <v>49.999000000000002</v>
      </c>
      <c r="D101" s="101">
        <v>50.023000000000003</v>
      </c>
      <c r="E101" s="101">
        <v>49.976999999999997</v>
      </c>
      <c r="F101" s="101">
        <v>49.944000000000003</v>
      </c>
      <c r="G101" s="101">
        <v>49.914000000000001</v>
      </c>
      <c r="H101" s="101">
        <v>49.875</v>
      </c>
      <c r="I101" s="101">
        <v>49.854999999999997</v>
      </c>
      <c r="J101" s="101">
        <v>49.97</v>
      </c>
      <c r="K101" s="101">
        <v>49.97</v>
      </c>
      <c r="L101" s="101">
        <v>49.97</v>
      </c>
      <c r="M101" s="101">
        <v>50.058999999999997</v>
      </c>
      <c r="N101" s="101">
        <v>50.064</v>
      </c>
      <c r="O101" s="101">
        <v>50.033999999999999</v>
      </c>
      <c r="P101" s="101">
        <v>50.094000000000001</v>
      </c>
      <c r="Q101" s="101">
        <v>50.021999999999998</v>
      </c>
      <c r="R101" s="101">
        <v>50.04</v>
      </c>
      <c r="S101" s="101">
        <v>50.02</v>
      </c>
      <c r="T101" s="101">
        <v>50.2</v>
      </c>
      <c r="U101" s="101">
        <v>49.95</v>
      </c>
      <c r="V101" s="101">
        <v>49.94</v>
      </c>
      <c r="W101" s="101">
        <v>50.13</v>
      </c>
      <c r="X101" s="101">
        <v>50.08</v>
      </c>
      <c r="Y101" s="101">
        <v>49.97</v>
      </c>
      <c r="Z101" s="101">
        <v>49.91</v>
      </c>
      <c r="AA101" s="101">
        <v>50.02</v>
      </c>
      <c r="AB101" s="101">
        <v>49.896000000000001</v>
      </c>
      <c r="AC101" s="101">
        <v>49.896000000000001</v>
      </c>
      <c r="AD101" s="101">
        <v>49.988</v>
      </c>
      <c r="AE101" s="101">
        <v>50.064</v>
      </c>
      <c r="AF101" s="101">
        <v>50.127000000000002</v>
      </c>
      <c r="AG101" s="102"/>
      <c r="AH101" s="47">
        <f t="shared" si="19"/>
        <v>50.2</v>
      </c>
      <c r="AI101" s="48">
        <f t="shared" si="20"/>
        <v>49.854999999999997</v>
      </c>
    </row>
    <row r="102" spans="1:37" x14ac:dyDescent="0.25">
      <c r="A102" s="103" t="s">
        <v>118</v>
      </c>
      <c r="B102" s="64">
        <v>123.2</v>
      </c>
      <c r="C102" s="64">
        <v>124.9</v>
      </c>
      <c r="D102" s="64">
        <v>124.9</v>
      </c>
      <c r="E102" s="64">
        <v>124.1</v>
      </c>
      <c r="F102" s="64">
        <v>124.7</v>
      </c>
      <c r="G102" s="64">
        <v>121</v>
      </c>
      <c r="H102" s="64">
        <v>121.5</v>
      </c>
      <c r="I102" s="64">
        <v>122.2</v>
      </c>
      <c r="J102" s="64">
        <v>120.4</v>
      </c>
      <c r="K102" s="64">
        <v>120.4</v>
      </c>
      <c r="L102" s="64">
        <v>120.4</v>
      </c>
      <c r="M102" s="64">
        <v>121.4</v>
      </c>
      <c r="N102" s="64">
        <v>122.5</v>
      </c>
      <c r="O102" s="64">
        <v>121.5</v>
      </c>
      <c r="P102" s="64">
        <v>121.2</v>
      </c>
      <c r="Q102" s="64">
        <v>120.7</v>
      </c>
      <c r="R102" s="64">
        <v>122</v>
      </c>
      <c r="S102" s="64">
        <v>122</v>
      </c>
      <c r="T102" s="64">
        <v>124.9</v>
      </c>
      <c r="U102" s="64">
        <v>122</v>
      </c>
      <c r="V102" s="64">
        <v>122.8</v>
      </c>
      <c r="W102" s="64">
        <v>123.2</v>
      </c>
      <c r="X102" s="64">
        <v>125.2</v>
      </c>
      <c r="Y102" s="64">
        <v>125</v>
      </c>
      <c r="Z102" s="64">
        <v>125.4</v>
      </c>
      <c r="AA102" s="64">
        <v>124.8</v>
      </c>
      <c r="AB102" s="64">
        <v>122.3</v>
      </c>
      <c r="AC102" s="64">
        <v>122.3</v>
      </c>
      <c r="AD102" s="64">
        <v>121.9</v>
      </c>
      <c r="AE102" s="64">
        <v>120.8</v>
      </c>
      <c r="AF102" s="64">
        <v>125.6</v>
      </c>
      <c r="AG102" s="104"/>
      <c r="AH102" s="47">
        <f t="shared" si="19"/>
        <v>125.6</v>
      </c>
      <c r="AI102" s="48">
        <f t="shared" si="20"/>
        <v>120.4</v>
      </c>
    </row>
    <row r="103" spans="1:37" x14ac:dyDescent="0.25">
      <c r="A103" s="103" t="s">
        <v>119</v>
      </c>
      <c r="B103" s="64">
        <v>129.6</v>
      </c>
      <c r="C103" s="64">
        <v>130.6</v>
      </c>
      <c r="D103" s="64">
        <v>130.6</v>
      </c>
      <c r="E103" s="64">
        <v>129.9</v>
      </c>
      <c r="F103" s="64">
        <v>130</v>
      </c>
      <c r="G103" s="64">
        <v>127.4</v>
      </c>
      <c r="H103" s="64">
        <v>127.6</v>
      </c>
      <c r="I103" s="64">
        <v>127.1</v>
      </c>
      <c r="J103" s="64">
        <v>126</v>
      </c>
      <c r="K103" s="64">
        <v>126</v>
      </c>
      <c r="L103" s="64">
        <v>126</v>
      </c>
      <c r="M103" s="64">
        <v>126.1</v>
      </c>
      <c r="N103" s="64">
        <v>127.2</v>
      </c>
      <c r="O103" s="64">
        <v>125.6</v>
      </c>
      <c r="P103" s="64">
        <v>126</v>
      </c>
      <c r="Q103" s="64">
        <v>125.3</v>
      </c>
      <c r="R103" s="64">
        <v>126</v>
      </c>
      <c r="S103" s="64">
        <v>126.2</v>
      </c>
      <c r="T103" s="64">
        <v>125.3</v>
      </c>
      <c r="U103" s="64">
        <v>125.3</v>
      </c>
      <c r="V103" s="64">
        <v>127.3</v>
      </c>
      <c r="W103" s="64">
        <v>127.7</v>
      </c>
      <c r="X103" s="64">
        <v>128.80000000000001</v>
      </c>
      <c r="Y103" s="64">
        <v>128.9</v>
      </c>
      <c r="Z103" s="64">
        <v>128.80000000000001</v>
      </c>
      <c r="AA103" s="64">
        <v>128.6</v>
      </c>
      <c r="AB103" s="64">
        <v>126.8</v>
      </c>
      <c r="AC103" s="64">
        <v>126.8</v>
      </c>
      <c r="AD103" s="64">
        <v>127.9</v>
      </c>
      <c r="AE103" s="64">
        <v>128</v>
      </c>
      <c r="AF103" s="64">
        <v>130.30000000000001</v>
      </c>
      <c r="AG103" s="104"/>
      <c r="AH103" s="47">
        <f t="shared" si="19"/>
        <v>130.6</v>
      </c>
      <c r="AI103" s="48">
        <f t="shared" si="20"/>
        <v>125.3</v>
      </c>
    </row>
    <row r="104" spans="1:37" x14ac:dyDescent="0.25">
      <c r="A104" s="103" t="s">
        <v>120</v>
      </c>
      <c r="B104" s="64">
        <v>127.8</v>
      </c>
      <c r="C104" s="64">
        <v>128.69999999999999</v>
      </c>
      <c r="D104" s="64">
        <v>128.69999999999999</v>
      </c>
      <c r="E104" s="64">
        <v>130.4</v>
      </c>
      <c r="F104" s="64">
        <v>129</v>
      </c>
      <c r="G104" s="64">
        <v>128</v>
      </c>
      <c r="H104" s="64">
        <v>128.80000000000001</v>
      </c>
      <c r="I104" s="64">
        <v>128.5</v>
      </c>
      <c r="J104" s="64">
        <v>128.5</v>
      </c>
      <c r="K104" s="64">
        <v>128.5</v>
      </c>
      <c r="L104" s="64">
        <v>128.5</v>
      </c>
      <c r="M104" s="64">
        <v>124.8</v>
      </c>
      <c r="N104" s="64">
        <v>127.2</v>
      </c>
      <c r="O104" s="64">
        <v>127.6</v>
      </c>
      <c r="P104" s="64">
        <v>131.30000000000001</v>
      </c>
      <c r="Q104" s="64">
        <v>129</v>
      </c>
      <c r="R104" s="64">
        <v>129</v>
      </c>
      <c r="S104" s="64">
        <v>127.1</v>
      </c>
      <c r="T104" s="64">
        <v>127.7</v>
      </c>
      <c r="U104" s="64">
        <v>127.7</v>
      </c>
      <c r="V104" s="64">
        <v>130.4</v>
      </c>
      <c r="W104" s="64">
        <v>130.4</v>
      </c>
      <c r="X104" s="64">
        <v>132.9</v>
      </c>
      <c r="Y104" s="64">
        <v>129.5</v>
      </c>
      <c r="Z104" s="64">
        <v>127.8</v>
      </c>
      <c r="AA104" s="64">
        <v>127.9</v>
      </c>
      <c r="AB104" s="64">
        <v>130</v>
      </c>
      <c r="AC104" s="64">
        <v>130</v>
      </c>
      <c r="AD104" s="64">
        <v>126.9</v>
      </c>
      <c r="AE104" s="64">
        <v>129.80000000000001</v>
      </c>
      <c r="AF104" s="64"/>
      <c r="AG104" s="104"/>
      <c r="AH104" s="47">
        <f t="shared" si="19"/>
        <v>132.9</v>
      </c>
      <c r="AI104" s="48">
        <f t="shared" si="20"/>
        <v>124.8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9"/>
        <v>0</v>
      </c>
      <c r="AI105" s="48">
        <f t="shared" si="20"/>
        <v>0</v>
      </c>
    </row>
    <row r="106" spans="1:37" x14ac:dyDescent="0.25">
      <c r="A106" s="105" t="s">
        <v>122</v>
      </c>
      <c r="B106" s="106">
        <v>131.1</v>
      </c>
      <c r="C106" s="106">
        <v>132.1</v>
      </c>
      <c r="D106" s="106">
        <v>132.1</v>
      </c>
      <c r="E106" s="106">
        <v>129.4</v>
      </c>
      <c r="F106" s="106">
        <v>129.4</v>
      </c>
      <c r="G106" s="106">
        <v>128.30000000000001</v>
      </c>
      <c r="H106" s="106">
        <v>128.4</v>
      </c>
      <c r="I106" s="106">
        <v>131.19999999999999</v>
      </c>
      <c r="J106" s="106">
        <v>126.6</v>
      </c>
      <c r="K106" s="106">
        <v>126.6</v>
      </c>
      <c r="L106" s="106">
        <v>126.6</v>
      </c>
      <c r="M106" s="106">
        <v>128.4</v>
      </c>
      <c r="N106" s="106">
        <v>132.30000000000001</v>
      </c>
      <c r="O106" s="106">
        <v>130</v>
      </c>
      <c r="P106" s="106">
        <v>128.19999999999999</v>
      </c>
      <c r="Q106" s="106">
        <v>127.7</v>
      </c>
      <c r="R106" s="106">
        <v>132</v>
      </c>
      <c r="S106" s="106">
        <v>132.4</v>
      </c>
      <c r="T106" s="106">
        <v>128.1</v>
      </c>
      <c r="U106" s="106">
        <v>128.1</v>
      </c>
      <c r="V106" s="106">
        <v>132.30000000000001</v>
      </c>
      <c r="W106" s="106">
        <v>135.4</v>
      </c>
      <c r="X106" s="106">
        <v>129.9</v>
      </c>
      <c r="Y106" s="106">
        <v>134.9</v>
      </c>
      <c r="Z106" s="106">
        <v>131.5</v>
      </c>
      <c r="AA106" s="106">
        <v>133.5</v>
      </c>
      <c r="AB106" s="106">
        <v>96.9</v>
      </c>
      <c r="AC106" s="106">
        <v>96.9</v>
      </c>
      <c r="AD106" s="106">
        <v>133.30000000000001</v>
      </c>
      <c r="AE106" s="106">
        <v>132.30000000000001</v>
      </c>
      <c r="AF106" s="106">
        <v>131.6</v>
      </c>
      <c r="AG106" s="107"/>
      <c r="AH106" s="47">
        <f t="shared" si="19"/>
        <v>135.4</v>
      </c>
      <c r="AI106" s="48">
        <f t="shared" si="20"/>
        <v>96.9</v>
      </c>
    </row>
    <row r="107" spans="1:37" x14ac:dyDescent="0.25">
      <c r="A107" s="103" t="s">
        <v>123</v>
      </c>
      <c r="B107" s="64">
        <v>123.7</v>
      </c>
      <c r="C107" s="64">
        <v>130.5</v>
      </c>
      <c r="D107" s="64">
        <v>130.5</v>
      </c>
      <c r="E107" s="64">
        <v>123.2</v>
      </c>
      <c r="F107" s="64">
        <v>127.6</v>
      </c>
      <c r="G107" s="64">
        <v>125.6</v>
      </c>
      <c r="H107" s="64">
        <v>128.80000000000001</v>
      </c>
      <c r="I107" s="64">
        <v>134.30000000000001</v>
      </c>
      <c r="J107" s="64">
        <v>127</v>
      </c>
      <c r="K107" s="64">
        <v>127</v>
      </c>
      <c r="L107" s="64">
        <v>127</v>
      </c>
      <c r="M107" s="64">
        <v>128.19999999999999</v>
      </c>
      <c r="N107" s="64">
        <v>130.1</v>
      </c>
      <c r="O107" s="64">
        <v>126</v>
      </c>
      <c r="P107" s="64">
        <v>126.6</v>
      </c>
      <c r="Q107" s="64">
        <v>130.80000000000001</v>
      </c>
      <c r="R107" s="64">
        <v>128</v>
      </c>
      <c r="S107" s="64">
        <v>128</v>
      </c>
      <c r="T107" s="64">
        <v>133.19999999999999</v>
      </c>
      <c r="U107" s="64">
        <v>133.19999999999999</v>
      </c>
      <c r="V107" s="64">
        <v>131.4</v>
      </c>
      <c r="W107" s="64">
        <v>129.69999999999999</v>
      </c>
      <c r="X107" s="64">
        <v>131.19999999999999</v>
      </c>
      <c r="Y107" s="64">
        <v>127.5</v>
      </c>
      <c r="Z107" s="64">
        <v>124.8</v>
      </c>
      <c r="AA107" s="64">
        <v>127.6</v>
      </c>
      <c r="AB107" s="64">
        <v>128.9</v>
      </c>
      <c r="AC107" s="64">
        <v>128.9</v>
      </c>
      <c r="AD107" s="64">
        <v>130.4</v>
      </c>
      <c r="AE107" s="64">
        <v>128.4</v>
      </c>
      <c r="AF107" s="64">
        <v>130.4</v>
      </c>
      <c r="AG107" s="104"/>
      <c r="AH107" s="47">
        <f t="shared" si="19"/>
        <v>134.30000000000001</v>
      </c>
      <c r="AI107" s="48">
        <f t="shared" si="20"/>
        <v>123.2</v>
      </c>
    </row>
    <row r="108" spans="1:37" ht="15.75" thickBot="1" x14ac:dyDescent="0.3">
      <c r="A108" s="103" t="s">
        <v>124</v>
      </c>
      <c r="B108" s="92">
        <v>65.3</v>
      </c>
      <c r="C108" s="92">
        <v>65.599999999999994</v>
      </c>
      <c r="D108" s="92">
        <v>65.599999999999994</v>
      </c>
      <c r="E108" s="92">
        <v>65.3</v>
      </c>
      <c r="F108" s="92">
        <v>65.400000000000006</v>
      </c>
      <c r="G108" s="92">
        <v>64</v>
      </c>
      <c r="H108" s="92">
        <v>64</v>
      </c>
      <c r="I108" s="92">
        <v>63.7</v>
      </c>
      <c r="J108" s="92">
        <v>63.5</v>
      </c>
      <c r="K108" s="92">
        <v>63.5</v>
      </c>
      <c r="L108" s="92">
        <v>63.5</v>
      </c>
      <c r="M108" s="92">
        <v>125.6</v>
      </c>
      <c r="N108" s="92">
        <v>63.7</v>
      </c>
      <c r="O108" s="92">
        <v>62.9</v>
      </c>
      <c r="P108" s="92">
        <v>62.9</v>
      </c>
      <c r="Q108" s="92">
        <v>62.7</v>
      </c>
      <c r="R108" s="92">
        <v>63.4</v>
      </c>
      <c r="S108" s="92">
        <v>63.1</v>
      </c>
      <c r="T108" s="92">
        <v>62.8</v>
      </c>
      <c r="U108" s="92">
        <v>62.8</v>
      </c>
      <c r="V108" s="92">
        <v>63.8</v>
      </c>
      <c r="W108" s="92">
        <v>63.9</v>
      </c>
      <c r="X108" s="92">
        <v>64.400000000000006</v>
      </c>
      <c r="Y108" s="92">
        <v>64.7</v>
      </c>
      <c r="Z108" s="92">
        <v>64.5</v>
      </c>
      <c r="AA108" s="92">
        <v>64.7</v>
      </c>
      <c r="AB108" s="92">
        <v>63.5</v>
      </c>
      <c r="AC108" s="92">
        <v>63.5</v>
      </c>
      <c r="AD108" s="92">
        <v>64.3</v>
      </c>
      <c r="AE108" s="92">
        <v>64.599999999999994</v>
      </c>
      <c r="AF108" s="92">
        <v>65.5</v>
      </c>
      <c r="AG108" s="108"/>
      <c r="AH108" s="47">
        <f t="shared" si="19"/>
        <v>125.6</v>
      </c>
      <c r="AI108" s="48">
        <f t="shared" si="20"/>
        <v>62.7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 t="s">
        <v>287</v>
      </c>
      <c r="AB109" s="92"/>
      <c r="AC109" s="92"/>
      <c r="AD109" s="92"/>
      <c r="AE109" s="92"/>
      <c r="AF109" s="92"/>
      <c r="AG109" s="108"/>
      <c r="AH109" s="47">
        <f t="shared" si="19"/>
        <v>0</v>
      </c>
      <c r="AI109" s="48">
        <f t="shared" si="20"/>
        <v>0</v>
      </c>
    </row>
    <row r="110" spans="1:37" ht="15.75" thickBot="1" x14ac:dyDescent="0.3">
      <c r="A110" s="110" t="s">
        <v>126</v>
      </c>
      <c r="B110" s="111">
        <f t="shared" ref="B110" si="31">SUM(B20,B26,B29:B30,B58,B60:B61,B63,B65,B111:B115,B138,B144,B150,B159,B161,B173,B180,B183:B184,B191,B193,B195,B199:B201,B203:B205,B210,B216:B217,B219:B221,B229,B234)</f>
        <v>81.599999999999994</v>
      </c>
      <c r="C110" s="111">
        <f t="shared" ref="C110:O110" si="32">SUM(C20,C26,C29:C30,C58,C60:C61,C63,C65,C111:C115,C138,C144,C150,C159,C161,C173,C180,C183:C184,C191,C193,C195,C199:C201,C203:C205,C210,C216:C217,C219:C221,C229,C234)</f>
        <v>68.640000000000015</v>
      </c>
      <c r="D110" s="111">
        <f t="shared" si="32"/>
        <v>35.340000000000025</v>
      </c>
      <c r="E110" s="111">
        <f t="shared" si="32"/>
        <v>21.640000000000008</v>
      </c>
      <c r="F110" s="111">
        <f t="shared" si="32"/>
        <v>19.039999999999988</v>
      </c>
      <c r="G110" s="111">
        <f t="shared" si="32"/>
        <v>41.94</v>
      </c>
      <c r="H110" s="111">
        <f t="shared" si="32"/>
        <v>53.44</v>
      </c>
      <c r="I110" s="111">
        <f t="shared" si="32"/>
        <v>104.83999999999997</v>
      </c>
      <c r="J110" s="111">
        <f t="shared" si="32"/>
        <v>160.93999999999997</v>
      </c>
      <c r="K110" s="111">
        <f t="shared" si="32"/>
        <v>160.93999999999997</v>
      </c>
      <c r="L110" s="111">
        <f t="shared" si="32"/>
        <v>160.93999999999997</v>
      </c>
      <c r="M110" s="111">
        <f t="shared" si="32"/>
        <v>185.14</v>
      </c>
      <c r="N110" s="111">
        <f t="shared" si="32"/>
        <v>183.44000000000003</v>
      </c>
      <c r="O110" s="111">
        <f t="shared" si="32"/>
        <v>235.74000000000004</v>
      </c>
      <c r="P110" s="111">
        <v>42</v>
      </c>
      <c r="Q110" s="111">
        <f t="shared" ref="Q110:AF110" si="33">SUM(Q20,Q26,Q29:Q30,Q58,Q60:Q61,Q63,Q65,Q111:Q115,Q138,Q144,Q150,Q159,Q161,Q173,Q180,Q183:Q184,Q191,Q193,Q195,Q199:Q201,Q203:Q205,Q210,Q216:Q217,Q219:Q221,Q229,Q234)</f>
        <v>200.10000000000002</v>
      </c>
      <c r="R110" s="111">
        <f t="shared" si="33"/>
        <v>206.94</v>
      </c>
      <c r="S110" s="111">
        <f t="shared" ref="S110" si="34">SUM(S20,S26,S29:S30,S58,S60:S61,S63,S65,S111:S115,S138,S144,S150,S159,S161,S173,S180,S183:S184,S191,S193,S195,S199:S201,S203:S205,S210,S216:S217,S219:S221,S229,S234)</f>
        <v>203.03999999999996</v>
      </c>
      <c r="T110" s="111">
        <f t="shared" si="33"/>
        <v>193.24</v>
      </c>
      <c r="U110" s="111">
        <f t="shared" si="33"/>
        <v>208.04000000000002</v>
      </c>
      <c r="V110" s="111">
        <f t="shared" si="33"/>
        <v>203.14</v>
      </c>
      <c r="W110" s="111">
        <f t="shared" si="33"/>
        <v>185.94</v>
      </c>
      <c r="X110" s="111">
        <f t="shared" si="33"/>
        <v>210.04</v>
      </c>
      <c r="Y110" s="111">
        <f t="shared" si="33"/>
        <v>218.63999999999996</v>
      </c>
      <c r="Z110" s="111">
        <f t="shared" si="33"/>
        <v>258.64</v>
      </c>
      <c r="AA110" s="111">
        <v>320.68</v>
      </c>
      <c r="AB110" s="111">
        <f t="shared" si="33"/>
        <v>235.83999999999997</v>
      </c>
      <c r="AC110" s="111">
        <f t="shared" si="33"/>
        <v>235.83999999999997</v>
      </c>
      <c r="AD110" s="111">
        <f t="shared" si="33"/>
        <v>219.04000000000002</v>
      </c>
      <c r="AE110" s="111">
        <f t="shared" si="33"/>
        <v>133.44</v>
      </c>
      <c r="AF110" s="111">
        <f t="shared" si="33"/>
        <v>144.74</v>
      </c>
      <c r="AG110" s="112"/>
      <c r="AH110" s="47">
        <f t="shared" si="19"/>
        <v>320.68</v>
      </c>
      <c r="AI110" s="48">
        <f t="shared" si="20"/>
        <v>19.039999999999988</v>
      </c>
    </row>
    <row r="111" spans="1:37" x14ac:dyDescent="0.25">
      <c r="A111" s="100" t="s">
        <v>127</v>
      </c>
      <c r="B111" s="113">
        <v>15.1</v>
      </c>
      <c r="C111" s="113">
        <v>8.4</v>
      </c>
      <c r="D111" s="113">
        <v>28.8</v>
      </c>
      <c r="E111" s="113">
        <v>24.4</v>
      </c>
      <c r="F111" s="113">
        <v>22.6</v>
      </c>
      <c r="G111" s="113">
        <v>28.9</v>
      </c>
      <c r="H111" s="113">
        <v>33.200000000000003</v>
      </c>
      <c r="I111" s="113">
        <v>40.5</v>
      </c>
      <c r="J111" s="113">
        <v>34.4</v>
      </c>
      <c r="K111" s="113">
        <v>34.4</v>
      </c>
      <c r="L111" s="113">
        <v>34.4</v>
      </c>
      <c r="M111" s="113">
        <v>41.8</v>
      </c>
      <c r="N111" s="113">
        <v>43.8</v>
      </c>
      <c r="O111" s="113">
        <v>40.200000000000003</v>
      </c>
      <c r="P111" s="113">
        <v>27.8</v>
      </c>
      <c r="Q111" s="113">
        <v>27.8</v>
      </c>
      <c r="R111" s="113">
        <v>26.8</v>
      </c>
      <c r="S111" s="113">
        <v>24.7</v>
      </c>
      <c r="T111" s="113">
        <v>18</v>
      </c>
      <c r="U111" s="113">
        <v>29.8</v>
      </c>
      <c r="V111" s="113">
        <v>34</v>
      </c>
      <c r="W111" s="113">
        <v>26.8</v>
      </c>
      <c r="X111" s="113">
        <v>30.7</v>
      </c>
      <c r="Y111" s="113">
        <v>40.700000000000003</v>
      </c>
      <c r="Z111" s="113">
        <v>33</v>
      </c>
      <c r="AA111" s="113">
        <v>49.4</v>
      </c>
      <c r="AB111" s="113">
        <v>27.9</v>
      </c>
      <c r="AC111" s="113">
        <v>27.9</v>
      </c>
      <c r="AD111" s="113">
        <v>33.299999999999997</v>
      </c>
      <c r="AE111" s="113">
        <v>33.6</v>
      </c>
      <c r="AF111" s="113">
        <v>25.4</v>
      </c>
      <c r="AG111" s="114">
        <v>75</v>
      </c>
      <c r="AH111" s="47">
        <f t="shared" si="19"/>
        <v>49.4</v>
      </c>
      <c r="AI111" s="48">
        <f t="shared" si="20"/>
        <v>8.4</v>
      </c>
    </row>
    <row r="112" spans="1:37" x14ac:dyDescent="0.25">
      <c r="A112" s="103" t="s">
        <v>128</v>
      </c>
      <c r="B112" s="115">
        <v>29.6</v>
      </c>
      <c r="C112" s="115">
        <v>22.1</v>
      </c>
      <c r="D112" s="115">
        <v>53.4</v>
      </c>
      <c r="E112" s="115">
        <v>46.7</v>
      </c>
      <c r="F112" s="115">
        <v>45.6</v>
      </c>
      <c r="G112" s="115">
        <v>51.9</v>
      </c>
      <c r="H112" s="115">
        <v>58.4</v>
      </c>
      <c r="I112" s="115">
        <v>71.7</v>
      </c>
      <c r="J112" s="115">
        <v>60.5</v>
      </c>
      <c r="K112" s="115">
        <v>60.5</v>
      </c>
      <c r="L112" s="115">
        <v>60.5</v>
      </c>
      <c r="M112" s="115">
        <v>62.7</v>
      </c>
      <c r="N112" s="115">
        <v>60.3</v>
      </c>
      <c r="O112" s="115">
        <v>56</v>
      </c>
      <c r="P112" s="115">
        <v>42.2</v>
      </c>
      <c r="Q112" s="115">
        <v>44.2</v>
      </c>
      <c r="R112" s="115">
        <v>42.3</v>
      </c>
      <c r="S112" s="115">
        <v>40</v>
      </c>
      <c r="T112" s="115">
        <v>28.4</v>
      </c>
      <c r="U112" s="115">
        <v>45.2</v>
      </c>
      <c r="V112" s="115">
        <v>52.9</v>
      </c>
      <c r="W112" s="115">
        <v>40.200000000000003</v>
      </c>
      <c r="X112" s="115">
        <v>50.5</v>
      </c>
      <c r="Y112" s="115">
        <v>61.5</v>
      </c>
      <c r="Z112" s="115">
        <v>52.3</v>
      </c>
      <c r="AA112" s="115">
        <v>75.3</v>
      </c>
      <c r="AB112" s="115">
        <v>46.5</v>
      </c>
      <c r="AC112" s="115">
        <v>46.5</v>
      </c>
      <c r="AD112" s="115">
        <v>53.1</v>
      </c>
      <c r="AE112" s="115">
        <v>54.2</v>
      </c>
      <c r="AF112" s="115">
        <v>50</v>
      </c>
      <c r="AG112" s="114">
        <v>240</v>
      </c>
      <c r="AH112" s="47">
        <f t="shared" si="19"/>
        <v>75.3</v>
      </c>
      <c r="AI112" s="48">
        <f t="shared" si="20"/>
        <v>22.1</v>
      </c>
    </row>
    <row r="113" spans="1:37" x14ac:dyDescent="0.25">
      <c r="A113" s="103" t="s">
        <v>129</v>
      </c>
      <c r="B113" s="115">
        <v>-148</v>
      </c>
      <c r="C113" s="115">
        <v>-146</v>
      </c>
      <c r="D113" s="115">
        <v>-195</v>
      </c>
      <c r="E113" s="115">
        <f>-91.2-96.7</f>
        <v>-187.9</v>
      </c>
      <c r="F113" s="115">
        <f>-91.7-94.5</f>
        <v>-186.2</v>
      </c>
      <c r="G113" s="115">
        <f>-87.1-91.7</f>
        <v>-178.8</v>
      </c>
      <c r="H113" s="115">
        <f>-88.1-93</f>
        <v>-181.1</v>
      </c>
      <c r="I113" s="115">
        <f>-86.7-91.2</f>
        <v>-177.9</v>
      </c>
      <c r="J113" s="115">
        <f>-70-74</f>
        <v>-144</v>
      </c>
      <c r="K113" s="115">
        <f t="shared" ref="K113:L113" si="35">-70-74</f>
        <v>-144</v>
      </c>
      <c r="L113" s="115">
        <f t="shared" si="35"/>
        <v>-144</v>
      </c>
      <c r="M113" s="115">
        <v>-118</v>
      </c>
      <c r="N113" s="115">
        <v>-115</v>
      </c>
      <c r="O113" s="115">
        <v>-121</v>
      </c>
      <c r="P113" s="115">
        <v>-108</v>
      </c>
      <c r="Q113" s="115">
        <v>-107</v>
      </c>
      <c r="R113" s="115">
        <f>-55.1-51.4</f>
        <v>-106.5</v>
      </c>
      <c r="S113" s="115">
        <f>-56.5-52.2</f>
        <v>-108.7</v>
      </c>
      <c r="T113" s="115">
        <f>-55.1-52.2</f>
        <v>-107.30000000000001</v>
      </c>
      <c r="U113" s="115">
        <f>-59-55.6</f>
        <v>-114.6</v>
      </c>
      <c r="V113" s="115">
        <f>-62.9-59.3</f>
        <v>-122.19999999999999</v>
      </c>
      <c r="W113" s="115">
        <f>-57.3-58.5</f>
        <v>-115.8</v>
      </c>
      <c r="X113" s="115">
        <f>-49.7-54.5</f>
        <v>-104.2</v>
      </c>
      <c r="Y113" s="115">
        <f>-52.7-57.2</f>
        <v>-109.9</v>
      </c>
      <c r="Z113" s="115">
        <f>-38.8-41.5</f>
        <v>-80.3</v>
      </c>
      <c r="AA113" s="115">
        <v>-113.3</v>
      </c>
      <c r="AB113" s="115">
        <v>-103</v>
      </c>
      <c r="AC113" s="115">
        <v>-103</v>
      </c>
      <c r="AD113" s="115">
        <v>-126</v>
      </c>
      <c r="AE113" s="115">
        <v>-166</v>
      </c>
      <c r="AF113" s="115">
        <v>-155</v>
      </c>
      <c r="AG113" s="114">
        <v>240</v>
      </c>
      <c r="AH113" s="47">
        <f t="shared" si="19"/>
        <v>-80.3</v>
      </c>
      <c r="AI113" s="48">
        <f t="shared" si="20"/>
        <v>-195</v>
      </c>
    </row>
    <row r="114" spans="1:37" x14ac:dyDescent="0.25">
      <c r="A114" s="103" t="s">
        <v>130</v>
      </c>
      <c r="B114" s="115">
        <v>3.4</v>
      </c>
      <c r="C114" s="115">
        <v>1.9</v>
      </c>
      <c r="D114" s="115">
        <v>-21.9</v>
      </c>
      <c r="E114" s="115">
        <v>-17.899999999999999</v>
      </c>
      <c r="F114" s="115">
        <v>-19</v>
      </c>
      <c r="G114" s="115">
        <v>-21.3</v>
      </c>
      <c r="H114" s="115">
        <v>-18.600000000000001</v>
      </c>
      <c r="I114" s="115">
        <v>-13</v>
      </c>
      <c r="J114" s="115">
        <v>25.7</v>
      </c>
      <c r="K114" s="115">
        <v>25.7</v>
      </c>
      <c r="L114" s="115">
        <v>25.7</v>
      </c>
      <c r="M114" s="115">
        <v>6.5</v>
      </c>
      <c r="N114" s="115">
        <v>9.1</v>
      </c>
      <c r="O114" s="115">
        <v>9.8000000000000007</v>
      </c>
      <c r="P114" s="115">
        <v>11.8</v>
      </c>
      <c r="Q114" s="115">
        <v>9</v>
      </c>
      <c r="R114" s="115">
        <v>7.2</v>
      </c>
      <c r="S114" s="115">
        <v>8.5</v>
      </c>
      <c r="T114" s="115">
        <v>12.2</v>
      </c>
      <c r="U114" s="115">
        <v>7.8</v>
      </c>
      <c r="V114" s="115">
        <v>5</v>
      </c>
      <c r="W114" s="115">
        <v>-3.2</v>
      </c>
      <c r="X114" s="115">
        <v>1.3</v>
      </c>
      <c r="Y114" s="115">
        <v>1.6</v>
      </c>
      <c r="Z114" s="115">
        <v>7.4</v>
      </c>
      <c r="AA114" s="115">
        <v>14.6</v>
      </c>
      <c r="AB114" s="115">
        <v>3.2</v>
      </c>
      <c r="AC114" s="115">
        <v>3.2</v>
      </c>
      <c r="AD114" s="115">
        <v>-2.6</v>
      </c>
      <c r="AE114" s="115">
        <v>-17.100000000000001</v>
      </c>
      <c r="AF114" s="115">
        <v>13.6</v>
      </c>
      <c r="AG114" s="114">
        <v>60</v>
      </c>
      <c r="AH114" s="47">
        <f t="shared" si="19"/>
        <v>25.7</v>
      </c>
      <c r="AI114" s="48">
        <f t="shared" si="20"/>
        <v>-21.9</v>
      </c>
    </row>
    <row r="115" spans="1:37" x14ac:dyDescent="0.25">
      <c r="A115" s="116" t="s">
        <v>131</v>
      </c>
      <c r="B115" s="117">
        <v>18.2</v>
      </c>
      <c r="C115" s="117">
        <v>18</v>
      </c>
      <c r="D115" s="117">
        <v>5.8</v>
      </c>
      <c r="E115" s="117">
        <v>6.2</v>
      </c>
      <c r="F115" s="117">
        <v>5.9</v>
      </c>
      <c r="G115" s="117">
        <v>5.8</v>
      </c>
      <c r="H115" s="117">
        <v>6.1</v>
      </c>
      <c r="I115" s="117">
        <v>17.600000000000001</v>
      </c>
      <c r="J115" s="117">
        <v>17.399999999999999</v>
      </c>
      <c r="K115" s="117">
        <v>17.399999999999999</v>
      </c>
      <c r="L115" s="117">
        <v>17.399999999999999</v>
      </c>
      <c r="M115" s="117">
        <v>16.7</v>
      </c>
      <c r="N115" s="117">
        <v>17.8</v>
      </c>
      <c r="O115" s="117">
        <v>65.400000000000006</v>
      </c>
      <c r="P115" s="117">
        <v>78.5</v>
      </c>
      <c r="Q115" s="117">
        <v>72</v>
      </c>
      <c r="R115" s="117">
        <v>82.6</v>
      </c>
      <c r="S115" s="117">
        <v>84</v>
      </c>
      <c r="T115" s="117">
        <v>87.4</v>
      </c>
      <c r="U115" s="117">
        <v>85.3</v>
      </c>
      <c r="V115" s="117">
        <v>73.3</v>
      </c>
      <c r="W115" s="117">
        <v>77.8</v>
      </c>
      <c r="X115" s="117">
        <v>71.599999999999994</v>
      </c>
      <c r="Y115" s="117">
        <v>64.599999999999994</v>
      </c>
      <c r="Z115" s="117">
        <v>94.2</v>
      </c>
      <c r="AA115" s="117">
        <v>94.1</v>
      </c>
      <c r="AB115" s="117">
        <v>104.8</v>
      </c>
      <c r="AC115" s="117">
        <v>104.8</v>
      </c>
      <c r="AD115" s="117">
        <v>104.8</v>
      </c>
      <c r="AE115" s="117">
        <v>72.3</v>
      </c>
      <c r="AF115" s="117">
        <v>54.3</v>
      </c>
      <c r="AG115" s="118">
        <v>120</v>
      </c>
      <c r="AH115" s="47">
        <f t="shared" si="19"/>
        <v>104.8</v>
      </c>
      <c r="AI115" s="48">
        <f t="shared" si="20"/>
        <v>5.8</v>
      </c>
    </row>
    <row r="116" spans="1:37" x14ac:dyDescent="0.25">
      <c r="A116" s="116" t="s">
        <v>132</v>
      </c>
      <c r="B116" s="117">
        <v>55.5</v>
      </c>
      <c r="C116" s="117">
        <v>64.900000000000006</v>
      </c>
      <c r="D116" s="117">
        <v>55</v>
      </c>
      <c r="E116" s="117">
        <v>47.8</v>
      </c>
      <c r="F116" s="117">
        <v>43.6</v>
      </c>
      <c r="G116" s="117">
        <v>63.7</v>
      </c>
      <c r="H116" s="117">
        <v>53.7</v>
      </c>
      <c r="I116" s="117">
        <v>49.5</v>
      </c>
      <c r="J116" s="117">
        <v>54.6</v>
      </c>
      <c r="K116" s="117">
        <v>54.6</v>
      </c>
      <c r="L116" s="117">
        <v>54.6</v>
      </c>
      <c r="M116" s="117">
        <v>84.2</v>
      </c>
      <c r="N116" s="117">
        <v>89.2</v>
      </c>
      <c r="O116" s="117">
        <v>80.400000000000006</v>
      </c>
      <c r="P116" s="117">
        <v>91.3</v>
      </c>
      <c r="Q116" s="117">
        <v>81</v>
      </c>
      <c r="R116" s="117">
        <v>89.8</v>
      </c>
      <c r="S116" s="117">
        <v>90</v>
      </c>
      <c r="T116" s="117">
        <v>91.6</v>
      </c>
      <c r="U116" s="117">
        <v>86.5</v>
      </c>
      <c r="V116" s="117">
        <v>78.5</v>
      </c>
      <c r="W116" s="117">
        <v>85.1</v>
      </c>
      <c r="X116" s="117">
        <v>71.8</v>
      </c>
      <c r="Y116" s="117">
        <v>63.9</v>
      </c>
      <c r="Z116" s="117">
        <v>62.3</v>
      </c>
      <c r="AA116" s="117">
        <v>66.400000000000006</v>
      </c>
      <c r="AB116" s="117">
        <v>72.900000000000006</v>
      </c>
      <c r="AC116" s="117">
        <v>72.900000000000006</v>
      </c>
      <c r="AD116" s="117">
        <v>73.8</v>
      </c>
      <c r="AE116" s="117">
        <v>64.3</v>
      </c>
      <c r="AF116" s="117">
        <v>22.3</v>
      </c>
      <c r="AG116" s="118"/>
      <c r="AH116" s="47">
        <f t="shared" si="19"/>
        <v>91.6</v>
      </c>
      <c r="AI116" s="48">
        <f t="shared" si="20"/>
        <v>22.3</v>
      </c>
    </row>
    <row r="117" spans="1:37" x14ac:dyDescent="0.25">
      <c r="A117" s="116" t="s">
        <v>133</v>
      </c>
      <c r="B117" s="117">
        <v>49.1</v>
      </c>
      <c r="C117" s="117">
        <v>53.9</v>
      </c>
      <c r="D117" s="117">
        <v>52.8</v>
      </c>
      <c r="E117" s="117">
        <v>50.2</v>
      </c>
      <c r="F117" s="117">
        <v>55.8</v>
      </c>
      <c r="G117" s="117">
        <v>59.2</v>
      </c>
      <c r="H117" s="117">
        <v>51</v>
      </c>
      <c r="I117" s="117">
        <v>51.3</v>
      </c>
      <c r="J117" s="117">
        <v>50.6</v>
      </c>
      <c r="K117" s="117">
        <v>50.6</v>
      </c>
      <c r="L117" s="117">
        <v>50.6</v>
      </c>
      <c r="M117" s="117">
        <v>36</v>
      </c>
      <c r="N117" s="117">
        <v>31.7</v>
      </c>
      <c r="O117" s="117">
        <v>38</v>
      </c>
      <c r="P117" s="117">
        <v>43</v>
      </c>
      <c r="Q117" s="117">
        <v>47</v>
      </c>
      <c r="R117" s="117">
        <v>27.6</v>
      </c>
      <c r="S117" s="117">
        <v>30.4</v>
      </c>
      <c r="T117" s="117">
        <v>46.4</v>
      </c>
      <c r="U117" s="117">
        <v>40</v>
      </c>
      <c r="V117" s="117">
        <v>27.9</v>
      </c>
      <c r="W117" s="117">
        <v>27.9</v>
      </c>
      <c r="X117" s="117">
        <v>28.3</v>
      </c>
      <c r="Y117" s="117">
        <v>32.1</v>
      </c>
      <c r="Z117" s="117">
        <v>28.2</v>
      </c>
      <c r="AA117" s="117">
        <v>24.3</v>
      </c>
      <c r="AB117" s="117">
        <v>54.6</v>
      </c>
      <c r="AC117" s="117">
        <v>54.6</v>
      </c>
      <c r="AD117" s="117">
        <v>48.7</v>
      </c>
      <c r="AE117" s="117">
        <v>48.74</v>
      </c>
      <c r="AF117" s="117">
        <v>55.4</v>
      </c>
      <c r="AG117" s="119"/>
      <c r="AH117" s="47">
        <f t="shared" si="19"/>
        <v>59.2</v>
      </c>
      <c r="AI117" s="48">
        <f t="shared" si="20"/>
        <v>24.3</v>
      </c>
    </row>
    <row r="118" spans="1:37" x14ac:dyDescent="0.25">
      <c r="A118" s="120" t="s">
        <v>134</v>
      </c>
      <c r="B118" s="106">
        <v>21.6</v>
      </c>
      <c r="C118" s="106">
        <v>24</v>
      </c>
      <c r="D118" s="106">
        <v>25.6</v>
      </c>
      <c r="E118" s="106">
        <v>21.1</v>
      </c>
      <c r="F118" s="106">
        <v>31.4</v>
      </c>
      <c r="G118" s="106">
        <v>31.9</v>
      </c>
      <c r="H118" s="106">
        <v>27.1</v>
      </c>
      <c r="I118" s="106">
        <v>33.1</v>
      </c>
      <c r="J118" s="106">
        <v>23.9</v>
      </c>
      <c r="K118" s="106">
        <v>23.9</v>
      </c>
      <c r="L118" s="106">
        <v>23.9</v>
      </c>
      <c r="M118" s="106">
        <v>20.3</v>
      </c>
      <c r="N118" s="106">
        <v>29</v>
      </c>
      <c r="O118" s="106">
        <v>37</v>
      </c>
      <c r="P118" s="106">
        <v>41.8</v>
      </c>
      <c r="Q118" s="106">
        <v>33</v>
      </c>
      <c r="R118" s="106">
        <v>35.6</v>
      </c>
      <c r="S118" s="106">
        <v>35.4</v>
      </c>
      <c r="T118" s="106">
        <v>31.9</v>
      </c>
      <c r="U118" s="106">
        <v>30</v>
      </c>
      <c r="V118" s="106">
        <v>20.2</v>
      </c>
      <c r="W118" s="106">
        <v>22</v>
      </c>
      <c r="X118" s="106">
        <v>20.8</v>
      </c>
      <c r="Y118" s="106">
        <v>27</v>
      </c>
      <c r="Z118" s="106">
        <v>18.399999999999999</v>
      </c>
      <c r="AA118" s="106">
        <v>14.7</v>
      </c>
      <c r="AB118" s="106">
        <v>28.7</v>
      </c>
      <c r="AC118" s="106">
        <v>28.7</v>
      </c>
      <c r="AD118" s="106">
        <v>40.700000000000003</v>
      </c>
      <c r="AE118" s="106">
        <v>40.799999999999997</v>
      </c>
      <c r="AF118" s="106"/>
      <c r="AG118" s="119"/>
      <c r="AH118" s="47">
        <f t="shared" si="19"/>
        <v>41.8</v>
      </c>
      <c r="AI118" s="48">
        <f t="shared" si="20"/>
        <v>14.7</v>
      </c>
    </row>
    <row r="119" spans="1:37" x14ac:dyDescent="0.25">
      <c r="A119" s="121" t="s">
        <v>135</v>
      </c>
      <c r="B119" s="106">
        <v>86.6</v>
      </c>
      <c r="C119" s="106">
        <v>83.4</v>
      </c>
      <c r="D119" s="106">
        <v>96.7</v>
      </c>
      <c r="E119" s="106">
        <v>96.5</v>
      </c>
      <c r="F119" s="106">
        <v>92.3</v>
      </c>
      <c r="G119" s="106">
        <v>85.9</v>
      </c>
      <c r="H119" s="106">
        <v>87.6</v>
      </c>
      <c r="I119" s="106">
        <v>80.3</v>
      </c>
      <c r="J119" s="106">
        <v>80.099999999999994</v>
      </c>
      <c r="K119" s="106">
        <v>80.099999999999994</v>
      </c>
      <c r="L119" s="106">
        <v>80.099999999999994</v>
      </c>
      <c r="M119" s="106">
        <v>94</v>
      </c>
      <c r="N119" s="106">
        <v>95.4</v>
      </c>
      <c r="O119" s="106">
        <v>75.599999999999994</v>
      </c>
      <c r="P119" s="106">
        <v>88.6</v>
      </c>
      <c r="Q119" s="106">
        <v>91</v>
      </c>
      <c r="R119" s="106">
        <v>0</v>
      </c>
      <c r="S119" s="106">
        <v>0</v>
      </c>
      <c r="T119" s="106">
        <v>0</v>
      </c>
      <c r="U119" s="106">
        <v>0</v>
      </c>
      <c r="V119" s="106">
        <v>0</v>
      </c>
      <c r="W119" s="106">
        <v>0</v>
      </c>
      <c r="X119" s="106">
        <v>0</v>
      </c>
      <c r="Y119" s="106">
        <v>0</v>
      </c>
      <c r="Z119" s="106">
        <v>49.1</v>
      </c>
      <c r="AA119" s="106">
        <v>51.1</v>
      </c>
      <c r="AB119" s="106">
        <v>44.4</v>
      </c>
      <c r="AC119" s="106">
        <v>44.4</v>
      </c>
      <c r="AD119" s="106">
        <v>54.9</v>
      </c>
      <c r="AE119" s="106">
        <v>77.400000000000006</v>
      </c>
      <c r="AF119" s="106">
        <v>69.8</v>
      </c>
      <c r="AG119" s="119"/>
      <c r="AH119" s="47">
        <f t="shared" si="19"/>
        <v>96.7</v>
      </c>
      <c r="AI119" s="48">
        <f t="shared" si="20"/>
        <v>0</v>
      </c>
    </row>
    <row r="120" spans="1:37" ht="15.75" thickBot="1" x14ac:dyDescent="0.3">
      <c r="A120" s="120" t="s">
        <v>136</v>
      </c>
      <c r="B120" s="106">
        <v>77.2</v>
      </c>
      <c r="C120" s="106">
        <v>64.599999999999994</v>
      </c>
      <c r="D120" s="106">
        <v>67</v>
      </c>
      <c r="E120" s="106">
        <v>65.2</v>
      </c>
      <c r="F120" s="106">
        <v>52.6</v>
      </c>
      <c r="G120" s="106">
        <v>38.700000000000003</v>
      </c>
      <c r="H120" s="106">
        <v>39.9</v>
      </c>
      <c r="I120" s="106">
        <v>36.1</v>
      </c>
      <c r="J120" s="106">
        <v>73.7</v>
      </c>
      <c r="K120" s="106">
        <v>73.7</v>
      </c>
      <c r="L120" s="106">
        <v>73.7</v>
      </c>
      <c r="M120" s="106">
        <v>80.099999999999994</v>
      </c>
      <c r="N120" s="106">
        <v>79</v>
      </c>
      <c r="O120" s="106">
        <v>66.400000000000006</v>
      </c>
      <c r="P120" s="106">
        <v>63.5</v>
      </c>
      <c r="Q120" s="106">
        <v>70</v>
      </c>
      <c r="R120" s="106"/>
      <c r="S120" s="106">
        <v>80</v>
      </c>
      <c r="T120" s="106">
        <v>76.5</v>
      </c>
      <c r="U120" s="106">
        <v>83.9</v>
      </c>
      <c r="V120" s="106">
        <v>53.5</v>
      </c>
      <c r="W120" s="106">
        <v>55.2</v>
      </c>
      <c r="X120" s="106">
        <v>40.1</v>
      </c>
      <c r="Y120" s="106">
        <v>18.8</v>
      </c>
      <c r="Z120" s="106">
        <v>38.6</v>
      </c>
      <c r="AA120" s="106">
        <v>55.7</v>
      </c>
      <c r="AB120" s="106">
        <v>54.4</v>
      </c>
      <c r="AC120" s="106">
        <v>54.4</v>
      </c>
      <c r="AD120" s="106">
        <v>46.5</v>
      </c>
      <c r="AE120" s="106">
        <v>38.9</v>
      </c>
      <c r="AF120" s="106">
        <v>34.700000000000003</v>
      </c>
      <c r="AG120" s="119"/>
      <c r="AH120" s="47">
        <f t="shared" si="19"/>
        <v>83.9</v>
      </c>
      <c r="AI120" s="48">
        <f t="shared" si="20"/>
        <v>18.8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36">SUM(B122:B226)</f>
        <v>0</v>
      </c>
      <c r="C227" s="137">
        <f t="shared" si="36"/>
        <v>0</v>
      </c>
      <c r="D227" s="137">
        <f t="shared" si="36"/>
        <v>0</v>
      </c>
      <c r="E227" s="137">
        <f t="shared" si="36"/>
        <v>0</v>
      </c>
      <c r="F227" s="137">
        <f t="shared" si="36"/>
        <v>0</v>
      </c>
      <c r="G227" s="137">
        <f t="shared" si="36"/>
        <v>0</v>
      </c>
      <c r="H227" s="137">
        <f t="shared" si="36"/>
        <v>0</v>
      </c>
      <c r="I227" s="137">
        <f t="shared" si="36"/>
        <v>0</v>
      </c>
      <c r="J227" s="137">
        <f t="shared" si="36"/>
        <v>0</v>
      </c>
      <c r="K227" s="137">
        <f t="shared" si="36"/>
        <v>0</v>
      </c>
      <c r="L227" s="137">
        <f t="shared" si="36"/>
        <v>0</v>
      </c>
      <c r="M227" s="137">
        <f t="shared" si="36"/>
        <v>0</v>
      </c>
      <c r="N227" s="137">
        <f t="shared" si="36"/>
        <v>0</v>
      </c>
      <c r="O227" s="137">
        <f t="shared" si="36"/>
        <v>0</v>
      </c>
      <c r="P227" s="137">
        <f t="shared" si="36"/>
        <v>0</v>
      </c>
      <c r="Q227" s="137">
        <f t="shared" si="36"/>
        <v>0</v>
      </c>
      <c r="R227" s="137">
        <f t="shared" si="36"/>
        <v>0</v>
      </c>
      <c r="S227" s="137">
        <f t="shared" si="36"/>
        <v>0</v>
      </c>
      <c r="T227" s="137">
        <f t="shared" si="36"/>
        <v>0</v>
      </c>
      <c r="U227" s="137">
        <f t="shared" si="36"/>
        <v>0</v>
      </c>
      <c r="V227" s="137">
        <f t="shared" si="36"/>
        <v>0</v>
      </c>
      <c r="W227" s="137">
        <f t="shared" si="36"/>
        <v>0</v>
      </c>
      <c r="X227" s="137">
        <f t="shared" si="36"/>
        <v>0</v>
      </c>
      <c r="Y227" s="137">
        <f t="shared" si="36"/>
        <v>0</v>
      </c>
      <c r="Z227" s="137">
        <f t="shared" si="36"/>
        <v>0</v>
      </c>
      <c r="AA227" s="137">
        <f t="shared" si="36"/>
        <v>0</v>
      </c>
      <c r="AB227" s="137">
        <f t="shared" si="36"/>
        <v>0</v>
      </c>
      <c r="AC227" s="137">
        <f t="shared" si="36"/>
        <v>0</v>
      </c>
      <c r="AD227" s="137">
        <f t="shared" si="36"/>
        <v>0</v>
      </c>
      <c r="AE227" s="137">
        <f t="shared" si="36"/>
        <v>0</v>
      </c>
      <c r="AF227" s="138">
        <f t="shared" si="36"/>
        <v>0</v>
      </c>
      <c r="AG227" s="139">
        <f t="shared" si="36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37">AF229</f>
        <v>0</v>
      </c>
      <c r="C229" s="141">
        <v>0.3</v>
      </c>
      <c r="D229" s="141">
        <f t="shared" ref="D229:P234" si="38">C229</f>
        <v>0.3</v>
      </c>
      <c r="E229" s="141">
        <f t="shared" si="38"/>
        <v>0.3</v>
      </c>
      <c r="F229" s="141">
        <f t="shared" si="38"/>
        <v>0.3</v>
      </c>
      <c r="G229" s="141">
        <f t="shared" si="38"/>
        <v>0.3</v>
      </c>
      <c r="H229" s="141">
        <f t="shared" si="38"/>
        <v>0.3</v>
      </c>
      <c r="I229" s="141">
        <f t="shared" si="38"/>
        <v>0.3</v>
      </c>
      <c r="J229" s="141">
        <f t="shared" si="38"/>
        <v>0.3</v>
      </c>
      <c r="K229" s="141">
        <f t="shared" si="38"/>
        <v>0.3</v>
      </c>
      <c r="L229" s="141">
        <f t="shared" si="38"/>
        <v>0.3</v>
      </c>
      <c r="M229" s="141">
        <f t="shared" si="38"/>
        <v>0.3</v>
      </c>
      <c r="N229" s="141">
        <f t="shared" si="38"/>
        <v>0.3</v>
      </c>
      <c r="O229" s="141">
        <f t="shared" si="38"/>
        <v>0.3</v>
      </c>
      <c r="P229" s="141">
        <f t="shared" si="38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37"/>
        <v>0</v>
      </c>
      <c r="C230" s="129">
        <v>0.4</v>
      </c>
      <c r="D230" s="129">
        <f t="shared" si="38"/>
        <v>0.4</v>
      </c>
      <c r="E230" s="129">
        <f t="shared" si="38"/>
        <v>0.4</v>
      </c>
      <c r="F230" s="129">
        <f t="shared" si="38"/>
        <v>0.4</v>
      </c>
      <c r="G230" s="129">
        <f t="shared" si="38"/>
        <v>0.4</v>
      </c>
      <c r="H230" s="129">
        <f t="shared" si="38"/>
        <v>0.4</v>
      </c>
      <c r="I230" s="129">
        <f t="shared" si="38"/>
        <v>0.4</v>
      </c>
      <c r="J230" s="129">
        <f t="shared" si="38"/>
        <v>0.4</v>
      </c>
      <c r="K230" s="129">
        <f t="shared" si="38"/>
        <v>0.4</v>
      </c>
      <c r="L230" s="129">
        <f t="shared" si="38"/>
        <v>0.4</v>
      </c>
      <c r="M230" s="129">
        <f t="shared" si="38"/>
        <v>0.4</v>
      </c>
      <c r="N230" s="129">
        <f t="shared" si="38"/>
        <v>0.4</v>
      </c>
      <c r="O230" s="129">
        <f t="shared" si="38"/>
        <v>0.4</v>
      </c>
      <c r="P230" s="129">
        <f t="shared" si="38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37"/>
        <v>0</v>
      </c>
      <c r="C231" s="129">
        <v>1.5</v>
      </c>
      <c r="D231" s="129">
        <f t="shared" si="38"/>
        <v>1.5</v>
      </c>
      <c r="E231" s="129">
        <f t="shared" si="38"/>
        <v>1.5</v>
      </c>
      <c r="F231" s="129">
        <f t="shared" si="38"/>
        <v>1.5</v>
      </c>
      <c r="G231" s="129">
        <f t="shared" si="38"/>
        <v>1.5</v>
      </c>
      <c r="H231" s="129">
        <f t="shared" si="38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38"/>
        <v>123.21900000000009</v>
      </c>
      <c r="K231" s="129">
        <f t="shared" ca="1" si="38"/>
        <v>123.21900000000009</v>
      </c>
      <c r="L231" s="129">
        <f t="shared" ca="1" si="38"/>
        <v>123.21900000000009</v>
      </c>
      <c r="M231" s="129">
        <f t="shared" ca="1" si="38"/>
        <v>119.19900000000008</v>
      </c>
      <c r="N231" s="129">
        <f t="shared" ca="1" si="38"/>
        <v>119.19900000000008</v>
      </c>
      <c r="O231" s="129">
        <f t="shared" ca="1" si="38"/>
        <v>119.19900000000008</v>
      </c>
      <c r="P231" s="129">
        <f t="shared" ca="1" si="38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37"/>
        <v>0</v>
      </c>
      <c r="C232" s="129">
        <v>0.3</v>
      </c>
      <c r="D232" s="129">
        <f t="shared" si="38"/>
        <v>0.3</v>
      </c>
      <c r="E232" s="129">
        <f t="shared" si="38"/>
        <v>0.3</v>
      </c>
      <c r="F232" s="129">
        <f t="shared" si="38"/>
        <v>0.3</v>
      </c>
      <c r="G232" s="129">
        <f t="shared" si="38"/>
        <v>0.3</v>
      </c>
      <c r="H232" s="129">
        <f t="shared" si="38"/>
        <v>0.3</v>
      </c>
      <c r="I232" s="129">
        <f t="shared" si="38"/>
        <v>0.3</v>
      </c>
      <c r="J232" s="129">
        <f t="shared" si="38"/>
        <v>0.3</v>
      </c>
      <c r="K232" s="129">
        <f t="shared" si="38"/>
        <v>0.3</v>
      </c>
      <c r="L232" s="129">
        <f t="shared" si="38"/>
        <v>0.3</v>
      </c>
      <c r="M232" s="129">
        <f t="shared" si="38"/>
        <v>0.3</v>
      </c>
      <c r="N232" s="129">
        <f t="shared" si="38"/>
        <v>0.3</v>
      </c>
      <c r="O232" s="129">
        <f t="shared" si="38"/>
        <v>0.3</v>
      </c>
      <c r="P232" s="129">
        <f t="shared" si="38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37"/>
        <v>0</v>
      </c>
      <c r="C233" s="129">
        <v>0.4</v>
      </c>
      <c r="D233" s="129">
        <f t="shared" si="38"/>
        <v>0.4</v>
      </c>
      <c r="E233" s="129">
        <f t="shared" si="38"/>
        <v>0.4</v>
      </c>
      <c r="F233" s="129">
        <f t="shared" si="38"/>
        <v>0.4</v>
      </c>
      <c r="G233" s="129">
        <f t="shared" si="38"/>
        <v>0.4</v>
      </c>
      <c r="H233" s="129">
        <f t="shared" si="38"/>
        <v>0.4</v>
      </c>
      <c r="I233" s="129">
        <f t="shared" si="38"/>
        <v>0.4</v>
      </c>
      <c r="J233" s="129">
        <f t="shared" si="38"/>
        <v>0.4</v>
      </c>
      <c r="K233" s="129">
        <f t="shared" si="38"/>
        <v>0.4</v>
      </c>
      <c r="L233" s="129">
        <f t="shared" si="38"/>
        <v>0.4</v>
      </c>
      <c r="M233" s="129">
        <f t="shared" si="38"/>
        <v>0.4</v>
      </c>
      <c r="N233" s="129">
        <f t="shared" si="38"/>
        <v>0.4</v>
      </c>
      <c r="O233" s="129">
        <f t="shared" si="38"/>
        <v>0.4</v>
      </c>
      <c r="P233" s="129">
        <f t="shared" si="38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37"/>
        <v>0</v>
      </c>
      <c r="C234" s="133">
        <v>0.64</v>
      </c>
      <c r="D234" s="133">
        <f t="shared" si="38"/>
        <v>0.64</v>
      </c>
      <c r="E234" s="133">
        <f t="shared" si="38"/>
        <v>0.64</v>
      </c>
      <c r="F234" s="133">
        <f t="shared" si="38"/>
        <v>0.64</v>
      </c>
      <c r="G234" s="133">
        <f t="shared" si="38"/>
        <v>0.64</v>
      </c>
      <c r="H234" s="133">
        <f t="shared" si="38"/>
        <v>0.64</v>
      </c>
      <c r="I234" s="133">
        <f t="shared" si="38"/>
        <v>0.64</v>
      </c>
      <c r="J234" s="133">
        <f t="shared" si="38"/>
        <v>0.64</v>
      </c>
      <c r="K234" s="133">
        <f t="shared" si="38"/>
        <v>0.64</v>
      </c>
      <c r="L234" s="133">
        <f t="shared" si="38"/>
        <v>0.64</v>
      </c>
      <c r="M234" s="133">
        <f t="shared" si="38"/>
        <v>0.64</v>
      </c>
      <c r="N234" s="133">
        <f t="shared" si="38"/>
        <v>0.64</v>
      </c>
      <c r="O234" s="133">
        <f t="shared" si="38"/>
        <v>0.64</v>
      </c>
      <c r="P234" s="133">
        <f t="shared" si="38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39">SUM(B229:B234)</f>
        <v>0</v>
      </c>
      <c r="C235" s="137">
        <f t="shared" si="39"/>
        <v>3.54</v>
      </c>
      <c r="D235" s="137">
        <f t="shared" si="39"/>
        <v>3.54</v>
      </c>
      <c r="E235" s="137">
        <f t="shared" si="39"/>
        <v>3.54</v>
      </c>
      <c r="F235" s="137">
        <f t="shared" si="39"/>
        <v>3.54</v>
      </c>
      <c r="G235" s="137">
        <f t="shared" si="39"/>
        <v>3.54</v>
      </c>
      <c r="H235" s="137">
        <f t="shared" si="39"/>
        <v>3.54</v>
      </c>
      <c r="I235" s="137">
        <f t="shared" ca="1" si="39"/>
        <v>121.23900000000009</v>
      </c>
      <c r="J235" s="137">
        <f t="shared" ca="1" si="39"/>
        <v>121.23900000000009</v>
      </c>
      <c r="K235" s="137">
        <f t="shared" ca="1" si="39"/>
        <v>121.23900000000009</v>
      </c>
      <c r="L235" s="137">
        <f t="shared" ca="1" si="39"/>
        <v>125.2590000000001</v>
      </c>
      <c r="M235" s="137">
        <f t="shared" ca="1" si="39"/>
        <v>121.23900000000009</v>
      </c>
      <c r="N235" s="137">
        <f t="shared" ca="1" si="39"/>
        <v>121.23900000000009</v>
      </c>
      <c r="O235" s="137">
        <f t="shared" ca="1" si="39"/>
        <v>121.23900000000009</v>
      </c>
      <c r="P235" s="137">
        <f t="shared" ca="1" si="39"/>
        <v>121.23900000000009</v>
      </c>
      <c r="Q235" s="137">
        <f t="shared" si="39"/>
        <v>0</v>
      </c>
      <c r="R235" s="137">
        <f t="shared" si="39"/>
        <v>0</v>
      </c>
      <c r="S235" s="137">
        <f t="shared" si="39"/>
        <v>0</v>
      </c>
      <c r="T235" s="137">
        <f t="shared" si="39"/>
        <v>0</v>
      </c>
      <c r="U235" s="137">
        <f t="shared" si="39"/>
        <v>0</v>
      </c>
      <c r="V235" s="137">
        <f t="shared" si="39"/>
        <v>0</v>
      </c>
      <c r="W235" s="137">
        <f t="shared" si="39"/>
        <v>0</v>
      </c>
      <c r="X235" s="137">
        <f t="shared" si="39"/>
        <v>0</v>
      </c>
      <c r="Y235" s="137">
        <f t="shared" si="39"/>
        <v>0</v>
      </c>
      <c r="Z235" s="137">
        <f t="shared" si="39"/>
        <v>0</v>
      </c>
      <c r="AA235" s="137">
        <f t="shared" si="39"/>
        <v>0</v>
      </c>
      <c r="AB235" s="137">
        <f t="shared" si="39"/>
        <v>0</v>
      </c>
      <c r="AC235" s="137">
        <f t="shared" si="39"/>
        <v>0</v>
      </c>
      <c r="AD235" s="137">
        <f t="shared" si="39"/>
        <v>0</v>
      </c>
      <c r="AE235" s="137">
        <f t="shared" si="39"/>
        <v>0</v>
      </c>
      <c r="AF235" s="137">
        <f t="shared" si="39"/>
        <v>0</v>
      </c>
      <c r="AG235" s="146">
        <f t="shared" si="39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1937.65</v>
      </c>
      <c r="C244" s="162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12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2080/03/12)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2080/03/12)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40">B91</f>
        <v>1890.35</v>
      </c>
      <c r="U249" s="171">
        <f t="shared" si="40"/>
        <v>1913.0499999999997</v>
      </c>
      <c r="V249" s="171">
        <f t="shared" si="40"/>
        <v>1955.1499999999999</v>
      </c>
      <c r="W249" s="171">
        <f t="shared" si="40"/>
        <v>1883.85</v>
      </c>
      <c r="X249" s="171">
        <f t="shared" si="40"/>
        <v>1881.05</v>
      </c>
      <c r="Y249" s="171">
        <f t="shared" si="40"/>
        <v>1896.25</v>
      </c>
      <c r="Z249" s="171">
        <f t="shared" si="40"/>
        <v>1887.25</v>
      </c>
      <c r="AA249" s="171">
        <f t="shared" si="40"/>
        <v>1907.75</v>
      </c>
      <c r="AB249" s="171">
        <f t="shared" si="40"/>
        <v>1855.75</v>
      </c>
      <c r="AC249" s="171">
        <f t="shared" si="40"/>
        <v>1860.75</v>
      </c>
      <c r="AD249" s="171">
        <f t="shared" si="40"/>
        <v>1937.65</v>
      </c>
      <c r="AE249" s="171">
        <f t="shared" si="40"/>
        <v>1849.7499999999998</v>
      </c>
      <c r="AF249" s="171">
        <f t="shared" si="40"/>
        <v>1853.5500000000002</v>
      </c>
      <c r="AG249" s="171">
        <f t="shared" si="40"/>
        <v>1932.15</v>
      </c>
      <c r="AH249" s="171">
        <f t="shared" si="40"/>
        <v>1923.9500000000003</v>
      </c>
      <c r="AI249" s="171">
        <f t="shared" si="40"/>
        <v>1927.5500000000002</v>
      </c>
      <c r="AJ249" s="171">
        <f t="shared" si="40"/>
        <v>1933.29</v>
      </c>
      <c r="AK249" s="171">
        <f t="shared" si="40"/>
        <v>1858.69</v>
      </c>
      <c r="AL249" s="171">
        <f t="shared" si="40"/>
        <v>1861.69</v>
      </c>
      <c r="AM249" s="171">
        <f t="shared" si="40"/>
        <v>1890.0900000000001</v>
      </c>
      <c r="AN249" s="171">
        <f t="shared" si="40"/>
        <v>1945.0900000000001</v>
      </c>
      <c r="AO249" s="171">
        <f t="shared" si="40"/>
        <v>1926.5900000000001</v>
      </c>
      <c r="AP249" s="171">
        <f t="shared" si="40"/>
        <v>1908.0900000000001</v>
      </c>
      <c r="AQ249" s="171">
        <f t="shared" si="40"/>
        <v>1907.5900000000001</v>
      </c>
      <c r="AR249" s="171">
        <f t="shared" si="40"/>
        <v>1953.79</v>
      </c>
      <c r="AS249" s="171">
        <f t="shared" si="40"/>
        <v>2036.8900000000003</v>
      </c>
      <c r="AT249" s="171">
        <f t="shared" si="40"/>
        <v>1991.1900000000003</v>
      </c>
      <c r="AU249" s="171">
        <f t="shared" si="40"/>
        <v>1991.1900000000003</v>
      </c>
      <c r="AV249" s="171">
        <f t="shared" si="40"/>
        <v>1934.0900000000001</v>
      </c>
      <c r="AW249" s="171">
        <f t="shared" si="40"/>
        <v>1902.4900000000002</v>
      </c>
      <c r="AX249" s="171">
        <f t="shared" si="40"/>
        <v>1949.4900000000002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41">C234</f>
        <v>0.64</v>
      </c>
      <c r="C270" s="174">
        <f t="shared" si="41"/>
        <v>0.64</v>
      </c>
      <c r="D270" s="174">
        <f t="shared" si="41"/>
        <v>0.64</v>
      </c>
      <c r="E270" s="174">
        <f t="shared" si="41"/>
        <v>0.64</v>
      </c>
      <c r="F270" s="174">
        <f t="shared" si="41"/>
        <v>0.64</v>
      </c>
      <c r="G270" s="174">
        <f t="shared" si="41"/>
        <v>0.64</v>
      </c>
      <c r="H270" s="174">
        <f t="shared" si="41"/>
        <v>0.64</v>
      </c>
      <c r="I270" s="174">
        <f t="shared" si="41"/>
        <v>0.64</v>
      </c>
      <c r="J270" s="174">
        <f t="shared" si="41"/>
        <v>0.64</v>
      </c>
      <c r="K270" s="174">
        <f t="shared" si="41"/>
        <v>0.64</v>
      </c>
      <c r="L270" s="174">
        <f t="shared" si="41"/>
        <v>0.64</v>
      </c>
      <c r="M270" s="174">
        <f t="shared" si="41"/>
        <v>0.64</v>
      </c>
      <c r="N270" s="174">
        <f t="shared" si="41"/>
        <v>0.64</v>
      </c>
      <c r="O270" s="174">
        <f t="shared" si="41"/>
        <v>0.64</v>
      </c>
      <c r="P270" s="174">
        <f t="shared" si="41"/>
        <v>0</v>
      </c>
      <c r="Q270" s="174">
        <f t="shared" si="41"/>
        <v>0</v>
      </c>
      <c r="R270" s="174">
        <f t="shared" si="41"/>
        <v>0</v>
      </c>
      <c r="S270" s="174">
        <f t="shared" si="41"/>
        <v>0</v>
      </c>
      <c r="T270" s="174">
        <f t="shared" si="41"/>
        <v>0</v>
      </c>
      <c r="U270" s="174">
        <f t="shared" si="41"/>
        <v>0</v>
      </c>
      <c r="V270" s="174">
        <f t="shared" si="41"/>
        <v>0</v>
      </c>
      <c r="W270" s="174">
        <f t="shared" si="41"/>
        <v>0</v>
      </c>
      <c r="X270" s="174">
        <f t="shared" si="41"/>
        <v>0</v>
      </c>
      <c r="Y270" s="174">
        <f t="shared" si="41"/>
        <v>0</v>
      </c>
      <c r="Z270" s="174">
        <f t="shared" si="41"/>
        <v>0</v>
      </c>
      <c r="AA270" s="174">
        <f t="shared" si="41"/>
        <v>0</v>
      </c>
      <c r="AB270" s="174">
        <f t="shared" si="41"/>
        <v>0</v>
      </c>
      <c r="AC270" s="174">
        <f t="shared" si="41"/>
        <v>0</v>
      </c>
      <c r="AD270" s="174">
        <f t="shared" si="41"/>
        <v>0</v>
      </c>
      <c r="AE270" s="174">
        <f t="shared" si="41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42">IF(B238&lt;100,"",B238-520)</f>
        <v/>
      </c>
      <c r="C271" s="175" t="str">
        <f t="shared" si="42"/>
        <v/>
      </c>
      <c r="D271" s="175" t="str">
        <f t="shared" si="42"/>
        <v/>
      </c>
      <c r="E271" s="175" t="str">
        <f t="shared" si="42"/>
        <v/>
      </c>
      <c r="F271" s="175" t="str">
        <f t="shared" si="42"/>
        <v/>
      </c>
      <c r="G271" s="175" t="str">
        <f t="shared" si="42"/>
        <v/>
      </c>
      <c r="H271" s="175" t="str">
        <f t="shared" si="42"/>
        <v/>
      </c>
      <c r="I271" s="175" t="str">
        <f t="shared" si="42"/>
        <v/>
      </c>
      <c r="J271" s="175" t="str">
        <f t="shared" si="42"/>
        <v/>
      </c>
      <c r="K271" s="175" t="str">
        <f t="shared" si="42"/>
        <v/>
      </c>
      <c r="L271" s="175" t="str">
        <f t="shared" si="42"/>
        <v/>
      </c>
      <c r="M271" s="175" t="str">
        <f t="shared" si="42"/>
        <v/>
      </c>
      <c r="N271" s="175" t="str">
        <f t="shared" si="42"/>
        <v/>
      </c>
      <c r="O271" s="175" t="str">
        <f t="shared" si="42"/>
        <v/>
      </c>
      <c r="P271" s="175" t="str">
        <f t="shared" si="42"/>
        <v/>
      </c>
      <c r="Q271" s="175" t="str">
        <f t="shared" si="42"/>
        <v/>
      </c>
      <c r="R271" s="175" t="str">
        <f t="shared" si="42"/>
        <v/>
      </c>
      <c r="S271" s="175" t="str">
        <f t="shared" si="42"/>
        <v/>
      </c>
      <c r="T271" s="175" t="str">
        <f t="shared" si="42"/>
        <v/>
      </c>
      <c r="U271" s="175" t="str">
        <f t="shared" si="42"/>
        <v/>
      </c>
      <c r="V271" s="175" t="str">
        <f t="shared" si="42"/>
        <v/>
      </c>
      <c r="W271" s="175" t="str">
        <f t="shared" si="42"/>
        <v/>
      </c>
      <c r="X271" s="175" t="str">
        <f t="shared" si="42"/>
        <v/>
      </c>
      <c r="Y271" s="175" t="str">
        <f t="shared" si="42"/>
        <v/>
      </c>
      <c r="Z271" s="175" t="str">
        <f t="shared" si="42"/>
        <v/>
      </c>
      <c r="AA271" s="175" t="str">
        <f t="shared" si="42"/>
        <v/>
      </c>
      <c r="AB271" s="175" t="str">
        <f t="shared" si="42"/>
        <v/>
      </c>
      <c r="AC271" s="175" t="str">
        <f t="shared" si="42"/>
        <v/>
      </c>
      <c r="AD271" s="175" t="str">
        <f t="shared" si="42"/>
        <v/>
      </c>
      <c r="AE271" s="175" t="str">
        <f t="shared" si="42"/>
        <v/>
      </c>
      <c r="AF271" s="175" t="str">
        <f t="shared" si="42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43">IF(B239&lt;100,"",B239-620)</f>
        <v/>
      </c>
      <c r="C272" s="175" t="str">
        <f t="shared" si="43"/>
        <v/>
      </c>
      <c r="D272" s="175" t="str">
        <f t="shared" si="43"/>
        <v/>
      </c>
      <c r="E272" s="175" t="str">
        <f t="shared" si="43"/>
        <v/>
      </c>
      <c r="F272" s="175" t="str">
        <f t="shared" si="43"/>
        <v/>
      </c>
      <c r="G272" s="175" t="str">
        <f t="shared" si="43"/>
        <v/>
      </c>
      <c r="H272" s="175" t="str">
        <f t="shared" si="43"/>
        <v/>
      </c>
      <c r="I272" s="175" t="str">
        <f t="shared" si="43"/>
        <v/>
      </c>
      <c r="J272" s="175" t="str">
        <f t="shared" si="43"/>
        <v/>
      </c>
      <c r="K272" s="175" t="str">
        <f t="shared" si="43"/>
        <v/>
      </c>
      <c r="L272" s="175" t="str">
        <f t="shared" si="43"/>
        <v/>
      </c>
      <c r="M272" s="175" t="str">
        <f t="shared" si="43"/>
        <v/>
      </c>
      <c r="N272" s="175" t="str">
        <f t="shared" si="43"/>
        <v/>
      </c>
      <c r="O272" s="175" t="str">
        <f t="shared" si="43"/>
        <v/>
      </c>
      <c r="P272" s="175" t="str">
        <f t="shared" si="43"/>
        <v/>
      </c>
      <c r="Q272" s="175" t="str">
        <f t="shared" si="43"/>
        <v/>
      </c>
      <c r="R272" s="175" t="str">
        <f t="shared" si="43"/>
        <v/>
      </c>
      <c r="S272" s="175" t="str">
        <f t="shared" si="43"/>
        <v/>
      </c>
      <c r="T272" s="175" t="str">
        <f t="shared" si="43"/>
        <v/>
      </c>
      <c r="U272" s="175" t="str">
        <f t="shared" si="43"/>
        <v/>
      </c>
      <c r="V272" s="175" t="str">
        <f t="shared" si="43"/>
        <v/>
      </c>
      <c r="W272" s="175" t="str">
        <f t="shared" si="43"/>
        <v/>
      </c>
      <c r="X272" s="175" t="str">
        <f t="shared" si="43"/>
        <v/>
      </c>
      <c r="Y272" s="175" t="str">
        <f t="shared" si="43"/>
        <v/>
      </c>
      <c r="Z272" s="175" t="str">
        <f t="shared" si="43"/>
        <v/>
      </c>
      <c r="AA272" s="175" t="str">
        <f t="shared" si="43"/>
        <v/>
      </c>
      <c r="AB272" s="175" t="str">
        <f t="shared" si="43"/>
        <v/>
      </c>
      <c r="AC272" s="175" t="str">
        <f t="shared" si="43"/>
        <v/>
      </c>
      <c r="AD272" s="175" t="str">
        <f t="shared" si="43"/>
        <v/>
      </c>
      <c r="AE272" s="175" t="str">
        <f t="shared" si="43"/>
        <v/>
      </c>
      <c r="AF272" s="175" t="str">
        <f t="shared" si="43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44">IF(B240&lt;100,"",B240-330)</f>
        <v/>
      </c>
      <c r="C273" s="175" t="str">
        <f t="shared" si="44"/>
        <v/>
      </c>
      <c r="D273" s="175" t="str">
        <f t="shared" si="44"/>
        <v/>
      </c>
      <c r="E273" s="175" t="str">
        <f t="shared" si="44"/>
        <v/>
      </c>
      <c r="F273" s="175" t="str">
        <f t="shared" si="44"/>
        <v/>
      </c>
      <c r="G273" s="175" t="str">
        <f t="shared" si="44"/>
        <v/>
      </c>
      <c r="H273" s="175" t="str">
        <f t="shared" si="44"/>
        <v/>
      </c>
      <c r="I273" s="175" t="str">
        <f t="shared" si="44"/>
        <v/>
      </c>
      <c r="J273" s="175" t="str">
        <f t="shared" si="44"/>
        <v/>
      </c>
      <c r="K273" s="175" t="str">
        <f t="shared" si="44"/>
        <v/>
      </c>
      <c r="L273" s="175" t="str">
        <f t="shared" si="44"/>
        <v/>
      </c>
      <c r="M273" s="175" t="str">
        <f t="shared" si="44"/>
        <v/>
      </c>
      <c r="N273" s="175" t="str">
        <f t="shared" si="44"/>
        <v/>
      </c>
      <c r="O273" s="175" t="str">
        <f t="shared" si="44"/>
        <v/>
      </c>
      <c r="P273" s="175" t="str">
        <f t="shared" si="44"/>
        <v/>
      </c>
      <c r="Q273" s="175" t="str">
        <f t="shared" si="44"/>
        <v/>
      </c>
      <c r="R273" s="175" t="str">
        <f t="shared" si="44"/>
        <v/>
      </c>
      <c r="S273" s="175" t="str">
        <f t="shared" si="44"/>
        <v/>
      </c>
      <c r="T273" s="175" t="str">
        <f t="shared" si="44"/>
        <v/>
      </c>
      <c r="U273" s="175" t="str">
        <f t="shared" si="44"/>
        <v/>
      </c>
      <c r="V273" s="175" t="str">
        <f t="shared" si="44"/>
        <v/>
      </c>
      <c r="W273" s="175" t="str">
        <f t="shared" si="44"/>
        <v/>
      </c>
      <c r="X273" s="175" t="str">
        <f t="shared" si="44"/>
        <v/>
      </c>
      <c r="Y273" s="175" t="str">
        <f t="shared" si="44"/>
        <v/>
      </c>
      <c r="Z273" s="175" t="str">
        <f t="shared" si="44"/>
        <v/>
      </c>
      <c r="AA273" s="175" t="str">
        <f t="shared" si="44"/>
        <v/>
      </c>
      <c r="AB273" s="175" t="str">
        <f t="shared" si="44"/>
        <v/>
      </c>
      <c r="AC273" s="175" t="str">
        <f t="shared" si="44"/>
        <v/>
      </c>
      <c r="AD273" s="175" t="str">
        <f t="shared" si="44"/>
        <v/>
      </c>
      <c r="AE273" s="175" t="str">
        <f t="shared" si="44"/>
        <v/>
      </c>
      <c r="AF273" s="175" t="str">
        <f t="shared" si="44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45">IF(B241&lt;100,"",B241-1500)</f>
        <v/>
      </c>
      <c r="C274" s="175" t="str">
        <f t="shared" si="45"/>
        <v/>
      </c>
      <c r="D274" s="175" t="str">
        <f t="shared" si="45"/>
        <v/>
      </c>
      <c r="E274" s="175" t="str">
        <f t="shared" si="45"/>
        <v/>
      </c>
      <c r="F274" s="175" t="str">
        <f t="shared" si="45"/>
        <v/>
      </c>
      <c r="G274" s="175" t="str">
        <f t="shared" si="45"/>
        <v/>
      </c>
      <c r="H274" s="175" t="str">
        <f t="shared" si="45"/>
        <v/>
      </c>
      <c r="I274" s="175" t="str">
        <f t="shared" si="45"/>
        <v/>
      </c>
      <c r="J274" s="175" t="str">
        <f t="shared" si="45"/>
        <v/>
      </c>
      <c r="K274" s="175" t="str">
        <f t="shared" si="45"/>
        <v/>
      </c>
      <c r="L274" s="175" t="str">
        <f t="shared" si="45"/>
        <v/>
      </c>
      <c r="M274" s="175" t="str">
        <f t="shared" si="45"/>
        <v/>
      </c>
      <c r="N274" s="175" t="str">
        <f t="shared" si="45"/>
        <v/>
      </c>
      <c r="O274" s="175" t="str">
        <f t="shared" si="45"/>
        <v/>
      </c>
      <c r="P274" s="175" t="str">
        <f t="shared" si="45"/>
        <v/>
      </c>
      <c r="Q274" s="175" t="str">
        <f t="shared" si="45"/>
        <v/>
      </c>
      <c r="R274" s="175" t="str">
        <f t="shared" si="45"/>
        <v/>
      </c>
      <c r="S274" s="175" t="str">
        <f t="shared" si="45"/>
        <v/>
      </c>
      <c r="T274" s="175" t="str">
        <f t="shared" si="45"/>
        <v/>
      </c>
      <c r="U274" s="175" t="str">
        <f t="shared" si="45"/>
        <v/>
      </c>
      <c r="V274" s="175" t="str">
        <f t="shared" si="45"/>
        <v/>
      </c>
      <c r="W274" s="175" t="str">
        <f t="shared" si="45"/>
        <v/>
      </c>
      <c r="X274" s="175" t="str">
        <f t="shared" si="45"/>
        <v/>
      </c>
      <c r="Y274" s="175" t="str">
        <f t="shared" si="45"/>
        <v/>
      </c>
      <c r="Z274" s="175" t="str">
        <f t="shared" si="45"/>
        <v/>
      </c>
      <c r="AA274" s="175" t="str">
        <f t="shared" si="45"/>
        <v/>
      </c>
      <c r="AB274" s="175" t="str">
        <f t="shared" si="45"/>
        <v/>
      </c>
      <c r="AC274" s="175" t="str">
        <f t="shared" si="45"/>
        <v/>
      </c>
      <c r="AD274" s="175" t="str">
        <f t="shared" si="45"/>
        <v/>
      </c>
      <c r="AE274" s="175" t="str">
        <f t="shared" si="45"/>
        <v/>
      </c>
      <c r="AF274" s="175" t="str">
        <f t="shared" si="45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1497" priority="314">
      <formula>$AH11=0</formula>
    </cfRule>
  </conditionalFormatting>
  <conditionalFormatting sqref="B8 M8 S8 AB8">
    <cfRule type="expression" dxfId="1496" priority="566">
      <formula>AND(C$9&gt;=14/24,C$9&lt;20/24)</formula>
    </cfRule>
    <cfRule type="expression" dxfId="1495" priority="567">
      <formula>AND(C$9&gt;=8/24,C$9&lt;14/24)</formula>
    </cfRule>
    <cfRule type="expression" dxfId="1494" priority="568">
      <formula>C$9&lt;8/24</formula>
    </cfRule>
  </conditionalFormatting>
  <conditionalFormatting sqref="B55:D59">
    <cfRule type="expression" dxfId="1493" priority="59">
      <formula>B$9&gt;=20/24</formula>
    </cfRule>
    <cfRule type="expression" dxfId="1492" priority="60">
      <formula>AND(B$9&gt;=14/24,B$9&lt;20/24)</formula>
    </cfRule>
    <cfRule type="expression" dxfId="1491" priority="61">
      <formula>AND(B$9&gt;=8/24,B$9&lt;14/24)</formula>
    </cfRule>
    <cfRule type="expression" dxfId="1490" priority="62">
      <formula>B$9&lt;8/24</formula>
    </cfRule>
  </conditionalFormatting>
  <conditionalFormatting sqref="B73:D76">
    <cfRule type="expression" dxfId="1489" priority="9">
      <formula>B$9&lt;8/24</formula>
    </cfRule>
    <cfRule type="expression" dxfId="1488" priority="6">
      <formula>B$9&gt;=20/24</formula>
    </cfRule>
    <cfRule type="expression" dxfId="1487" priority="7">
      <formula>AND(B$9&gt;=14/24,B$9&lt;20/24)</formula>
    </cfRule>
    <cfRule type="expression" dxfId="1486" priority="8">
      <formula>AND(B$9&gt;=8/24,B$9&lt;14/24)</formula>
    </cfRule>
  </conditionalFormatting>
  <conditionalFormatting sqref="B11:U48 V12:Z46 V47:AF48 B49:AF53 B55:AF66 B77:L83">
    <cfRule type="expression" dxfId="1485" priority="1">
      <formula>B11&gt;$AG11</formula>
    </cfRule>
  </conditionalFormatting>
  <conditionalFormatting sqref="B11:U48 V12:Z46 V47:AF48 B51:AF53 B60:Z66 B77:L83">
    <cfRule type="expression" dxfId="1484" priority="2">
      <formula>B$9&gt;=20/24</formula>
    </cfRule>
    <cfRule type="expression" dxfId="1483" priority="3">
      <formula>AND(B$9&gt;=14/24,B$9&lt;20/24)</formula>
    </cfRule>
    <cfRule type="expression" dxfId="1482" priority="4">
      <formula>AND(B$9&gt;=8/24,B$9&lt;14/24)</formula>
    </cfRule>
    <cfRule type="expression" dxfId="1481" priority="5">
      <formula>B$9&lt;8/24</formula>
    </cfRule>
  </conditionalFormatting>
  <conditionalFormatting sqref="B9:AF10 B227:AF227 D229:AF230 B229:B235 D231:H231 J231:AF231 D232:AF235 U248:AF248">
    <cfRule type="expression" dxfId="1480" priority="559">
      <formula>B$9&gt;=20/24</formula>
    </cfRule>
    <cfRule type="expression" dxfId="1479" priority="560">
      <formula>AND(B$9&gt;=14/24,B$9&lt;20/24)</formula>
    </cfRule>
    <cfRule type="expression" dxfId="1478" priority="561">
      <formula>AND(B$9&gt;=8/24,B$9&lt;14/24)</formula>
    </cfRule>
    <cfRule type="expression" dxfId="1477" priority="562">
      <formula>B$9&lt;8/24</formula>
    </cfRule>
  </conditionalFormatting>
  <conditionalFormatting sqref="B49:AF49 B69:AF71">
    <cfRule type="expression" dxfId="1476" priority="67">
      <formula>B$9&lt;8/24</formula>
    </cfRule>
    <cfRule type="expression" dxfId="1475" priority="65">
      <formula>AND(B$9&gt;=14/24,B$9&lt;20/24)</formula>
    </cfRule>
    <cfRule type="expression" dxfId="1474" priority="66">
      <formula>AND(B$9&gt;=8/24,B$9&lt;14/24)</formula>
    </cfRule>
  </conditionalFormatting>
  <conditionalFormatting sqref="B69:AF71 B49:AF49">
    <cfRule type="expression" dxfId="1473" priority="64">
      <formula>B$9&gt;=20/24</formula>
    </cfRule>
  </conditionalFormatting>
  <conditionalFormatting sqref="B69:AF71">
    <cfRule type="expression" dxfId="1472" priority="63">
      <formula>B69&gt;$AG69</formula>
    </cfRule>
  </conditionalFormatting>
  <conditionalFormatting sqref="B84:AF91">
    <cfRule type="expression" dxfId="1471" priority="22">
      <formula>AND(B$9&gt;=8/24,B$9&lt;14/24)</formula>
    </cfRule>
    <cfRule type="expression" dxfId="1470" priority="23">
      <formula>B$9&lt;8/24</formula>
    </cfRule>
    <cfRule type="expression" dxfId="1469" priority="20">
      <formula>B$9&gt;=20/24</formula>
    </cfRule>
    <cfRule type="expression" dxfId="1468" priority="21">
      <formula>AND(B$9&gt;=14/24,B$9&lt;20/24)</formula>
    </cfRule>
  </conditionalFormatting>
  <conditionalFormatting sqref="B111:AF120">
    <cfRule type="expression" dxfId="1467" priority="11">
      <formula>AND(B$9&gt;=14/24,B$9&lt;20/24)</formula>
    </cfRule>
    <cfRule type="expression" dxfId="1466" priority="12">
      <formula>AND(B$9&gt;=8/24,B$9&lt;14/24)</formula>
    </cfRule>
    <cfRule type="expression" dxfId="1465" priority="13">
      <formula>B$9&lt;8/24</formula>
    </cfRule>
    <cfRule type="expression" dxfId="1464" priority="10">
      <formula>B$9&gt;=20/24</formula>
    </cfRule>
  </conditionalFormatting>
  <conditionalFormatting sqref="B54:AG54">
    <cfRule type="expression" dxfId="1463" priority="15">
      <formula>B54&gt;$AG54</formula>
    </cfRule>
    <cfRule type="expression" dxfId="1462" priority="16">
      <formula>B$9&gt;=20/24</formula>
    </cfRule>
    <cfRule type="expression" dxfId="1461" priority="17">
      <formula>AND(B$9&gt;=14/24,B$9&lt;20/24)</formula>
    </cfRule>
    <cfRule type="expression" dxfId="1460" priority="18">
      <formula>AND(B$9&gt;=8/24,B$9&lt;14/24)</formula>
    </cfRule>
    <cfRule type="expression" dxfId="1459" priority="19">
      <formula>B$9&lt;8/24</formula>
    </cfRule>
  </conditionalFormatting>
  <conditionalFormatting sqref="B67:AG68 B72:AG72">
    <cfRule type="expression" dxfId="1458" priority="24">
      <formula>B67&gt;$AG67</formula>
    </cfRule>
  </conditionalFormatting>
  <conditionalFormatting sqref="B72:AG72 B93:AF109">
    <cfRule type="expression" dxfId="1457" priority="28">
      <formula>B$9&lt;8/24</formula>
    </cfRule>
    <cfRule type="expression" dxfId="1456" priority="27">
      <formula>AND(B$9&gt;=8/24,B$9&lt;14/24)</formula>
    </cfRule>
    <cfRule type="expression" dxfId="1455" priority="26">
      <formula>AND(B$9&gt;=14/24,B$9&lt;20/24)</formula>
    </cfRule>
    <cfRule type="expression" dxfId="1454" priority="25">
      <formula>B$9&gt;=20/24</formula>
    </cfRule>
  </conditionalFormatting>
  <conditionalFormatting sqref="E55:L57">
    <cfRule type="expression" dxfId="1453" priority="497">
      <formula>E$9&gt;=20/24</formula>
    </cfRule>
    <cfRule type="expression" dxfId="1452" priority="500">
      <formula>E$9&lt;8/24</formula>
    </cfRule>
    <cfRule type="expression" dxfId="1451" priority="499">
      <formula>AND(E$9&gt;=8/24,E$9&lt;14/24)</formula>
    </cfRule>
    <cfRule type="expression" dxfId="1450" priority="498">
      <formula>AND(E$9&gt;=14/24,E$9&lt;20/24)</formula>
    </cfRule>
  </conditionalFormatting>
  <conditionalFormatting sqref="E76:P76 Q76:AF78 M77:P78">
    <cfRule type="expression" dxfId="1449" priority="431">
      <formula>AND(E$9&gt;=8/24,E$9&lt;14/24)</formula>
    </cfRule>
    <cfRule type="expression" dxfId="1448" priority="430">
      <formula>AND(E$9&gt;=14/24,E$9&lt;20/24)</formula>
    </cfRule>
    <cfRule type="expression" dxfId="1447" priority="429">
      <formula>E$9&gt;=20/24</formula>
    </cfRule>
    <cfRule type="expression" dxfId="1446" priority="432">
      <formula>E$9&lt;8/24</formula>
    </cfRule>
  </conditionalFormatting>
  <conditionalFormatting sqref="E73:AF75">
    <cfRule type="expression" dxfId="1445" priority="523">
      <formula>E$9&lt;8/24</formula>
    </cfRule>
    <cfRule type="expression" dxfId="1444" priority="522">
      <formula>AND(E$9&gt;=8/24,E$9&lt;14/24)</formula>
    </cfRule>
    <cfRule type="expression" dxfId="1443" priority="521">
      <formula>AND(E$9&gt;=14/24,E$9&lt;20/24)</formula>
    </cfRule>
    <cfRule type="expression" dxfId="1442" priority="520">
      <formula>E$9&gt;=20/24</formula>
    </cfRule>
  </conditionalFormatting>
  <conditionalFormatting sqref="M56:P58 Q56:Z59 O59:P59">
    <cfRule type="expression" dxfId="1441" priority="531">
      <formula>AND(M$9&gt;=8/24,M$9&lt;14/24)</formula>
    </cfRule>
    <cfRule type="expression" dxfId="1440" priority="530">
      <formula>AND(M$9&gt;=14/24,M$9&lt;20/24)</formula>
    </cfRule>
    <cfRule type="expression" dxfId="1439" priority="529">
      <formula>M$9&gt;=20/24</formula>
    </cfRule>
    <cfRule type="expression" dxfId="1438" priority="532">
      <formula>M$9&lt;8/24</formula>
    </cfRule>
  </conditionalFormatting>
  <conditionalFormatting sqref="M55:Z55">
    <cfRule type="expression" dxfId="1437" priority="528">
      <formula>M$9&lt;8/24</formula>
    </cfRule>
    <cfRule type="expression" dxfId="1436" priority="527">
      <formula>AND(M$9&gt;=8/24,M$9&lt;14/24)</formula>
    </cfRule>
    <cfRule type="expression" dxfId="1435" priority="526">
      <formula>AND(M$9&gt;=14/24,M$9&lt;20/24)</formula>
    </cfRule>
    <cfRule type="expression" dxfId="1434" priority="525">
      <formula>M$9&gt;=20/24</formula>
    </cfRule>
  </conditionalFormatting>
  <conditionalFormatting sqref="M79:AF83">
    <cfRule type="expression" dxfId="1433" priority="388">
      <formula>AND(M$9&gt;=14/24,M$9&lt;20/24)</formula>
    </cfRule>
    <cfRule type="expression" dxfId="1432" priority="389">
      <formula>AND(M$9&gt;=8/24,M$9&lt;14/24)</formula>
    </cfRule>
    <cfRule type="expression" dxfId="1431" priority="390">
      <formula>M$9&lt;8/24</formula>
    </cfRule>
    <cfRule type="expression" dxfId="1430" priority="387">
      <formula>M$9&gt;=20/24</formula>
    </cfRule>
  </conditionalFormatting>
  <conditionalFormatting sqref="O3:P3">
    <cfRule type="iconSet" priority="563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429" priority="565">
      <formula>C$9&gt;=20/24</formula>
    </cfRule>
  </conditionalFormatting>
  <conditionalFormatting sqref="S8">
    <cfRule type="expression" dxfId="1428" priority="539">
      <formula>AND(U$9&gt;=14/24,U$9&lt;20/24)</formula>
    </cfRule>
    <cfRule type="expression" dxfId="1427" priority="540">
      <formula>AND(U$9&gt;=8/24,U$9&lt;14/24)</formula>
    </cfRule>
    <cfRule type="expression" dxfId="1426" priority="541">
      <formula>U$9&lt;8/24</formula>
    </cfRule>
    <cfRule type="expression" dxfId="1425" priority="538">
      <formula>U$9&gt;=20/24</formula>
    </cfRule>
  </conditionalFormatting>
  <conditionalFormatting sqref="T248">
    <cfRule type="expression" dxfId="1424" priority="581">
      <formula>AX$9&lt;8/24</formula>
    </cfRule>
    <cfRule type="expression" dxfId="1423" priority="580">
      <formula>AND(AX$9&gt;=8/24,AX$9&lt;14/24)</formula>
    </cfRule>
    <cfRule type="expression" dxfId="1422" priority="579">
      <formula>AND(AX$9&gt;=14/24,AX$9&lt;20/24)</formula>
    </cfRule>
    <cfRule type="expression" dxfId="1421" priority="578">
      <formula>AX$9&gt;=20/24</formula>
    </cfRule>
  </conditionalFormatting>
  <conditionalFormatting sqref="V3 AB3">
    <cfRule type="iconSet" priority="564">
      <iconSet iconSet="3TrafficLights2" reverse="1">
        <cfvo type="percent" val="0"/>
        <cfvo type="num" val="1"/>
        <cfvo type="num" val="1"/>
      </iconSet>
    </cfRule>
  </conditionalFormatting>
  <conditionalFormatting sqref="V11:AF11">
    <cfRule type="expression" dxfId="1420" priority="330">
      <formula>V11&gt;$AG11</formula>
    </cfRule>
    <cfRule type="expression" dxfId="1419" priority="331">
      <formula>V$9&gt;=20/24</formula>
    </cfRule>
    <cfRule type="expression" dxfId="1418" priority="332">
      <formula>AND(V$9&gt;=14/24,V$9&lt;20/24)</formula>
    </cfRule>
    <cfRule type="expression" dxfId="1417" priority="333">
      <formula>AND(V$9&gt;=8/24,V$9&lt;14/24)</formula>
    </cfRule>
    <cfRule type="expression" dxfId="1416" priority="334">
      <formula>V$9&lt;8/24</formula>
    </cfRule>
  </conditionalFormatting>
  <conditionalFormatting sqref="AA12:AF31">
    <cfRule type="expression" dxfId="1415" priority="249">
      <formula>AA$9&gt;=20/24</formula>
    </cfRule>
    <cfRule type="expression" dxfId="1414" priority="250">
      <formula>AND(AA$9&gt;=14/24,AA$9&lt;20/24)</formula>
    </cfRule>
    <cfRule type="expression" dxfId="1413" priority="252">
      <formula>AA$9&lt;8/24</formula>
    </cfRule>
    <cfRule type="expression" dxfId="1412" priority="248">
      <formula>AA12&gt;$AG12</formula>
    </cfRule>
    <cfRule type="expression" dxfId="1411" priority="251">
      <formula>AND(AA$9&gt;=8/24,AA$9&lt;14/24)</formula>
    </cfRule>
  </conditionalFormatting>
  <conditionalFormatting sqref="AA32:AF45">
    <cfRule type="expression" dxfId="1410" priority="317">
      <formula>AA$9&gt;=20/24</formula>
    </cfRule>
    <cfRule type="expression" dxfId="1409" priority="320">
      <formula>AA$9&lt;8/24</formula>
    </cfRule>
    <cfRule type="expression" dxfId="1408" priority="319">
      <formula>AND(AA$9&gt;=8/24,AA$9&lt;14/24)</formula>
    </cfRule>
    <cfRule type="expression" dxfId="1407" priority="318">
      <formula>AND(AA$9&gt;=14/24,AA$9&lt;20/24)</formula>
    </cfRule>
  </conditionalFormatting>
  <conditionalFormatting sqref="AA32:AF46">
    <cfRule type="expression" dxfId="1406" priority="313">
      <formula>AA32&gt;$AG32</formula>
    </cfRule>
  </conditionalFormatting>
  <conditionalFormatting sqref="AA46:AF46">
    <cfRule type="expression" dxfId="1405" priority="310">
      <formula>AND(AA$9&gt;=14/24,AA$9&lt;20/24)</formula>
    </cfRule>
    <cfRule type="expression" dxfId="1404" priority="309">
      <formula>AA$9&gt;=20/24</formula>
    </cfRule>
    <cfRule type="expression" dxfId="1403" priority="311">
      <formula>AND(AA$9&gt;=8/24,AA$9&lt;14/24)</formula>
    </cfRule>
    <cfRule type="expression" dxfId="1402" priority="312">
      <formula>AA$9&lt;8/24</formula>
    </cfRule>
  </conditionalFormatting>
  <conditionalFormatting sqref="AA55:AF66">
    <cfRule type="expression" dxfId="1401" priority="405">
      <formula>AA$9&lt;8/24</formula>
    </cfRule>
    <cfRule type="expression" dxfId="1400" priority="404">
      <formula>AND(AA$9&gt;=8/24,AA$9&lt;14/24)</formula>
    </cfRule>
    <cfRule type="expression" dxfId="1399" priority="403">
      <formula>AND(AA$9&gt;=14/24,AA$9&lt;20/24)</formula>
    </cfRule>
    <cfRule type="expression" dxfId="1398" priority="402">
      <formula>AA$9&gt;=20/24</formula>
    </cfRule>
  </conditionalFormatting>
  <conditionalFormatting sqref="AB8">
    <cfRule type="expression" dxfId="1397" priority="534">
      <formula>AD$9&gt;=20/24</formula>
    </cfRule>
    <cfRule type="expression" dxfId="1396" priority="536">
      <formula>AND(AD$9&gt;=8/24,AD$9&lt;14/24)</formula>
    </cfRule>
    <cfRule type="expression" dxfId="1395" priority="535">
      <formula>AND(AD$9&gt;=14/24,AD$9&lt;20/24)</formula>
    </cfRule>
    <cfRule type="expression" dxfId="1394" priority="537">
      <formula>AD$9&lt;8/24</formula>
    </cfRule>
  </conditionalFormatting>
  <conditionalFormatting sqref="AG50">
    <cfRule type="expression" dxfId="1393" priority="491">
      <formula>AG50&gt;$AG50</formula>
    </cfRule>
  </conditionalFormatting>
  <conditionalFormatting sqref="AG89">
    <cfRule type="expression" dxfId="1392" priority="494">
      <formula>AND(AG$9&gt;=8/24,AG$9&lt;14/24)</formula>
    </cfRule>
    <cfRule type="expression" dxfId="1391" priority="495">
      <formula>AG$9&lt;8/24</formula>
    </cfRule>
    <cfRule type="expression" dxfId="1390" priority="492">
      <formula>AG$9&gt;=20/24</formula>
    </cfRule>
    <cfRule type="expression" dxfId="1389" priority="493">
      <formula>AND(AG$9&gt;=14/24,AG$9&lt;20/24)</formula>
    </cfRule>
  </conditionalFormatting>
  <conditionalFormatting sqref="AG248">
    <cfRule type="expression" dxfId="1388" priority="570">
      <formula>B$9&gt;=20/24</formula>
    </cfRule>
    <cfRule type="expression" dxfId="1387" priority="571">
      <formula>AND(B$9&gt;=14/24,B$9&lt;20/24)</formula>
    </cfRule>
    <cfRule type="expression" dxfId="1386" priority="572">
      <formula>AND(B$9&gt;=8/24,B$9&lt;14/24)</formula>
    </cfRule>
    <cfRule type="expression" dxfId="1385" priority="573">
      <formula>B$9&lt;8/24</formula>
    </cfRule>
  </conditionalFormatting>
  <conditionalFormatting sqref="AH248:AX248">
    <cfRule type="expression" dxfId="1384" priority="574">
      <formula>AG$9&gt;=20/24</formula>
    </cfRule>
    <cfRule type="expression" dxfId="1383" priority="575">
      <formula>AND(AG$9&gt;=14/24,AG$9&lt;20/24)</formula>
    </cfRule>
    <cfRule type="expression" dxfId="1382" priority="576">
      <formula>AND(AG$9&gt;=8/24,AG$9&lt;14/24)</formula>
    </cfRule>
    <cfRule type="expression" dxfId="1381" priority="577">
      <formula>AG$9&lt;8/24</formula>
    </cfRule>
  </conditionalFormatting>
  <conditionalFormatting sqref="AL4:AL6">
    <cfRule type="iconSet" priority="558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329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457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455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46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554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542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31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582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380" priority="583">
      <formula>AJ$9&gt;=20/24</formula>
    </cfRule>
    <cfRule type="expression" dxfId="1379" priority="584">
      <formula>AND(AJ$9&gt;=14/24,AJ$9&lt;20/24)</formula>
    </cfRule>
    <cfRule type="expression" dxfId="1378" priority="585">
      <formula>AND(AJ$9&gt;=8/24,AJ$9&lt;14/24)</formula>
    </cfRule>
    <cfRule type="expression" dxfId="1377" priority="586">
      <formula>AJ$9&lt;8/24</formula>
    </cfRule>
  </conditionalFormatting>
  <conditionalFormatting sqref="AL80:AN80 AL86:AN86">
    <cfRule type="expression" dxfId="1376" priority="384">
      <formula>AND(AL$9&gt;=14/24,AL$9&lt;20/24)</formula>
    </cfRule>
    <cfRule type="expression" dxfId="1375" priority="383">
      <formula>AL$9&gt;=20/24</formula>
    </cfRule>
    <cfRule type="expression" dxfId="1374" priority="385">
      <formula>AND(AL$9&gt;=8/24,AL$9&lt;14/24)</formula>
    </cfRule>
    <cfRule type="expression" dxfId="1373" priority="386">
      <formula>AL$9&lt;8/24</formula>
    </cfRule>
  </conditionalFormatting>
  <conditionalFormatting sqref="AN81:AN84">
    <cfRule type="expression" dxfId="1372" priority="379">
      <formula>AN$9&gt;=20/24</formula>
    </cfRule>
    <cfRule type="expression" dxfId="1371" priority="380">
      <formula>AND(AN$9&gt;=14/24,AN$9&lt;20/24)</formula>
    </cfRule>
    <cfRule type="expression" dxfId="1370" priority="381">
      <formula>AND(AN$9&gt;=8/24,AN$9&lt;14/24)</formula>
    </cfRule>
    <cfRule type="expression" dxfId="1369" priority="382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8F51-AF20-40FB-BC64-CE4284A6762B}">
  <dimension ref="A1:CJ281"/>
  <sheetViews>
    <sheetView zoomScale="90" zoomScaleNormal="90" workbookViewId="0">
      <pane xSplit="1" ySplit="10" topLeftCell="G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E37" sqref="AE3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2080/03/13</v>
      </c>
      <c r="C4" s="187"/>
      <c r="D4" s="187"/>
      <c r="E4" s="188" t="str">
        <f ca="1">"2079/"&amp;"12/"&amp;INT(MID(CELL("filename",G6),FIND("]",CELL("filename",G6))+1,200))</f>
        <v>2079/12/13</v>
      </c>
      <c r="F4" s="188"/>
      <c r="G4" s="188"/>
      <c r="H4" s="188" t="str">
        <f ca="1">TEXT(E4,"dddd")</f>
        <v>Wednesday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80.099999999999994</v>
      </c>
      <c r="C5" s="30">
        <f t="shared" si="0"/>
        <v>83.1</v>
      </c>
      <c r="D5" s="30">
        <f t="shared" si="0"/>
        <v>56.4</v>
      </c>
      <c r="E5" s="30">
        <f t="shared" si="0"/>
        <v>48</v>
      </c>
      <c r="F5" s="30">
        <f t="shared" si="0"/>
        <v>50.4</v>
      </c>
      <c r="G5" s="30">
        <f t="shared" si="0"/>
        <v>54</v>
      </c>
      <c r="H5" s="30">
        <f t="shared" si="0"/>
        <v>48</v>
      </c>
      <c r="I5" s="30">
        <f t="shared" si="0"/>
        <v>52.6</v>
      </c>
      <c r="J5" s="30">
        <f t="shared" si="0"/>
        <v>77.099999999999994</v>
      </c>
      <c r="K5" s="30">
        <f t="shared" si="0"/>
        <v>68.900000000000006</v>
      </c>
      <c r="L5" s="30">
        <f t="shared" si="0"/>
        <v>45.1</v>
      </c>
      <c r="M5" s="30">
        <f t="shared" si="0"/>
        <v>44.9</v>
      </c>
      <c r="N5" s="30">
        <f t="shared" si="0"/>
        <v>55.5</v>
      </c>
      <c r="O5" s="30">
        <f t="shared" si="0"/>
        <v>55.2</v>
      </c>
      <c r="P5" s="30">
        <f t="shared" si="0"/>
        <v>48.6</v>
      </c>
      <c r="Q5" s="30">
        <f t="shared" si="0"/>
        <v>58.199999999999996</v>
      </c>
      <c r="R5" s="30">
        <f t="shared" si="0"/>
        <v>64.2</v>
      </c>
      <c r="S5" s="30">
        <f t="shared" si="0"/>
        <v>59</v>
      </c>
      <c r="T5" s="30">
        <f t="shared" si="0"/>
        <v>89.3</v>
      </c>
      <c r="U5" s="30">
        <f t="shared" si="0"/>
        <v>46.1</v>
      </c>
      <c r="V5" s="30">
        <f t="shared" si="0"/>
        <v>46.1</v>
      </c>
      <c r="W5" s="30">
        <f t="shared" si="0"/>
        <v>45.7</v>
      </c>
      <c r="X5" s="30">
        <f t="shared" si="0"/>
        <v>88.9</v>
      </c>
      <c r="Y5" s="30">
        <f t="shared" si="0"/>
        <v>53.2</v>
      </c>
      <c r="Z5" s="30">
        <f t="shared" si="0"/>
        <v>82</v>
      </c>
      <c r="AA5" s="30">
        <f t="shared" si="0"/>
        <v>23</v>
      </c>
      <c r="AB5" s="30">
        <f t="shared" si="0"/>
        <v>23</v>
      </c>
      <c r="AC5" s="30">
        <f t="shared" si="0"/>
        <v>73</v>
      </c>
      <c r="AD5" s="30">
        <f t="shared" si="0"/>
        <v>64</v>
      </c>
      <c r="AE5" s="30">
        <f t="shared" si="0"/>
        <v>65</v>
      </c>
      <c r="AF5" s="30">
        <f>B84</f>
        <v>50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1947MW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Load=1806</v>
      </c>
      <c r="B7" s="35">
        <f t="shared" ref="B7:AF7" si="1">B91</f>
        <v>1941.89</v>
      </c>
      <c r="C7" s="35">
        <f t="shared" si="1"/>
        <v>1806.0900000000001</v>
      </c>
      <c r="D7" s="35">
        <f t="shared" si="1"/>
        <v>1809.0900000000001</v>
      </c>
      <c r="E7" s="35">
        <f t="shared" si="1"/>
        <v>1816.4900000000002</v>
      </c>
      <c r="F7" s="35">
        <f t="shared" si="1"/>
        <v>1838.89</v>
      </c>
      <c r="G7" s="35">
        <f t="shared" si="1"/>
        <v>1833.6900000000003</v>
      </c>
      <c r="H7" s="35">
        <f t="shared" si="1"/>
        <v>1850.4900000000002</v>
      </c>
      <c r="I7" s="35">
        <f t="shared" si="1"/>
        <v>1865.9900000000002</v>
      </c>
      <c r="J7" s="35">
        <f t="shared" si="1"/>
        <v>1913.9899999999998</v>
      </c>
      <c r="K7" s="35">
        <f t="shared" si="1"/>
        <v>1947.4899999999998</v>
      </c>
      <c r="L7" s="35">
        <f t="shared" si="1"/>
        <v>1939.29</v>
      </c>
      <c r="M7" s="35">
        <f t="shared" si="1"/>
        <v>1940.3899999999999</v>
      </c>
      <c r="N7" s="35">
        <f>N91</f>
        <v>1903.7500000000002</v>
      </c>
      <c r="O7" s="35">
        <f t="shared" si="1"/>
        <v>1927.15</v>
      </c>
      <c r="P7" s="35">
        <f t="shared" si="1"/>
        <v>1960.2500000000002</v>
      </c>
      <c r="Q7" s="35">
        <f t="shared" si="1"/>
        <v>1952.65</v>
      </c>
      <c r="R7" s="35">
        <f t="shared" si="1"/>
        <v>1975.7500000000002</v>
      </c>
      <c r="S7" s="35">
        <f t="shared" si="1"/>
        <v>1992.65</v>
      </c>
      <c r="T7" s="35">
        <f t="shared" si="1"/>
        <v>1955.05</v>
      </c>
      <c r="U7" s="35">
        <f t="shared" si="1"/>
        <v>1944.6499999999999</v>
      </c>
      <c r="V7" s="35">
        <f t="shared" si="1"/>
        <v>1928.25</v>
      </c>
      <c r="W7" s="35">
        <f t="shared" si="1"/>
        <v>1925.15</v>
      </c>
      <c r="X7" s="35">
        <f t="shared" si="1"/>
        <v>1871.1499999999999</v>
      </c>
      <c r="Y7" s="35">
        <f t="shared" si="1"/>
        <v>1875.0500000000002</v>
      </c>
      <c r="Z7" s="35">
        <f t="shared" si="1"/>
        <v>1875.55</v>
      </c>
      <c r="AA7" s="35">
        <f t="shared" si="1"/>
        <v>2038.45</v>
      </c>
      <c r="AB7" s="35">
        <f t="shared" si="1"/>
        <v>1972.95</v>
      </c>
      <c r="AC7" s="35">
        <f t="shared" si="1"/>
        <v>1970.95</v>
      </c>
      <c r="AD7" s="35">
        <f t="shared" si="1"/>
        <v>1989.8500000000001</v>
      </c>
      <c r="AE7" s="35">
        <f t="shared" si="1"/>
        <v>1963.8500000000001</v>
      </c>
      <c r="AF7" s="35">
        <f t="shared" si="1"/>
        <v>1968.95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60.5</v>
      </c>
      <c r="C11" s="45">
        <v>60.5</v>
      </c>
      <c r="D11" s="45">
        <v>60.5</v>
      </c>
      <c r="E11" s="45">
        <v>60.5</v>
      </c>
      <c r="F11" s="45">
        <v>60.7</v>
      </c>
      <c r="G11" s="45">
        <v>60.7</v>
      </c>
      <c r="H11" s="45">
        <v>60.7</v>
      </c>
      <c r="I11" s="45">
        <v>60.7</v>
      </c>
      <c r="J11" s="45">
        <v>60.7</v>
      </c>
      <c r="K11" s="45">
        <v>60.7</v>
      </c>
      <c r="L11" s="45">
        <v>60.7</v>
      </c>
      <c r="M11" s="45">
        <v>60.7</v>
      </c>
      <c r="N11" s="45">
        <v>60.6</v>
      </c>
      <c r="O11" s="45">
        <v>60.6</v>
      </c>
      <c r="P11" s="45">
        <v>55.9</v>
      </c>
      <c r="Q11" s="45">
        <v>55.9</v>
      </c>
      <c r="R11" s="45">
        <v>55.9</v>
      </c>
      <c r="S11" s="45">
        <v>55.9</v>
      </c>
      <c r="T11" s="45">
        <v>55.9</v>
      </c>
      <c r="U11" s="45">
        <v>55.9</v>
      </c>
      <c r="V11" s="45">
        <v>55.9</v>
      </c>
      <c r="W11" s="45">
        <v>55.9</v>
      </c>
      <c r="X11" s="45">
        <v>55.9</v>
      </c>
      <c r="Y11" s="45">
        <v>55.9</v>
      </c>
      <c r="Z11" s="45">
        <v>55.9</v>
      </c>
      <c r="AA11" s="45">
        <v>55.9</v>
      </c>
      <c r="AB11" s="45">
        <v>55.9</v>
      </c>
      <c r="AC11" s="45">
        <v>55.9</v>
      </c>
      <c r="AD11" s="45">
        <v>55.9</v>
      </c>
      <c r="AE11" s="45">
        <v>55.9</v>
      </c>
      <c r="AF11" s="45">
        <v>60</v>
      </c>
      <c r="AG11" s="46">
        <v>86</v>
      </c>
      <c r="AH11" s="47">
        <f t="shared" ref="AH11:AH76" si="2">MAX(B11:AF11)</f>
        <v>60.7</v>
      </c>
      <c r="AI11" s="48">
        <f t="shared" ref="AI11:AI76" si="3">MIN(B11:AF11)</f>
        <v>55.9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21</v>
      </c>
      <c r="C12" s="45">
        <v>21</v>
      </c>
      <c r="D12" s="45">
        <v>21</v>
      </c>
      <c r="E12" s="45">
        <v>21</v>
      </c>
      <c r="F12" s="45">
        <v>21</v>
      </c>
      <c r="G12" s="45">
        <v>21</v>
      </c>
      <c r="H12" s="45">
        <v>21</v>
      </c>
      <c r="I12" s="45">
        <v>21</v>
      </c>
      <c r="J12" s="45">
        <v>24</v>
      </c>
      <c r="K12" s="45">
        <v>24</v>
      </c>
      <c r="L12" s="45">
        <v>24</v>
      </c>
      <c r="M12" s="45">
        <v>24</v>
      </c>
      <c r="N12" s="45">
        <v>25</v>
      </c>
      <c r="O12" s="45">
        <v>25</v>
      </c>
      <c r="P12" s="45">
        <v>25</v>
      </c>
      <c r="Q12" s="45">
        <v>25</v>
      </c>
      <c r="R12" s="45">
        <v>25</v>
      </c>
      <c r="S12" s="45">
        <v>25</v>
      </c>
      <c r="T12" s="45">
        <v>25</v>
      </c>
      <c r="U12" s="45">
        <v>25</v>
      </c>
      <c r="V12" s="45">
        <v>25</v>
      </c>
      <c r="W12" s="45">
        <v>25</v>
      </c>
      <c r="X12" s="45">
        <v>25</v>
      </c>
      <c r="Y12" s="45">
        <v>8</v>
      </c>
      <c r="Z12" s="45">
        <v>8</v>
      </c>
      <c r="AA12" s="45">
        <v>27</v>
      </c>
      <c r="AB12" s="45">
        <v>27</v>
      </c>
      <c r="AC12" s="45">
        <v>27</v>
      </c>
      <c r="AD12" s="45">
        <v>27</v>
      </c>
      <c r="AE12" s="45">
        <v>27</v>
      </c>
      <c r="AF12" s="45">
        <v>27</v>
      </c>
      <c r="AG12" s="49">
        <v>54</v>
      </c>
      <c r="AH12" s="47">
        <f t="shared" si="2"/>
        <v>27</v>
      </c>
      <c r="AI12" s="48">
        <f t="shared" si="3"/>
        <v>8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54.4</v>
      </c>
      <c r="C13" s="45">
        <v>54.4</v>
      </c>
      <c r="D13" s="45">
        <v>54.4</v>
      </c>
      <c r="E13" s="45">
        <v>54.4</v>
      </c>
      <c r="F13" s="45">
        <v>54.5</v>
      </c>
      <c r="G13" s="45">
        <v>54.5</v>
      </c>
      <c r="H13" s="45">
        <v>54.5</v>
      </c>
      <c r="I13" s="45">
        <v>54.5</v>
      </c>
      <c r="J13" s="45">
        <v>54.5</v>
      </c>
      <c r="K13" s="45">
        <v>54.5</v>
      </c>
      <c r="L13" s="45">
        <v>54.5</v>
      </c>
      <c r="M13" s="45">
        <v>54.5</v>
      </c>
      <c r="N13" s="45">
        <v>54.4</v>
      </c>
      <c r="O13" s="45">
        <v>54.4</v>
      </c>
      <c r="P13" s="45">
        <v>54.4</v>
      </c>
      <c r="Q13" s="45">
        <v>54.4</v>
      </c>
      <c r="R13" s="45">
        <v>54.4</v>
      </c>
      <c r="S13" s="45">
        <v>54.4</v>
      </c>
      <c r="T13" s="45">
        <v>54.4</v>
      </c>
      <c r="U13" s="45">
        <v>54.4</v>
      </c>
      <c r="V13" s="45">
        <v>54.4</v>
      </c>
      <c r="W13" s="45">
        <v>54.4</v>
      </c>
      <c r="X13" s="45">
        <v>54.4</v>
      </c>
      <c r="Y13" s="45">
        <v>54.4</v>
      </c>
      <c r="Z13" s="45">
        <v>54.4</v>
      </c>
      <c r="AA13" s="45">
        <v>54.4</v>
      </c>
      <c r="AB13" s="45">
        <v>54.4</v>
      </c>
      <c r="AC13" s="45">
        <v>54.4</v>
      </c>
      <c r="AD13" s="45">
        <v>54.4</v>
      </c>
      <c r="AE13" s="45">
        <v>54.4</v>
      </c>
      <c r="AF13" s="45">
        <v>54.4</v>
      </c>
      <c r="AG13" s="46">
        <v>52.4</v>
      </c>
      <c r="AH13" s="47">
        <f t="shared" si="2"/>
        <v>54.5</v>
      </c>
      <c r="AI13" s="48">
        <f t="shared" si="3"/>
        <v>54.4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50.4</v>
      </c>
      <c r="C14" s="50">
        <v>50.4</v>
      </c>
      <c r="D14" s="50">
        <v>50.4</v>
      </c>
      <c r="E14" s="50">
        <v>50.4</v>
      </c>
      <c r="F14" s="50">
        <v>50.5</v>
      </c>
      <c r="G14" s="50">
        <v>50.5</v>
      </c>
      <c r="H14" s="50">
        <v>50.5</v>
      </c>
      <c r="I14" s="50">
        <v>50.5</v>
      </c>
      <c r="J14" s="50">
        <v>50.5</v>
      </c>
      <c r="K14" s="50">
        <v>50.5</v>
      </c>
      <c r="L14" s="50">
        <v>50.5</v>
      </c>
      <c r="M14" s="50">
        <v>50.5</v>
      </c>
      <c r="N14" s="50">
        <v>50.5</v>
      </c>
      <c r="O14" s="50">
        <v>50.5</v>
      </c>
      <c r="P14" s="50">
        <v>50.5</v>
      </c>
      <c r="Q14" s="50">
        <v>50.5</v>
      </c>
      <c r="R14" s="50">
        <v>50.5</v>
      </c>
      <c r="S14" s="50">
        <v>50.5</v>
      </c>
      <c r="T14" s="50">
        <v>50.5</v>
      </c>
      <c r="U14" s="50">
        <v>50.5</v>
      </c>
      <c r="V14" s="50">
        <v>50.5</v>
      </c>
      <c r="W14" s="50">
        <v>50.5</v>
      </c>
      <c r="X14" s="50">
        <v>50.5</v>
      </c>
      <c r="Y14" s="50">
        <v>50.5</v>
      </c>
      <c r="Z14" s="50">
        <v>50.5</v>
      </c>
      <c r="AA14" s="45">
        <v>50.5</v>
      </c>
      <c r="AB14" s="45">
        <v>50.5</v>
      </c>
      <c r="AC14" s="45">
        <v>50.5</v>
      </c>
      <c r="AD14" s="45">
        <v>50.5</v>
      </c>
      <c r="AE14" s="45">
        <v>50.5</v>
      </c>
      <c r="AF14" s="45">
        <v>50.5</v>
      </c>
      <c r="AG14" s="49">
        <v>50</v>
      </c>
      <c r="AH14" s="47">
        <f t="shared" si="2"/>
        <v>50.5</v>
      </c>
      <c r="AI14" s="48">
        <f t="shared" si="3"/>
        <v>50.4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45.9</v>
      </c>
      <c r="C15" s="45">
        <v>36</v>
      </c>
      <c r="D15" s="45">
        <v>36</v>
      </c>
      <c r="E15" s="45">
        <v>24</v>
      </c>
      <c r="F15" s="45">
        <v>36.299999999999997</v>
      </c>
      <c r="G15" s="45">
        <v>36.299999999999997</v>
      </c>
      <c r="H15" s="45">
        <v>36.299999999999997</v>
      </c>
      <c r="I15" s="45">
        <v>36.9</v>
      </c>
      <c r="J15" s="45">
        <v>45.8</v>
      </c>
      <c r="K15" s="45">
        <v>45.8</v>
      </c>
      <c r="L15" s="45">
        <v>45.8</v>
      </c>
      <c r="M15" s="45">
        <v>45.8</v>
      </c>
      <c r="N15" s="45">
        <v>45.8</v>
      </c>
      <c r="O15" s="45">
        <v>45.8</v>
      </c>
      <c r="P15" s="45">
        <v>45.8</v>
      </c>
      <c r="Q15" s="45">
        <v>45.8</v>
      </c>
      <c r="R15" s="45">
        <v>45.8</v>
      </c>
      <c r="S15" s="45">
        <v>45.8</v>
      </c>
      <c r="T15" s="45">
        <v>45.8</v>
      </c>
      <c r="U15" s="45">
        <v>45.8</v>
      </c>
      <c r="V15" s="45">
        <v>45.8</v>
      </c>
      <c r="W15" s="45">
        <v>45.8</v>
      </c>
      <c r="X15" s="45">
        <v>45.8</v>
      </c>
      <c r="Y15" s="45">
        <v>45.8</v>
      </c>
      <c r="Z15" s="45">
        <v>45.8</v>
      </c>
      <c r="AA15" s="45">
        <v>45.8</v>
      </c>
      <c r="AB15" s="45">
        <v>45.8</v>
      </c>
      <c r="AC15" s="45">
        <v>45.8</v>
      </c>
      <c r="AD15" s="45">
        <v>45.8</v>
      </c>
      <c r="AE15" s="45">
        <v>45.8</v>
      </c>
      <c r="AF15" s="45">
        <v>45.8</v>
      </c>
      <c r="AG15" s="49">
        <v>45</v>
      </c>
      <c r="AH15" s="47">
        <f t="shared" si="2"/>
        <v>45.9</v>
      </c>
      <c r="AI15" s="48">
        <f t="shared" si="3"/>
        <v>24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9">
        <v>44</v>
      </c>
      <c r="AH16" s="47">
        <f>MAX(B16:AG16)</f>
        <v>44</v>
      </c>
      <c r="AI16" s="48">
        <f>MIN(B16:AG16)</f>
        <v>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0</v>
      </c>
      <c r="C17" s="45">
        <v>0</v>
      </c>
      <c r="D17" s="45">
        <v>0</v>
      </c>
      <c r="E17" s="45">
        <v>34</v>
      </c>
      <c r="F17" s="45">
        <v>34</v>
      </c>
      <c r="G17" s="45">
        <v>34</v>
      </c>
      <c r="H17" s="45">
        <v>39</v>
      </c>
      <c r="I17" s="45">
        <v>39</v>
      </c>
      <c r="J17" s="45">
        <v>39</v>
      </c>
      <c r="K17" s="45">
        <v>39</v>
      </c>
      <c r="L17" s="45">
        <v>39</v>
      </c>
      <c r="M17" s="45">
        <v>39</v>
      </c>
      <c r="N17" s="45">
        <v>31</v>
      </c>
      <c r="O17" s="45">
        <v>31</v>
      </c>
      <c r="P17" s="45">
        <v>40.5</v>
      </c>
      <c r="Q17" s="45">
        <v>40.5</v>
      </c>
      <c r="R17" s="45">
        <v>40.5</v>
      </c>
      <c r="S17" s="45">
        <v>40.5</v>
      </c>
      <c r="T17" s="45">
        <v>40.5</v>
      </c>
      <c r="U17" s="45">
        <v>40.5</v>
      </c>
      <c r="V17" s="45">
        <v>38</v>
      </c>
      <c r="W17" s="45">
        <v>38</v>
      </c>
      <c r="X17" s="45">
        <v>38</v>
      </c>
      <c r="Y17" s="45">
        <v>29</v>
      </c>
      <c r="Z17" s="45">
        <v>38.5</v>
      </c>
      <c r="AA17" s="45">
        <v>38.5</v>
      </c>
      <c r="AB17" s="45">
        <v>42</v>
      </c>
      <c r="AC17" s="45">
        <v>42</v>
      </c>
      <c r="AD17" s="45">
        <v>42</v>
      </c>
      <c r="AE17" s="45">
        <v>41</v>
      </c>
      <c r="AF17" s="45">
        <v>41</v>
      </c>
      <c r="AG17" s="49">
        <v>42</v>
      </c>
      <c r="AH17" s="47">
        <f t="shared" si="2"/>
        <v>42</v>
      </c>
      <c r="AI17" s="48">
        <f t="shared" si="3"/>
        <v>0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0</v>
      </c>
      <c r="C19" s="45">
        <v>15</v>
      </c>
      <c r="D19" s="45">
        <v>15</v>
      </c>
      <c r="E19" s="45">
        <v>15</v>
      </c>
      <c r="F19" s="45">
        <v>24</v>
      </c>
      <c r="G19" s="45">
        <v>24</v>
      </c>
      <c r="H19" s="45">
        <v>30</v>
      </c>
      <c r="I19" s="45">
        <v>30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5</v>
      </c>
      <c r="C20" s="45">
        <v>5</v>
      </c>
      <c r="D20" s="45">
        <v>5</v>
      </c>
      <c r="E20" s="45">
        <v>5</v>
      </c>
      <c r="F20" s="45">
        <v>5.6</v>
      </c>
      <c r="G20" s="45">
        <v>5.6</v>
      </c>
      <c r="H20" s="45">
        <v>5.6</v>
      </c>
      <c r="I20" s="45">
        <v>10</v>
      </c>
      <c r="J20" s="45">
        <v>25</v>
      </c>
      <c r="K20" s="45">
        <v>25</v>
      </c>
      <c r="L20" s="45">
        <v>25</v>
      </c>
      <c r="M20" s="45">
        <v>25</v>
      </c>
      <c r="N20" s="45">
        <v>15.6</v>
      </c>
      <c r="O20" s="45">
        <v>15.6</v>
      </c>
      <c r="P20" s="45">
        <v>19.8</v>
      </c>
      <c r="Q20" s="45">
        <v>19.8</v>
      </c>
      <c r="R20" s="45">
        <v>20.3</v>
      </c>
      <c r="S20" s="45">
        <v>20.3</v>
      </c>
      <c r="T20" s="45">
        <v>20.3</v>
      </c>
      <c r="U20" s="45">
        <v>20.3</v>
      </c>
      <c r="V20" s="45">
        <v>20.3</v>
      </c>
      <c r="W20" s="45">
        <v>20.3</v>
      </c>
      <c r="X20" s="45">
        <v>20.3</v>
      </c>
      <c r="Y20" s="45">
        <v>5</v>
      </c>
      <c r="Z20" s="45">
        <v>10</v>
      </c>
      <c r="AA20" s="45">
        <v>30</v>
      </c>
      <c r="AB20" s="45">
        <v>30</v>
      </c>
      <c r="AC20" s="45">
        <v>30</v>
      </c>
      <c r="AD20" s="45">
        <v>30</v>
      </c>
      <c r="AE20" s="45">
        <v>30</v>
      </c>
      <c r="AF20" s="45">
        <v>30</v>
      </c>
      <c r="AG20" s="51">
        <v>30</v>
      </c>
      <c r="AH20" s="47">
        <f t="shared" si="2"/>
        <v>30</v>
      </c>
      <c r="AI20" s="48">
        <f t="shared" si="3"/>
        <v>5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22.8</v>
      </c>
      <c r="C21" s="45">
        <v>22.8</v>
      </c>
      <c r="D21" s="45">
        <v>22.8</v>
      </c>
      <c r="E21" s="45">
        <v>22.8</v>
      </c>
      <c r="F21" s="45">
        <v>20</v>
      </c>
      <c r="G21" s="45">
        <v>20</v>
      </c>
      <c r="H21" s="45">
        <v>20</v>
      </c>
      <c r="I21" s="45">
        <v>20</v>
      </c>
      <c r="J21" s="45">
        <v>20</v>
      </c>
      <c r="K21" s="45">
        <v>20</v>
      </c>
      <c r="L21" s="45">
        <v>20</v>
      </c>
      <c r="M21" s="45">
        <v>20</v>
      </c>
      <c r="N21" s="45">
        <v>20</v>
      </c>
      <c r="O21" s="45">
        <v>20</v>
      </c>
      <c r="P21" s="45">
        <v>20</v>
      </c>
      <c r="Q21" s="45">
        <v>20</v>
      </c>
      <c r="R21" s="45">
        <v>20</v>
      </c>
      <c r="S21" s="45">
        <v>20</v>
      </c>
      <c r="T21" s="45">
        <v>20</v>
      </c>
      <c r="U21" s="45">
        <v>20</v>
      </c>
      <c r="V21" s="45">
        <v>20</v>
      </c>
      <c r="W21" s="45">
        <v>20</v>
      </c>
      <c r="X21" s="45">
        <v>20</v>
      </c>
      <c r="Y21" s="45">
        <v>20</v>
      </c>
      <c r="Z21" s="45">
        <v>19.7</v>
      </c>
      <c r="AA21" s="45">
        <v>19.7</v>
      </c>
      <c r="AB21" s="45">
        <v>19.7</v>
      </c>
      <c r="AC21" s="45">
        <v>19.7</v>
      </c>
      <c r="AD21" s="45">
        <v>19.7</v>
      </c>
      <c r="AE21" s="45">
        <v>19.7</v>
      </c>
      <c r="AF21" s="45">
        <v>19.7</v>
      </c>
      <c r="AG21" s="49">
        <v>24.2</v>
      </c>
      <c r="AH21" s="47">
        <f t="shared" si="2"/>
        <v>22.8</v>
      </c>
      <c r="AI21" s="48">
        <f t="shared" si="3"/>
        <v>19.7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25</v>
      </c>
      <c r="C22" s="45">
        <v>25</v>
      </c>
      <c r="D22" s="45">
        <v>25</v>
      </c>
      <c r="E22" s="45">
        <v>25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20</v>
      </c>
      <c r="Q22" s="45">
        <v>20</v>
      </c>
      <c r="R22" s="45">
        <v>20</v>
      </c>
      <c r="S22" s="45">
        <v>20</v>
      </c>
      <c r="T22" s="45">
        <v>20</v>
      </c>
      <c r="U22" s="45">
        <v>20</v>
      </c>
      <c r="V22" s="45">
        <v>20</v>
      </c>
      <c r="W22" s="45">
        <v>20</v>
      </c>
      <c r="X22" s="45">
        <v>20</v>
      </c>
      <c r="Y22" s="45">
        <v>20</v>
      </c>
      <c r="Z22" s="45">
        <v>20</v>
      </c>
      <c r="AA22" s="45">
        <v>20</v>
      </c>
      <c r="AB22" s="45">
        <v>20</v>
      </c>
      <c r="AC22" s="45">
        <v>20</v>
      </c>
      <c r="AD22" s="45">
        <v>20</v>
      </c>
      <c r="AE22" s="45">
        <v>20</v>
      </c>
      <c r="AF22" s="45">
        <v>20</v>
      </c>
      <c r="AG22" s="49">
        <v>28</v>
      </c>
      <c r="AH22" s="47">
        <f t="shared" si="2"/>
        <v>25</v>
      </c>
      <c r="AI22" s="48">
        <f t="shared" si="3"/>
        <v>20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25</v>
      </c>
      <c r="C23" s="45">
        <v>6</v>
      </c>
      <c r="D23" s="45">
        <v>6</v>
      </c>
      <c r="E23" s="45">
        <v>4</v>
      </c>
      <c r="F23" s="45">
        <v>4</v>
      </c>
      <c r="G23" s="45">
        <v>4</v>
      </c>
      <c r="H23" s="45">
        <v>4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4</v>
      </c>
      <c r="Z23" s="45">
        <v>4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25</v>
      </c>
      <c r="AI23" s="48">
        <f t="shared" si="3"/>
        <v>4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26.2</v>
      </c>
      <c r="C24" s="45">
        <v>26.2</v>
      </c>
      <c r="D24" s="45">
        <v>26.2</v>
      </c>
      <c r="E24" s="45">
        <v>26.2</v>
      </c>
      <c r="F24" s="45">
        <v>26.2</v>
      </c>
      <c r="G24" s="45">
        <v>26.2</v>
      </c>
      <c r="H24" s="45">
        <v>26.2</v>
      </c>
      <c r="I24" s="45">
        <v>26.2</v>
      </c>
      <c r="J24" s="45">
        <v>26.2</v>
      </c>
      <c r="K24" s="45">
        <v>26.2</v>
      </c>
      <c r="L24" s="45">
        <v>26.2</v>
      </c>
      <c r="M24" s="45">
        <v>26.2</v>
      </c>
      <c r="N24" s="45">
        <v>26.2</v>
      </c>
      <c r="O24" s="45">
        <v>26.2</v>
      </c>
      <c r="P24" s="45">
        <v>26.2</v>
      </c>
      <c r="Q24" s="45">
        <v>26.2</v>
      </c>
      <c r="R24" s="45">
        <v>26.2</v>
      </c>
      <c r="S24" s="45">
        <v>26.2</v>
      </c>
      <c r="T24" s="45">
        <v>26.2</v>
      </c>
      <c r="U24" s="45">
        <v>26.2</v>
      </c>
      <c r="V24" s="45">
        <v>26.2</v>
      </c>
      <c r="W24" s="45">
        <v>26.2</v>
      </c>
      <c r="X24" s="45">
        <v>26.2</v>
      </c>
      <c r="Y24" s="45">
        <v>26.2</v>
      </c>
      <c r="Z24" s="45">
        <v>26.2</v>
      </c>
      <c r="AA24" s="45">
        <v>26.2</v>
      </c>
      <c r="AB24" s="45">
        <v>26.2</v>
      </c>
      <c r="AC24" s="45">
        <v>26.2</v>
      </c>
      <c r="AD24" s="45">
        <v>26.2</v>
      </c>
      <c r="AE24" s="45">
        <v>26.2</v>
      </c>
      <c r="AF24" s="45">
        <v>26.2</v>
      </c>
      <c r="AG24" s="49">
        <v>25</v>
      </c>
      <c r="AH24" s="47">
        <f t="shared" si="2"/>
        <v>26.2</v>
      </c>
      <c r="AI24" s="48">
        <f t="shared" si="3"/>
        <v>26.2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21.4</v>
      </c>
      <c r="C26" s="45">
        <v>21.4</v>
      </c>
      <c r="D26" s="45">
        <v>21.4</v>
      </c>
      <c r="E26" s="45">
        <v>16</v>
      </c>
      <c r="F26" s="45">
        <v>16</v>
      </c>
      <c r="G26" s="45">
        <v>16</v>
      </c>
      <c r="H26" s="45">
        <v>16</v>
      </c>
      <c r="I26" s="45">
        <v>20</v>
      </c>
      <c r="J26" s="45">
        <v>20</v>
      </c>
      <c r="K26" s="45">
        <v>20</v>
      </c>
      <c r="L26" s="45">
        <v>20</v>
      </c>
      <c r="M26" s="45">
        <v>20</v>
      </c>
      <c r="N26" s="45">
        <v>20</v>
      </c>
      <c r="O26" s="45">
        <v>20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16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25</v>
      </c>
      <c r="C27" s="45">
        <v>5</v>
      </c>
      <c r="D27" s="45">
        <v>5</v>
      </c>
      <c r="E27" s="45">
        <v>3</v>
      </c>
      <c r="F27" s="45">
        <v>5</v>
      </c>
      <c r="G27" s="45">
        <v>5</v>
      </c>
      <c r="H27" s="45">
        <v>5</v>
      </c>
      <c r="I27" s="45">
        <v>10</v>
      </c>
      <c r="J27" s="45">
        <v>25</v>
      </c>
      <c r="K27" s="45">
        <v>25</v>
      </c>
      <c r="L27" s="45">
        <v>25</v>
      </c>
      <c r="M27" s="45">
        <v>25</v>
      </c>
      <c r="N27" s="45">
        <v>13</v>
      </c>
      <c r="O27" s="45">
        <v>13</v>
      </c>
      <c r="P27" s="45">
        <v>16</v>
      </c>
      <c r="Q27" s="45">
        <v>16</v>
      </c>
      <c r="R27" s="45">
        <v>16</v>
      </c>
      <c r="S27" s="45">
        <v>16</v>
      </c>
      <c r="T27" s="45">
        <v>16</v>
      </c>
      <c r="U27" s="45">
        <v>16</v>
      </c>
      <c r="V27" s="45">
        <v>16</v>
      </c>
      <c r="W27" s="45">
        <v>16</v>
      </c>
      <c r="X27" s="45">
        <v>16</v>
      </c>
      <c r="Y27" s="45">
        <v>4</v>
      </c>
      <c r="Z27" s="45">
        <v>4</v>
      </c>
      <c r="AA27" s="45">
        <v>25</v>
      </c>
      <c r="AB27" s="45">
        <v>25</v>
      </c>
      <c r="AC27" s="45">
        <v>25</v>
      </c>
      <c r="AD27" s="45">
        <v>25</v>
      </c>
      <c r="AE27" s="45">
        <v>25</v>
      </c>
      <c r="AF27" s="45">
        <v>25</v>
      </c>
      <c r="AG27" s="49">
        <v>25</v>
      </c>
      <c r="AH27" s="47">
        <f t="shared" si="2"/>
        <v>25</v>
      </c>
      <c r="AI27" s="48">
        <f t="shared" si="3"/>
        <v>3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14.7</v>
      </c>
      <c r="C28" s="45">
        <v>14.7</v>
      </c>
      <c r="D28" s="45">
        <v>14.7</v>
      </c>
      <c r="E28" s="45">
        <v>14.7</v>
      </c>
      <c r="F28" s="45">
        <v>17.2</v>
      </c>
      <c r="G28" s="45">
        <v>17.2</v>
      </c>
      <c r="H28" s="45">
        <v>17.2</v>
      </c>
      <c r="I28" s="45">
        <v>17.2</v>
      </c>
      <c r="J28" s="45">
        <v>15.6</v>
      </c>
      <c r="K28" s="45">
        <v>15.6</v>
      </c>
      <c r="L28" s="45">
        <v>15.6</v>
      </c>
      <c r="M28" s="45">
        <v>15.6</v>
      </c>
      <c r="N28" s="45">
        <v>15.6</v>
      </c>
      <c r="O28" s="45">
        <v>15.6</v>
      </c>
      <c r="P28" s="45">
        <v>15.7</v>
      </c>
      <c r="Q28" s="45">
        <v>15.7</v>
      </c>
      <c r="R28" s="45">
        <v>15.7</v>
      </c>
      <c r="S28" s="45">
        <v>15.7</v>
      </c>
      <c r="T28" s="45">
        <v>15.7</v>
      </c>
      <c r="U28" s="45">
        <v>15.7</v>
      </c>
      <c r="V28" s="45">
        <v>15.7</v>
      </c>
      <c r="W28" s="45">
        <v>15.7</v>
      </c>
      <c r="X28" s="45">
        <v>15.7</v>
      </c>
      <c r="Y28" s="45">
        <v>15.7</v>
      </c>
      <c r="Z28" s="45">
        <v>15.7</v>
      </c>
      <c r="AA28" s="45">
        <v>15.7</v>
      </c>
      <c r="AB28" s="45">
        <v>15.7</v>
      </c>
      <c r="AC28" s="45">
        <v>15.7</v>
      </c>
      <c r="AD28" s="45">
        <v>15.7</v>
      </c>
      <c r="AE28" s="45">
        <v>15.7</v>
      </c>
      <c r="AF28" s="45">
        <v>15.7</v>
      </c>
      <c r="AG28" s="49">
        <v>23.5</v>
      </c>
      <c r="AH28" s="47">
        <f t="shared" si="2"/>
        <v>17.2</v>
      </c>
      <c r="AI28" s="48">
        <f t="shared" si="3"/>
        <v>14.7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15.8</v>
      </c>
      <c r="C29" s="45">
        <v>15.8</v>
      </c>
      <c r="D29" s="45">
        <v>15.8</v>
      </c>
      <c r="E29" s="45">
        <v>15.8</v>
      </c>
      <c r="F29" s="45">
        <v>18.600000000000001</v>
      </c>
      <c r="G29" s="45">
        <v>11</v>
      </c>
      <c r="H29" s="45">
        <v>11</v>
      </c>
      <c r="I29" s="45">
        <v>11</v>
      </c>
      <c r="J29" s="45">
        <v>11</v>
      </c>
      <c r="K29" s="45">
        <v>11</v>
      </c>
      <c r="L29" s="45">
        <v>11</v>
      </c>
      <c r="M29" s="45">
        <v>11</v>
      </c>
      <c r="N29" s="45">
        <v>11</v>
      </c>
      <c r="O29" s="45">
        <v>11</v>
      </c>
      <c r="P29" s="45">
        <v>11</v>
      </c>
      <c r="Q29" s="45">
        <v>11</v>
      </c>
      <c r="R29" s="45">
        <v>11</v>
      </c>
      <c r="S29" s="45">
        <v>11</v>
      </c>
      <c r="T29" s="45">
        <v>11</v>
      </c>
      <c r="U29" s="45">
        <v>11</v>
      </c>
      <c r="V29" s="45">
        <v>11</v>
      </c>
      <c r="W29" s="45">
        <v>11</v>
      </c>
      <c r="X29" s="45">
        <v>11</v>
      </c>
      <c r="Y29" s="45">
        <v>11</v>
      </c>
      <c r="Z29" s="45">
        <v>11</v>
      </c>
      <c r="AA29" s="45">
        <v>11</v>
      </c>
      <c r="AB29" s="45">
        <v>11</v>
      </c>
      <c r="AC29" s="45">
        <v>11</v>
      </c>
      <c r="AD29" s="45">
        <v>11</v>
      </c>
      <c r="AE29" s="45">
        <v>11</v>
      </c>
      <c r="AF29" s="45">
        <v>11</v>
      </c>
      <c r="AG29" s="49">
        <v>22.2</v>
      </c>
      <c r="AH29" s="47">
        <f t="shared" si="2"/>
        <v>18.600000000000001</v>
      </c>
      <c r="AI29" s="48">
        <f t="shared" si="3"/>
        <v>11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25</v>
      </c>
      <c r="C32" s="45">
        <v>25</v>
      </c>
      <c r="D32" s="45">
        <v>25</v>
      </c>
      <c r="E32" s="45">
        <v>25</v>
      </c>
      <c r="F32" s="45">
        <v>26.8</v>
      </c>
      <c r="G32" s="45">
        <v>26.8</v>
      </c>
      <c r="H32" s="45">
        <v>26.8</v>
      </c>
      <c r="I32" s="45">
        <v>26.8</v>
      </c>
      <c r="J32" s="45">
        <v>24.9</v>
      </c>
      <c r="K32" s="45">
        <v>24.9</v>
      </c>
      <c r="L32" s="45">
        <v>24.9</v>
      </c>
      <c r="M32" s="45">
        <v>24.9</v>
      </c>
      <c r="N32" s="45">
        <v>24.9</v>
      </c>
      <c r="O32" s="45">
        <v>24.9</v>
      </c>
      <c r="P32" s="45">
        <v>24.9</v>
      </c>
      <c r="Q32" s="45">
        <v>24.9</v>
      </c>
      <c r="R32" s="45">
        <v>24.9</v>
      </c>
      <c r="S32" s="45">
        <v>24.9</v>
      </c>
      <c r="T32" s="45">
        <v>24.9</v>
      </c>
      <c r="U32" s="45">
        <v>24.9</v>
      </c>
      <c r="V32" s="45">
        <v>24.9</v>
      </c>
      <c r="W32" s="45">
        <v>24.9</v>
      </c>
      <c r="X32" s="45">
        <v>24.9</v>
      </c>
      <c r="Y32" s="45">
        <v>24.9</v>
      </c>
      <c r="Z32" s="45">
        <v>24.9</v>
      </c>
      <c r="AA32" s="45">
        <v>24.9</v>
      </c>
      <c r="AB32" s="45">
        <v>24.9</v>
      </c>
      <c r="AC32" s="45">
        <v>24.9</v>
      </c>
      <c r="AD32" s="45">
        <v>24.9</v>
      </c>
      <c r="AE32" s="45">
        <v>24.9</v>
      </c>
      <c r="AF32" s="45">
        <v>24.9</v>
      </c>
      <c r="AG32" s="49">
        <v>22</v>
      </c>
      <c r="AH32" s="47">
        <f t="shared" si="2"/>
        <v>26.8</v>
      </c>
      <c r="AI32" s="48">
        <f t="shared" si="3"/>
        <v>24.9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19</v>
      </c>
      <c r="C33" s="45">
        <v>5</v>
      </c>
      <c r="D33" s="45">
        <v>5</v>
      </c>
      <c r="E33" s="45">
        <v>18</v>
      </c>
      <c r="F33" s="45">
        <v>18</v>
      </c>
      <c r="G33" s="45">
        <v>18</v>
      </c>
      <c r="H33" s="45">
        <v>18</v>
      </c>
      <c r="I33" s="45">
        <v>18</v>
      </c>
      <c r="J33" s="45">
        <v>18</v>
      </c>
      <c r="K33" s="45">
        <v>18</v>
      </c>
      <c r="L33" s="45">
        <v>18</v>
      </c>
      <c r="M33" s="45">
        <v>18</v>
      </c>
      <c r="N33" s="45">
        <v>20</v>
      </c>
      <c r="O33" s="45">
        <v>20</v>
      </c>
      <c r="P33" s="45">
        <v>20</v>
      </c>
      <c r="Q33" s="45">
        <v>20</v>
      </c>
      <c r="R33" s="45">
        <v>20</v>
      </c>
      <c r="S33" s="45">
        <v>20</v>
      </c>
      <c r="T33" s="45">
        <v>20</v>
      </c>
      <c r="U33" s="45">
        <v>20</v>
      </c>
      <c r="V33" s="45">
        <v>18</v>
      </c>
      <c r="W33" s="45">
        <v>18</v>
      </c>
      <c r="X33" s="45">
        <v>18</v>
      </c>
      <c r="Y33" s="45">
        <v>18</v>
      </c>
      <c r="Z33" s="45">
        <v>18</v>
      </c>
      <c r="AA33" s="45">
        <v>18</v>
      </c>
      <c r="AB33" s="45">
        <v>18</v>
      </c>
      <c r="AC33" s="45">
        <v>18</v>
      </c>
      <c r="AD33" s="45">
        <v>18</v>
      </c>
      <c r="AE33" s="45">
        <v>18</v>
      </c>
      <c r="AF33" s="45">
        <v>18</v>
      </c>
      <c r="AG33" s="49">
        <v>20</v>
      </c>
      <c r="AH33" s="47">
        <f t="shared" si="2"/>
        <v>20</v>
      </c>
      <c r="AI33" s="48">
        <f t="shared" si="3"/>
        <v>5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13</v>
      </c>
      <c r="C34" s="45">
        <v>13</v>
      </c>
      <c r="D34" s="45">
        <v>13</v>
      </c>
      <c r="E34" s="45">
        <v>13</v>
      </c>
      <c r="F34" s="45">
        <v>13</v>
      </c>
      <c r="G34" s="45">
        <v>13</v>
      </c>
      <c r="H34" s="45">
        <v>13</v>
      </c>
      <c r="I34" s="45">
        <v>13</v>
      </c>
      <c r="J34" s="45">
        <v>13</v>
      </c>
      <c r="K34" s="45">
        <v>13</v>
      </c>
      <c r="L34" s="45">
        <v>13</v>
      </c>
      <c r="M34" s="45">
        <v>13</v>
      </c>
      <c r="N34" s="45">
        <v>13</v>
      </c>
      <c r="O34" s="45">
        <v>13</v>
      </c>
      <c r="P34" s="45">
        <v>13</v>
      </c>
      <c r="Q34" s="45">
        <v>13</v>
      </c>
      <c r="R34" s="45">
        <v>13</v>
      </c>
      <c r="S34" s="45">
        <v>13</v>
      </c>
      <c r="T34" s="45">
        <v>13</v>
      </c>
      <c r="U34" s="45">
        <v>13</v>
      </c>
      <c r="V34" s="45">
        <v>18</v>
      </c>
      <c r="W34" s="45">
        <v>18</v>
      </c>
      <c r="X34" s="45">
        <v>18</v>
      </c>
      <c r="Y34" s="45">
        <v>18</v>
      </c>
      <c r="Z34" s="45">
        <v>18</v>
      </c>
      <c r="AA34" s="45">
        <v>18</v>
      </c>
      <c r="AB34" s="45">
        <v>18</v>
      </c>
      <c r="AC34" s="45">
        <v>18</v>
      </c>
      <c r="AD34" s="45">
        <v>18</v>
      </c>
      <c r="AE34" s="45">
        <v>18</v>
      </c>
      <c r="AF34" s="45">
        <v>18</v>
      </c>
      <c r="AG34" s="49">
        <v>18</v>
      </c>
      <c r="AH34" s="47">
        <f t="shared" si="2"/>
        <v>18</v>
      </c>
      <c r="AI34" s="48">
        <f t="shared" si="3"/>
        <v>13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1.5</v>
      </c>
      <c r="C37" s="45">
        <v>1.5</v>
      </c>
      <c r="D37" s="45">
        <v>1.5</v>
      </c>
      <c r="E37" s="45">
        <v>1.5</v>
      </c>
      <c r="F37" s="45">
        <v>1.5</v>
      </c>
      <c r="G37" s="45">
        <v>1.5</v>
      </c>
      <c r="H37" s="45">
        <v>1.5</v>
      </c>
      <c r="I37" s="45">
        <v>1.5</v>
      </c>
      <c r="J37" s="45">
        <v>1.5</v>
      </c>
      <c r="K37" s="45">
        <v>1.5</v>
      </c>
      <c r="L37" s="45">
        <v>1.5</v>
      </c>
      <c r="M37" s="45">
        <v>1.5</v>
      </c>
      <c r="N37" s="45">
        <v>1.5</v>
      </c>
      <c r="O37" s="45">
        <v>1.5</v>
      </c>
      <c r="P37" s="45">
        <v>1.5</v>
      </c>
      <c r="Q37" s="45">
        <v>1.5</v>
      </c>
      <c r="R37" s="45">
        <v>1.5</v>
      </c>
      <c r="S37" s="45">
        <v>1.5</v>
      </c>
      <c r="T37" s="45">
        <v>1.5</v>
      </c>
      <c r="U37" s="45">
        <v>1.5</v>
      </c>
      <c r="V37" s="45">
        <v>1.5</v>
      </c>
      <c r="W37" s="45">
        <v>1.5</v>
      </c>
      <c r="X37" s="45">
        <v>1.5</v>
      </c>
      <c r="Y37" s="45">
        <v>1.5</v>
      </c>
      <c r="Z37" s="45">
        <v>1.5</v>
      </c>
      <c r="AA37" s="45">
        <v>1.5</v>
      </c>
      <c r="AB37" s="45">
        <v>1.5</v>
      </c>
      <c r="AC37" s="45">
        <v>1.5</v>
      </c>
      <c r="AD37" s="45">
        <v>1.5</v>
      </c>
      <c r="AE37" s="45">
        <v>1.5</v>
      </c>
      <c r="AF37" s="45">
        <v>1.5</v>
      </c>
      <c r="AG37" s="49">
        <v>13.6</v>
      </c>
      <c r="AH37" s="47">
        <f t="shared" si="2"/>
        <v>1.5</v>
      </c>
      <c r="AI37" s="48">
        <f t="shared" si="3"/>
        <v>1.5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12</v>
      </c>
      <c r="C39" s="45">
        <v>4</v>
      </c>
      <c r="D39" s="45">
        <v>4</v>
      </c>
      <c r="E39" s="45">
        <v>2.5</v>
      </c>
      <c r="F39" s="45">
        <v>2.5</v>
      </c>
      <c r="G39" s="45">
        <v>2.5</v>
      </c>
      <c r="H39" s="45">
        <v>2.5</v>
      </c>
      <c r="I39" s="45">
        <v>5</v>
      </c>
      <c r="J39" s="45">
        <v>12</v>
      </c>
      <c r="K39" s="45">
        <v>12</v>
      </c>
      <c r="L39" s="45">
        <v>12</v>
      </c>
      <c r="M39" s="45">
        <v>12</v>
      </c>
      <c r="N39" s="45">
        <v>6</v>
      </c>
      <c r="O39" s="45">
        <v>6</v>
      </c>
      <c r="P39" s="45">
        <v>6</v>
      </c>
      <c r="Q39" s="45">
        <v>6</v>
      </c>
      <c r="R39" s="45">
        <v>6</v>
      </c>
      <c r="S39" s="45">
        <v>6</v>
      </c>
      <c r="T39" s="45">
        <v>6</v>
      </c>
      <c r="U39" s="45">
        <v>6</v>
      </c>
      <c r="V39" s="45">
        <v>6</v>
      </c>
      <c r="W39" s="45">
        <v>6</v>
      </c>
      <c r="X39" s="45">
        <v>6</v>
      </c>
      <c r="Y39" s="45">
        <v>2</v>
      </c>
      <c r="Z39" s="45">
        <v>2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12</v>
      </c>
      <c r="AG39" s="49">
        <v>12</v>
      </c>
      <c r="AH39" s="47">
        <f t="shared" si="2"/>
        <v>12</v>
      </c>
      <c r="AI39" s="48">
        <f t="shared" si="3"/>
        <v>2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8</v>
      </c>
      <c r="C40" s="45">
        <v>8</v>
      </c>
      <c r="D40" s="45">
        <v>8</v>
      </c>
      <c r="E40" s="45">
        <v>8</v>
      </c>
      <c r="F40" s="45">
        <v>8</v>
      </c>
      <c r="G40" s="45">
        <v>8</v>
      </c>
      <c r="H40" s="45">
        <v>8</v>
      </c>
      <c r="I40" s="45">
        <v>8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0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11</v>
      </c>
      <c r="C41" s="45">
        <v>11</v>
      </c>
      <c r="D41" s="45">
        <v>11</v>
      </c>
      <c r="E41" s="45">
        <v>11</v>
      </c>
      <c r="F41" s="45">
        <v>8</v>
      </c>
      <c r="G41" s="45">
        <v>8</v>
      </c>
      <c r="H41" s="45">
        <v>8</v>
      </c>
      <c r="I41" s="45">
        <v>8</v>
      </c>
      <c r="J41" s="45">
        <v>8</v>
      </c>
      <c r="K41" s="45">
        <v>11</v>
      </c>
      <c r="L41" s="45">
        <v>11</v>
      </c>
      <c r="M41" s="45">
        <v>11</v>
      </c>
      <c r="N41" s="45">
        <v>11</v>
      </c>
      <c r="O41" s="45">
        <v>11</v>
      </c>
      <c r="P41" s="45">
        <v>11</v>
      </c>
      <c r="Q41" s="45">
        <v>11</v>
      </c>
      <c r="R41" s="45">
        <v>11</v>
      </c>
      <c r="S41" s="45">
        <v>11</v>
      </c>
      <c r="T41" s="45">
        <v>11</v>
      </c>
      <c r="U41" s="45">
        <v>11</v>
      </c>
      <c r="V41" s="45">
        <v>11</v>
      </c>
      <c r="W41" s="45">
        <v>11</v>
      </c>
      <c r="X41" s="45">
        <v>11</v>
      </c>
      <c r="Y41" s="45">
        <v>11</v>
      </c>
      <c r="Z41" s="45">
        <v>11</v>
      </c>
      <c r="AA41" s="45">
        <v>11</v>
      </c>
      <c r="AB41" s="45">
        <v>11</v>
      </c>
      <c r="AC41" s="45">
        <v>11</v>
      </c>
      <c r="AD41" s="45">
        <v>11</v>
      </c>
      <c r="AE41" s="45">
        <v>11</v>
      </c>
      <c r="AF41" s="45">
        <v>11</v>
      </c>
      <c r="AG41" s="49">
        <v>12</v>
      </c>
      <c r="AH41" s="47">
        <f t="shared" si="2"/>
        <v>11</v>
      </c>
      <c r="AI41" s="48">
        <f t="shared" si="3"/>
        <v>8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10.199999999999999</v>
      </c>
      <c r="C42" s="45">
        <v>10.199999999999999</v>
      </c>
      <c r="D42" s="45">
        <v>10.199999999999999</v>
      </c>
      <c r="E42" s="45">
        <v>10.199999999999999</v>
      </c>
      <c r="F42" s="45">
        <v>10.199999999999999</v>
      </c>
      <c r="G42" s="45">
        <v>10.199999999999999</v>
      </c>
      <c r="H42" s="45">
        <v>10.199999999999999</v>
      </c>
      <c r="I42" s="45">
        <v>10.199999999999999</v>
      </c>
      <c r="J42" s="45">
        <v>10.199999999999999</v>
      </c>
      <c r="K42" s="45">
        <v>10.199999999999999</v>
      </c>
      <c r="L42" s="45">
        <v>10.199999999999999</v>
      </c>
      <c r="M42" s="45">
        <v>10.199999999999999</v>
      </c>
      <c r="N42" s="45">
        <v>10.199999999999999</v>
      </c>
      <c r="O42" s="45">
        <v>10.199999999999999</v>
      </c>
      <c r="P42" s="45">
        <v>10.199999999999999</v>
      </c>
      <c r="Q42" s="45">
        <v>10.199999999999999</v>
      </c>
      <c r="R42" s="45">
        <v>10.199999999999999</v>
      </c>
      <c r="S42" s="45">
        <v>10.199999999999999</v>
      </c>
      <c r="T42" s="45">
        <v>10.199999999999999</v>
      </c>
      <c r="U42" s="45">
        <v>10.199999999999999</v>
      </c>
      <c r="V42" s="45">
        <v>10.199999999999999</v>
      </c>
      <c r="W42" s="45">
        <v>10.199999999999999</v>
      </c>
      <c r="X42" s="45">
        <v>10.199999999999999</v>
      </c>
      <c r="Y42" s="45">
        <v>10.199999999999999</v>
      </c>
      <c r="Z42" s="45">
        <v>10.199999999999999</v>
      </c>
      <c r="AA42" s="45">
        <v>10.199999999999999</v>
      </c>
      <c r="AB42" s="45">
        <v>10.199999999999999</v>
      </c>
      <c r="AC42" s="45">
        <v>10.199999999999999</v>
      </c>
      <c r="AD42" s="45">
        <v>10.199999999999999</v>
      </c>
      <c r="AE42" s="45">
        <v>10.199999999999999</v>
      </c>
      <c r="AF42" s="45">
        <v>10.199999999999999</v>
      </c>
      <c r="AG42" s="52">
        <v>22</v>
      </c>
      <c r="AH42" s="47">
        <f t="shared" si="2"/>
        <v>10.199999999999999</v>
      </c>
      <c r="AI42" s="48">
        <f t="shared" si="3"/>
        <v>10.199999999999999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10.210000000000001</v>
      </c>
      <c r="C44" s="45">
        <v>10.210000000000001</v>
      </c>
      <c r="D44" s="45">
        <v>10.210000000000001</v>
      </c>
      <c r="E44" s="45">
        <v>10.210000000000001</v>
      </c>
      <c r="F44" s="45">
        <v>10.210000000000001</v>
      </c>
      <c r="G44" s="45">
        <v>10.210000000000001</v>
      </c>
      <c r="H44" s="45">
        <v>10.210000000000001</v>
      </c>
      <c r="I44" s="45">
        <v>10.210000000000001</v>
      </c>
      <c r="J44" s="45">
        <v>10.210000000000001</v>
      </c>
      <c r="K44" s="45">
        <v>10.210000000000001</v>
      </c>
      <c r="L44" s="45">
        <v>10.210000000000001</v>
      </c>
      <c r="M44" s="45">
        <v>10.210000000000001</v>
      </c>
      <c r="N44" s="45">
        <v>10.210000000000001</v>
      </c>
      <c r="O44" s="45">
        <v>10.210000000000001</v>
      </c>
      <c r="P44" s="45">
        <v>10.210000000000001</v>
      </c>
      <c r="Q44" s="45">
        <v>10.210000000000001</v>
      </c>
      <c r="R44" s="45">
        <v>10.210000000000001</v>
      </c>
      <c r="S44" s="45">
        <v>10.210000000000001</v>
      </c>
      <c r="T44" s="45">
        <v>10.210000000000001</v>
      </c>
      <c r="U44" s="45">
        <v>10.210000000000001</v>
      </c>
      <c r="V44" s="45">
        <v>10.210000000000001</v>
      </c>
      <c r="W44" s="45">
        <v>10.210000000000001</v>
      </c>
      <c r="X44" s="45">
        <v>10.210000000000001</v>
      </c>
      <c r="Y44" s="45">
        <v>10.210000000000001</v>
      </c>
      <c r="Z44" s="45">
        <v>10.210000000000001</v>
      </c>
      <c r="AA44" s="45">
        <v>10.210000000000001</v>
      </c>
      <c r="AB44" s="45">
        <v>10.210000000000001</v>
      </c>
      <c r="AC44" s="45">
        <v>10.210000000000001</v>
      </c>
      <c r="AD44" s="45">
        <v>10.210000000000001</v>
      </c>
      <c r="AE44" s="45">
        <v>10.210000000000001</v>
      </c>
      <c r="AF44" s="45">
        <v>10.210000000000001</v>
      </c>
      <c r="AG44" s="54">
        <v>11</v>
      </c>
      <c r="AH44" s="47">
        <f t="shared" si="2"/>
        <v>10.210000000000001</v>
      </c>
      <c r="AI44" s="48">
        <f t="shared" si="3"/>
        <v>10.210000000000001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10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1</v>
      </c>
      <c r="O47" s="45">
        <v>1</v>
      </c>
      <c r="P47" s="45">
        <v>2</v>
      </c>
      <c r="Q47" s="45">
        <v>2</v>
      </c>
      <c r="R47" s="45">
        <v>2</v>
      </c>
      <c r="S47" s="45">
        <v>2</v>
      </c>
      <c r="T47" s="45">
        <v>2</v>
      </c>
      <c r="U47" s="45">
        <v>2</v>
      </c>
      <c r="V47" s="45">
        <v>2</v>
      </c>
      <c r="W47" s="45">
        <v>2</v>
      </c>
      <c r="X47" s="45">
        <v>2</v>
      </c>
      <c r="Y47" s="45">
        <v>2</v>
      </c>
      <c r="Z47" s="45">
        <v>2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2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>
        <v>102.49</v>
      </c>
      <c r="C49" s="56">
        <v>102.49</v>
      </c>
      <c r="D49" s="56">
        <v>102.49</v>
      </c>
      <c r="E49" s="56">
        <v>102.49</v>
      </c>
      <c r="F49" s="56"/>
      <c r="G49" s="56"/>
      <c r="H49" s="56"/>
      <c r="I49" s="56">
        <v>106</v>
      </c>
      <c r="J49" s="56">
        <v>104</v>
      </c>
      <c r="K49" s="56">
        <v>104</v>
      </c>
      <c r="L49" s="56">
        <v>104</v>
      </c>
      <c r="M49" s="50">
        <v>104</v>
      </c>
      <c r="N49" s="50">
        <v>104</v>
      </c>
      <c r="O49" s="50">
        <v>104</v>
      </c>
      <c r="P49" s="50">
        <v>104</v>
      </c>
      <c r="Q49" s="50">
        <v>104</v>
      </c>
      <c r="R49" s="50">
        <v>102</v>
      </c>
      <c r="S49" s="50">
        <v>102</v>
      </c>
      <c r="T49" s="50">
        <f>83+20</f>
        <v>103</v>
      </c>
      <c r="U49" s="50">
        <f>83+20</f>
        <v>103</v>
      </c>
      <c r="V49" s="50"/>
      <c r="W49" s="50"/>
      <c r="X49" s="56">
        <v>102</v>
      </c>
      <c r="Y49" s="56">
        <v>102</v>
      </c>
      <c r="Z49" s="56">
        <v>102</v>
      </c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106</v>
      </c>
      <c r="AI49" s="48">
        <f t="shared" si="3"/>
        <v>102</v>
      </c>
      <c r="AK49" s="74"/>
    </row>
    <row r="50" spans="1:41" ht="15.75" thickBot="1" x14ac:dyDescent="0.3">
      <c r="A50" s="58" t="s">
        <v>66</v>
      </c>
      <c r="B50" s="59">
        <f t="shared" ref="B50:AF50" si="4">SUM(B11:B48)</f>
        <v>880.31000000000006</v>
      </c>
      <c r="C50" s="59">
        <f t="shared" si="4"/>
        <v>824.41000000000008</v>
      </c>
      <c r="D50" s="59">
        <f t="shared" si="4"/>
        <v>824.41000000000008</v>
      </c>
      <c r="E50" s="59">
        <f t="shared" si="4"/>
        <v>848.51</v>
      </c>
      <c r="F50" s="59">
        <f t="shared" si="4"/>
        <v>869.11000000000013</v>
      </c>
      <c r="G50" s="59">
        <f t="shared" si="4"/>
        <v>861.51</v>
      </c>
      <c r="H50" s="59">
        <f t="shared" si="4"/>
        <v>872.51</v>
      </c>
      <c r="I50" s="59">
        <f t="shared" si="4"/>
        <v>894.01</v>
      </c>
      <c r="J50" s="59">
        <f t="shared" si="4"/>
        <v>937.41</v>
      </c>
      <c r="K50" s="59">
        <f t="shared" si="4"/>
        <v>940.41</v>
      </c>
      <c r="L50" s="59">
        <f t="shared" si="4"/>
        <v>940.41</v>
      </c>
      <c r="M50" s="59">
        <f t="shared" si="4"/>
        <v>940.41</v>
      </c>
      <c r="N50" s="59">
        <f t="shared" si="4"/>
        <v>908.81000000000006</v>
      </c>
      <c r="O50" s="59">
        <f t="shared" si="4"/>
        <v>920.81000000000006</v>
      </c>
      <c r="P50" s="59">
        <f t="shared" si="4"/>
        <v>948.91</v>
      </c>
      <c r="Q50" s="59">
        <f t="shared" si="4"/>
        <v>948.91</v>
      </c>
      <c r="R50" s="59">
        <f>SUM(R11:R48)</f>
        <v>949.41</v>
      </c>
      <c r="S50" s="59">
        <f t="shared" si="4"/>
        <v>949.41</v>
      </c>
      <c r="T50" s="59">
        <f t="shared" si="4"/>
        <v>949.41</v>
      </c>
      <c r="U50" s="59">
        <f t="shared" si="4"/>
        <v>949.41</v>
      </c>
      <c r="V50" s="59">
        <f t="shared" si="4"/>
        <v>949.91</v>
      </c>
      <c r="W50" s="59">
        <f t="shared" si="4"/>
        <v>949.91</v>
      </c>
      <c r="X50" s="59">
        <f t="shared" si="4"/>
        <v>949.91</v>
      </c>
      <c r="Y50" s="59">
        <f t="shared" si="4"/>
        <v>887.61</v>
      </c>
      <c r="Z50" s="59">
        <f t="shared" si="4"/>
        <v>901.81</v>
      </c>
      <c r="AA50" s="59">
        <f t="shared" si="4"/>
        <v>974.81000000000006</v>
      </c>
      <c r="AB50" s="59">
        <f t="shared" si="4"/>
        <v>978.31000000000006</v>
      </c>
      <c r="AC50" s="59">
        <f t="shared" si="4"/>
        <v>978.31000000000006</v>
      </c>
      <c r="AD50" s="59">
        <f t="shared" si="4"/>
        <v>978.31000000000006</v>
      </c>
      <c r="AE50" s="59">
        <f t="shared" si="4"/>
        <v>977.31000000000006</v>
      </c>
      <c r="AF50" s="59">
        <f t="shared" si="4"/>
        <v>981.41</v>
      </c>
      <c r="AG50" s="60">
        <f>SUM(AG13:AG48)</f>
        <v>922.14</v>
      </c>
      <c r="AH50" s="47">
        <f t="shared" si="2"/>
        <v>981.41</v>
      </c>
      <c r="AI50" s="48">
        <f t="shared" si="3"/>
        <v>824.41000000000008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62">
        <v>456</v>
      </c>
      <c r="O51" s="62">
        <v>456</v>
      </c>
      <c r="P51" s="62">
        <v>456</v>
      </c>
      <c r="Q51" s="62">
        <v>456</v>
      </c>
      <c r="R51" s="62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400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400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54</v>
      </c>
      <c r="G52" s="64">
        <v>54</v>
      </c>
      <c r="H52" s="64">
        <v>54</v>
      </c>
      <c r="I52" s="64">
        <v>54</v>
      </c>
      <c r="J52" s="64">
        <v>54</v>
      </c>
      <c r="K52" s="64">
        <v>60</v>
      </c>
      <c r="L52" s="64">
        <v>60</v>
      </c>
      <c r="M52" s="64">
        <v>60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60</v>
      </c>
      <c r="AI52" s="48">
        <f t="shared" si="3"/>
        <v>54</v>
      </c>
      <c r="AK52" s="74"/>
    </row>
    <row r="53" spans="1:41" ht="15.75" thickBot="1" x14ac:dyDescent="0.3">
      <c r="A53" s="65" t="s">
        <v>69</v>
      </c>
      <c r="B53" s="66">
        <v>22.1</v>
      </c>
      <c r="C53" s="66">
        <v>22.1</v>
      </c>
      <c r="D53" s="66">
        <v>22.1</v>
      </c>
      <c r="E53" s="66">
        <v>22.1</v>
      </c>
      <c r="F53" s="66">
        <v>22.1</v>
      </c>
      <c r="G53" s="66">
        <v>22.1</v>
      </c>
      <c r="H53" s="66">
        <v>22.1</v>
      </c>
      <c r="I53" s="66">
        <v>22.1</v>
      </c>
      <c r="J53" s="66">
        <v>22.1</v>
      </c>
      <c r="K53" s="66">
        <v>22.1</v>
      </c>
      <c r="L53" s="66">
        <v>22.1</v>
      </c>
      <c r="M53" s="66">
        <v>22.1</v>
      </c>
      <c r="N53" s="66">
        <v>22.4</v>
      </c>
      <c r="O53" s="66">
        <v>22.4</v>
      </c>
      <c r="P53" s="66">
        <v>22.4</v>
      </c>
      <c r="Q53" s="66">
        <v>22.4</v>
      </c>
      <c r="R53" s="66">
        <v>22.4</v>
      </c>
      <c r="S53" s="66">
        <v>22.4</v>
      </c>
      <c r="T53" s="66">
        <v>22.4</v>
      </c>
      <c r="U53" s="66">
        <v>22.4</v>
      </c>
      <c r="V53" s="66">
        <v>22.4</v>
      </c>
      <c r="W53" s="66">
        <v>22.4</v>
      </c>
      <c r="X53" s="66">
        <v>22.4</v>
      </c>
      <c r="Y53" s="66">
        <v>22.4</v>
      </c>
      <c r="Z53" s="66">
        <v>22.4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22.4</v>
      </c>
      <c r="AG53" s="67">
        <v>22.1</v>
      </c>
      <c r="AH53" s="47">
        <f t="shared" si="2"/>
        <v>22.4</v>
      </c>
      <c r="AI53" s="48">
        <f t="shared" si="3"/>
        <v>22.1</v>
      </c>
      <c r="AK53" s="74"/>
    </row>
    <row r="54" spans="1:41" ht="15.75" thickBot="1" x14ac:dyDescent="0.3">
      <c r="A54" s="68" t="s">
        <v>70</v>
      </c>
      <c r="B54" s="59">
        <f t="shared" ref="B54:AG54" si="5">SUM(B51:B53)</f>
        <v>533.1</v>
      </c>
      <c r="C54" s="59">
        <f t="shared" si="5"/>
        <v>533.1</v>
      </c>
      <c r="D54" s="59">
        <f t="shared" si="5"/>
        <v>533.1</v>
      </c>
      <c r="E54" s="59">
        <f t="shared" si="5"/>
        <v>533.1</v>
      </c>
      <c r="F54" s="59">
        <f t="shared" si="5"/>
        <v>532.1</v>
      </c>
      <c r="G54" s="59">
        <f t="shared" si="5"/>
        <v>532.1</v>
      </c>
      <c r="H54" s="59">
        <f t="shared" si="5"/>
        <v>532.1</v>
      </c>
      <c r="I54" s="59">
        <f t="shared" si="5"/>
        <v>532.1</v>
      </c>
      <c r="J54" s="59">
        <f t="shared" si="5"/>
        <v>532.1</v>
      </c>
      <c r="K54" s="59">
        <f t="shared" si="5"/>
        <v>538.1</v>
      </c>
      <c r="L54" s="59">
        <f t="shared" si="5"/>
        <v>538.1</v>
      </c>
      <c r="M54" s="59">
        <f t="shared" si="5"/>
        <v>538.1</v>
      </c>
      <c r="N54" s="59">
        <f t="shared" si="5"/>
        <v>533.4</v>
      </c>
      <c r="O54" s="59">
        <f t="shared" si="5"/>
        <v>533.4</v>
      </c>
      <c r="P54" s="59">
        <f t="shared" si="5"/>
        <v>533.4</v>
      </c>
      <c r="Q54" s="59">
        <f t="shared" si="5"/>
        <v>533.4</v>
      </c>
      <c r="R54" s="59">
        <f t="shared" si="5"/>
        <v>533.4</v>
      </c>
      <c r="S54" s="59">
        <f t="shared" si="5"/>
        <v>533.4</v>
      </c>
      <c r="T54" s="59">
        <f t="shared" si="5"/>
        <v>533.4</v>
      </c>
      <c r="U54" s="59">
        <f t="shared" si="5"/>
        <v>533.4</v>
      </c>
      <c r="V54" s="59">
        <f t="shared" si="5"/>
        <v>533.4</v>
      </c>
      <c r="W54" s="59">
        <f t="shared" si="5"/>
        <v>533.4</v>
      </c>
      <c r="X54" s="59">
        <f t="shared" si="5"/>
        <v>477.4</v>
      </c>
      <c r="Y54" s="59">
        <f t="shared" si="5"/>
        <v>533.4</v>
      </c>
      <c r="Z54" s="59">
        <f t="shared" si="5"/>
        <v>533.4</v>
      </c>
      <c r="AA54" s="59">
        <f t="shared" si="5"/>
        <v>533.4</v>
      </c>
      <c r="AB54" s="59">
        <f t="shared" si="5"/>
        <v>533.4</v>
      </c>
      <c r="AC54" s="59">
        <f t="shared" si="5"/>
        <v>533.4</v>
      </c>
      <c r="AD54" s="59">
        <f t="shared" si="5"/>
        <v>533.4</v>
      </c>
      <c r="AE54" s="59">
        <f t="shared" ref="AE54" si="6">SUM(AE51:AE53)</f>
        <v>533.4</v>
      </c>
      <c r="AF54" s="59">
        <f t="shared" si="5"/>
        <v>533.4</v>
      </c>
      <c r="AG54" s="60">
        <f t="shared" si="5"/>
        <v>538.1</v>
      </c>
      <c r="AH54" s="47">
        <f t="shared" si="2"/>
        <v>538.1</v>
      </c>
      <c r="AI54" s="48">
        <f t="shared" si="3"/>
        <v>477.4</v>
      </c>
      <c r="AK54" s="74"/>
    </row>
    <row r="55" spans="1:41" x14ac:dyDescent="0.25">
      <c r="A55" s="44" t="s">
        <v>71</v>
      </c>
      <c r="B55" s="45">
        <v>97</v>
      </c>
      <c r="C55" s="45">
        <v>97</v>
      </c>
      <c r="D55" s="45">
        <v>97</v>
      </c>
      <c r="E55" s="45">
        <v>97</v>
      </c>
      <c r="F55" s="45">
        <v>97</v>
      </c>
      <c r="G55" s="45">
        <v>97</v>
      </c>
      <c r="H55" s="45">
        <v>97</v>
      </c>
      <c r="I55" s="45">
        <v>97</v>
      </c>
      <c r="J55" s="45">
        <v>97</v>
      </c>
      <c r="K55" s="45">
        <v>97</v>
      </c>
      <c r="L55" s="45">
        <v>97</v>
      </c>
      <c r="M55" s="45">
        <v>96.9</v>
      </c>
      <c r="N55" s="45">
        <v>96.8</v>
      </c>
      <c r="O55" s="45">
        <v>96.8</v>
      </c>
      <c r="P55" s="45">
        <v>96.4</v>
      </c>
      <c r="Q55" s="45">
        <v>96.4</v>
      </c>
      <c r="R55" s="45">
        <v>96.4</v>
      </c>
      <c r="S55" s="45">
        <v>97</v>
      </c>
      <c r="T55" s="45">
        <v>97</v>
      </c>
      <c r="U55" s="45">
        <v>97</v>
      </c>
      <c r="V55" s="45">
        <v>97</v>
      </c>
      <c r="W55" s="45">
        <v>97</v>
      </c>
      <c r="X55" s="45">
        <v>97</v>
      </c>
      <c r="Y55" s="45">
        <v>97</v>
      </c>
      <c r="Z55" s="45">
        <v>97</v>
      </c>
      <c r="AA55" s="45">
        <v>97</v>
      </c>
      <c r="AB55" s="45">
        <v>97</v>
      </c>
      <c r="AC55" s="45">
        <v>97</v>
      </c>
      <c r="AD55" s="45">
        <v>97</v>
      </c>
      <c r="AE55" s="45">
        <v>97</v>
      </c>
      <c r="AF55" s="45">
        <v>97</v>
      </c>
      <c r="AG55" s="51">
        <v>144</v>
      </c>
      <c r="AH55" s="47">
        <f t="shared" si="2"/>
        <v>97</v>
      </c>
      <c r="AI55" s="48">
        <f t="shared" si="3"/>
        <v>96.4</v>
      </c>
      <c r="AK55" s="74"/>
    </row>
    <row r="56" spans="1:41" x14ac:dyDescent="0.25">
      <c r="A56" s="53" t="s">
        <v>72</v>
      </c>
      <c r="B56" s="64">
        <v>70</v>
      </c>
      <c r="C56" s="64">
        <v>60</v>
      </c>
      <c r="D56" s="64">
        <v>60</v>
      </c>
      <c r="E56" s="64">
        <v>70</v>
      </c>
      <c r="F56" s="64">
        <v>70</v>
      </c>
      <c r="G56" s="64">
        <v>70</v>
      </c>
      <c r="H56" s="64">
        <v>70</v>
      </c>
      <c r="I56" s="64">
        <v>70</v>
      </c>
      <c r="J56" s="64">
        <v>70</v>
      </c>
      <c r="K56" s="64">
        <v>70</v>
      </c>
      <c r="L56" s="64">
        <v>70</v>
      </c>
      <c r="M56" s="64">
        <v>70</v>
      </c>
      <c r="N56" s="64">
        <v>69</v>
      </c>
      <c r="O56" s="64">
        <v>69</v>
      </c>
      <c r="P56" s="64">
        <v>70.5</v>
      </c>
      <c r="Q56" s="64">
        <v>70.5</v>
      </c>
      <c r="R56" s="64">
        <v>70.5</v>
      </c>
      <c r="S56" s="45">
        <v>70.8</v>
      </c>
      <c r="T56" s="45">
        <v>70.8</v>
      </c>
      <c r="U56" s="45">
        <v>70.8</v>
      </c>
      <c r="V56" s="45">
        <v>70.8</v>
      </c>
      <c r="W56" s="45">
        <v>70.8</v>
      </c>
      <c r="X56" s="45">
        <v>70.8</v>
      </c>
      <c r="Y56" s="45">
        <v>70.8</v>
      </c>
      <c r="Z56" s="45">
        <v>70.8</v>
      </c>
      <c r="AA56" s="45">
        <v>70.8</v>
      </c>
      <c r="AB56" s="45">
        <v>70.8</v>
      </c>
      <c r="AC56" s="45">
        <v>70.8</v>
      </c>
      <c r="AD56" s="45">
        <v>70.8</v>
      </c>
      <c r="AE56" s="45">
        <v>70.8</v>
      </c>
      <c r="AF56" s="45">
        <v>70.8</v>
      </c>
      <c r="AG56" s="54">
        <v>70</v>
      </c>
      <c r="AH56" s="47">
        <f t="shared" si="2"/>
        <v>70.8</v>
      </c>
      <c r="AI56" s="48">
        <f t="shared" si="3"/>
        <v>60</v>
      </c>
      <c r="AK56" s="74"/>
    </row>
    <row r="57" spans="1:41" x14ac:dyDescent="0.25">
      <c r="A57" s="53" t="s">
        <v>73</v>
      </c>
      <c r="B57" s="64">
        <v>55</v>
      </c>
      <c r="C57" s="64">
        <v>55</v>
      </c>
      <c r="D57" s="64">
        <v>55</v>
      </c>
      <c r="E57" s="64">
        <v>55</v>
      </c>
      <c r="F57" s="64">
        <v>65</v>
      </c>
      <c r="G57" s="64">
        <v>65</v>
      </c>
      <c r="H57" s="64">
        <v>67.2</v>
      </c>
      <c r="I57" s="64">
        <v>67.2</v>
      </c>
      <c r="J57" s="64">
        <v>67.2</v>
      </c>
      <c r="K57" s="64">
        <v>67.2</v>
      </c>
      <c r="L57" s="64">
        <v>67.2</v>
      </c>
      <c r="M57" s="64">
        <v>67.2</v>
      </c>
      <c r="N57" s="64">
        <v>66.8</v>
      </c>
      <c r="O57" s="64">
        <v>66.8</v>
      </c>
      <c r="P57" s="64">
        <v>67.5</v>
      </c>
      <c r="Q57" s="64">
        <v>67.5</v>
      </c>
      <c r="R57" s="64">
        <v>67.5</v>
      </c>
      <c r="S57" s="45">
        <v>66.2</v>
      </c>
      <c r="T57" s="45">
        <v>66.2</v>
      </c>
      <c r="U57" s="45">
        <v>66.2</v>
      </c>
      <c r="V57" s="45">
        <v>66.2</v>
      </c>
      <c r="W57" s="45">
        <v>66.2</v>
      </c>
      <c r="X57" s="45">
        <v>66.2</v>
      </c>
      <c r="Y57" s="45">
        <v>66.2</v>
      </c>
      <c r="Z57" s="45">
        <v>66.2</v>
      </c>
      <c r="AA57" s="45">
        <v>67.3</v>
      </c>
      <c r="AB57" s="45">
        <v>67.3</v>
      </c>
      <c r="AC57" s="45">
        <v>67.3</v>
      </c>
      <c r="AD57" s="45">
        <v>67.3</v>
      </c>
      <c r="AE57" s="45">
        <v>67.3</v>
      </c>
      <c r="AF57" s="45">
        <v>67.3</v>
      </c>
      <c r="AG57" s="54">
        <v>69</v>
      </c>
      <c r="AH57" s="47">
        <f t="shared" si="2"/>
        <v>67.5</v>
      </c>
      <c r="AI57" s="48">
        <f t="shared" si="3"/>
        <v>55</v>
      </c>
      <c r="AK57" s="74"/>
    </row>
    <row r="58" spans="1:41" x14ac:dyDescent="0.25">
      <c r="A58" s="53" t="s">
        <v>74</v>
      </c>
      <c r="B58" s="64">
        <v>60.04</v>
      </c>
      <c r="C58" s="64">
        <v>60.04</v>
      </c>
      <c r="D58" s="64">
        <v>60.04</v>
      </c>
      <c r="E58" s="64">
        <v>60.04</v>
      </c>
      <c r="F58" s="64">
        <v>60.04</v>
      </c>
      <c r="G58" s="64">
        <v>60.04</v>
      </c>
      <c r="H58" s="64">
        <v>60.04</v>
      </c>
      <c r="I58" s="64">
        <v>60.04</v>
      </c>
      <c r="J58" s="64">
        <v>60.04</v>
      </c>
      <c r="K58" s="64">
        <v>60.04</v>
      </c>
      <c r="L58" s="64">
        <v>60.04</v>
      </c>
      <c r="M58" s="64">
        <v>60.04</v>
      </c>
      <c r="N58" s="64">
        <v>60</v>
      </c>
      <c r="O58" s="64">
        <v>60</v>
      </c>
      <c r="P58" s="64">
        <v>61.2</v>
      </c>
      <c r="Q58" s="64">
        <v>61.2</v>
      </c>
      <c r="R58" s="64">
        <v>61.2</v>
      </c>
      <c r="S58" s="45">
        <v>59</v>
      </c>
      <c r="T58" s="45">
        <v>59</v>
      </c>
      <c r="U58" s="45">
        <v>59</v>
      </c>
      <c r="V58" s="45">
        <v>59</v>
      </c>
      <c r="W58" s="45">
        <v>59</v>
      </c>
      <c r="X58" s="45">
        <v>59</v>
      </c>
      <c r="Y58" s="45">
        <v>59</v>
      </c>
      <c r="Z58" s="45">
        <v>59</v>
      </c>
      <c r="AA58" s="45">
        <v>59</v>
      </c>
      <c r="AB58" s="45">
        <v>59</v>
      </c>
      <c r="AC58" s="45">
        <v>59</v>
      </c>
      <c r="AD58" s="45">
        <v>59</v>
      </c>
      <c r="AE58" s="45">
        <v>59</v>
      </c>
      <c r="AF58" s="45">
        <v>59</v>
      </c>
      <c r="AG58" s="54">
        <v>60</v>
      </c>
      <c r="AH58" s="47">
        <f t="shared" si="2"/>
        <v>61.2</v>
      </c>
      <c r="AI58" s="48">
        <f t="shared" si="3"/>
        <v>59</v>
      </c>
      <c r="AK58" s="74"/>
    </row>
    <row r="59" spans="1:41" x14ac:dyDescent="0.25">
      <c r="A59" s="53" t="s">
        <v>75</v>
      </c>
      <c r="B59" s="64">
        <v>30</v>
      </c>
      <c r="C59" s="64">
        <v>30</v>
      </c>
      <c r="D59" s="64">
        <v>30</v>
      </c>
      <c r="E59" s="64">
        <v>30</v>
      </c>
      <c r="F59" s="64">
        <v>30</v>
      </c>
      <c r="G59" s="64">
        <v>30</v>
      </c>
      <c r="H59" s="64">
        <v>30</v>
      </c>
      <c r="I59" s="64">
        <v>30</v>
      </c>
      <c r="J59" s="64">
        <v>30</v>
      </c>
      <c r="K59" s="64">
        <v>30</v>
      </c>
      <c r="L59" s="64">
        <v>30</v>
      </c>
      <c r="M59" s="64">
        <v>30</v>
      </c>
      <c r="N59" s="64">
        <v>30</v>
      </c>
      <c r="O59" s="64">
        <v>30</v>
      </c>
      <c r="P59" s="64">
        <v>30</v>
      </c>
      <c r="Q59" s="64">
        <v>30</v>
      </c>
      <c r="R59" s="64">
        <v>30</v>
      </c>
      <c r="S59" s="64">
        <v>30</v>
      </c>
      <c r="T59" s="64">
        <v>30</v>
      </c>
      <c r="U59" s="64">
        <v>0</v>
      </c>
      <c r="V59" s="64">
        <v>28</v>
      </c>
      <c r="W59" s="64">
        <v>28</v>
      </c>
      <c r="X59" s="64">
        <v>28</v>
      </c>
      <c r="Y59" s="64">
        <v>0</v>
      </c>
      <c r="Z59" s="64">
        <v>22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2</v>
      </c>
      <c r="N60" s="64">
        <v>5.5</v>
      </c>
      <c r="O60" s="64">
        <v>5.7</v>
      </c>
      <c r="P60" s="64">
        <v>13.1</v>
      </c>
      <c r="Q60" s="64">
        <v>13.1</v>
      </c>
      <c r="R60" s="64">
        <v>9.6</v>
      </c>
      <c r="S60" s="64">
        <v>9.6</v>
      </c>
      <c r="T60" s="64">
        <v>4.5999999999999996</v>
      </c>
      <c r="U60" s="64">
        <v>2.8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13.1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17</v>
      </c>
      <c r="C61" s="64">
        <v>17</v>
      </c>
      <c r="D61" s="64">
        <v>17</v>
      </c>
      <c r="E61" s="64">
        <v>17</v>
      </c>
      <c r="F61" s="64">
        <v>17</v>
      </c>
      <c r="G61" s="64">
        <v>17</v>
      </c>
      <c r="H61" s="64">
        <v>17</v>
      </c>
      <c r="I61" s="64">
        <v>17</v>
      </c>
      <c r="J61" s="64">
        <v>17</v>
      </c>
      <c r="K61" s="64">
        <v>17</v>
      </c>
      <c r="L61" s="64">
        <v>17</v>
      </c>
      <c r="M61" s="64">
        <v>17</v>
      </c>
      <c r="N61" s="64">
        <v>17</v>
      </c>
      <c r="O61" s="64">
        <v>17</v>
      </c>
      <c r="P61" s="64">
        <v>17</v>
      </c>
      <c r="Q61" s="64">
        <v>17</v>
      </c>
      <c r="R61" s="64">
        <v>17</v>
      </c>
      <c r="S61" s="64">
        <v>17</v>
      </c>
      <c r="T61" s="64">
        <v>17</v>
      </c>
      <c r="U61" s="64">
        <v>17</v>
      </c>
      <c r="V61" s="64">
        <v>17</v>
      </c>
      <c r="W61" s="64">
        <v>17</v>
      </c>
      <c r="X61" s="64">
        <v>17</v>
      </c>
      <c r="Y61" s="64">
        <v>17</v>
      </c>
      <c r="Z61" s="64">
        <v>17</v>
      </c>
      <c r="AA61" s="64">
        <v>17</v>
      </c>
      <c r="AB61" s="64">
        <v>17</v>
      </c>
      <c r="AC61" s="64">
        <v>17</v>
      </c>
      <c r="AD61" s="64">
        <v>17</v>
      </c>
      <c r="AE61" s="64">
        <v>17</v>
      </c>
      <c r="AF61" s="64">
        <v>17</v>
      </c>
      <c r="AG61" s="54">
        <v>24</v>
      </c>
      <c r="AH61" s="47">
        <f t="shared" si="2"/>
        <v>17</v>
      </c>
      <c r="AI61" s="48">
        <f t="shared" si="3"/>
        <v>17</v>
      </c>
      <c r="AK61" s="74"/>
    </row>
    <row r="62" spans="1:41" x14ac:dyDescent="0.25">
      <c r="A62" s="53" t="s">
        <v>78</v>
      </c>
      <c r="B62" s="64">
        <v>3.5</v>
      </c>
      <c r="C62" s="64">
        <v>3.5</v>
      </c>
      <c r="D62" s="64">
        <v>3.5</v>
      </c>
      <c r="E62" s="64">
        <v>3.5</v>
      </c>
      <c r="F62" s="64">
        <v>3.5</v>
      </c>
      <c r="G62" s="64">
        <v>3.5</v>
      </c>
      <c r="H62" s="64">
        <v>3.5</v>
      </c>
      <c r="I62" s="64">
        <v>3.5</v>
      </c>
      <c r="J62" s="64">
        <v>3.5</v>
      </c>
      <c r="K62" s="64">
        <v>3.5</v>
      </c>
      <c r="L62" s="64">
        <v>3.5</v>
      </c>
      <c r="M62" s="64">
        <v>3.8</v>
      </c>
      <c r="N62" s="64">
        <v>3.8</v>
      </c>
      <c r="O62" s="64">
        <v>4</v>
      </c>
      <c r="P62" s="64">
        <v>4</v>
      </c>
      <c r="Q62" s="64">
        <v>4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2"/>
        <v>4</v>
      </c>
      <c r="AI62" s="48">
        <f t="shared" si="3"/>
        <v>3.5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12.7</v>
      </c>
      <c r="C63" s="64">
        <v>12.7</v>
      </c>
      <c r="D63" s="64">
        <v>12.7</v>
      </c>
      <c r="E63" s="64">
        <v>12.7</v>
      </c>
      <c r="F63" s="64">
        <v>13.9</v>
      </c>
      <c r="G63" s="64">
        <v>13.9</v>
      </c>
      <c r="H63" s="64">
        <v>13.9</v>
      </c>
      <c r="I63" s="64">
        <v>13.9</v>
      </c>
      <c r="J63" s="64">
        <v>13.9</v>
      </c>
      <c r="K63" s="64">
        <v>13.9</v>
      </c>
      <c r="L63" s="64">
        <v>13.9</v>
      </c>
      <c r="M63" s="64">
        <v>13.9</v>
      </c>
      <c r="N63" s="64">
        <v>12.9</v>
      </c>
      <c r="O63" s="64">
        <v>12.9</v>
      </c>
      <c r="P63" s="64">
        <v>13.1</v>
      </c>
      <c r="Q63" s="64">
        <v>13.1</v>
      </c>
      <c r="R63" s="64">
        <v>13.1</v>
      </c>
      <c r="S63" s="64">
        <v>13.1</v>
      </c>
      <c r="T63" s="64">
        <v>13.1</v>
      </c>
      <c r="U63" s="64">
        <v>13.1</v>
      </c>
      <c r="V63" s="64">
        <v>13.1</v>
      </c>
      <c r="W63" s="64">
        <v>13.1</v>
      </c>
      <c r="X63" s="64">
        <v>13.1</v>
      </c>
      <c r="Y63" s="64">
        <v>13.1</v>
      </c>
      <c r="Z63" s="64">
        <v>13.1</v>
      </c>
      <c r="AA63" s="64">
        <v>13.1</v>
      </c>
      <c r="AB63" s="64">
        <v>13.1</v>
      </c>
      <c r="AC63" s="64">
        <v>13.1</v>
      </c>
      <c r="AD63" s="64">
        <v>13.1</v>
      </c>
      <c r="AE63" s="64">
        <v>13.1</v>
      </c>
      <c r="AF63" s="64">
        <v>13.1</v>
      </c>
      <c r="AG63" s="54">
        <v>14.1</v>
      </c>
      <c r="AH63" s="47">
        <f t="shared" si="2"/>
        <v>13.9</v>
      </c>
      <c r="AI63" s="48">
        <f t="shared" si="3"/>
        <v>12.7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14</v>
      </c>
      <c r="C64" s="64">
        <v>14</v>
      </c>
      <c r="D64" s="64">
        <v>14</v>
      </c>
      <c r="E64" s="64">
        <v>14</v>
      </c>
      <c r="F64" s="64">
        <v>14</v>
      </c>
      <c r="G64" s="64">
        <v>14</v>
      </c>
      <c r="H64" s="64">
        <v>14</v>
      </c>
      <c r="I64" s="64">
        <v>14</v>
      </c>
      <c r="J64" s="64">
        <v>14</v>
      </c>
      <c r="K64" s="64">
        <v>14</v>
      </c>
      <c r="L64" s="64">
        <v>14</v>
      </c>
      <c r="M64" s="64">
        <v>14</v>
      </c>
      <c r="N64" s="64">
        <v>13.7</v>
      </c>
      <c r="O64" s="64">
        <v>13.7</v>
      </c>
      <c r="P64" s="64">
        <v>6.5</v>
      </c>
      <c r="Q64" s="64">
        <v>6.8</v>
      </c>
      <c r="R64" s="64">
        <v>6.8</v>
      </c>
      <c r="S64" s="64">
        <v>6.8</v>
      </c>
      <c r="T64" s="64">
        <v>6.8</v>
      </c>
      <c r="U64" s="64">
        <v>6.8</v>
      </c>
      <c r="V64" s="64">
        <v>5</v>
      </c>
      <c r="W64" s="64">
        <v>5</v>
      </c>
      <c r="X64" s="64">
        <v>5</v>
      </c>
      <c r="Y64" s="64">
        <v>0</v>
      </c>
      <c r="Z64" s="64">
        <v>0</v>
      </c>
      <c r="AA64" s="64">
        <v>11.7</v>
      </c>
      <c r="AB64" s="64">
        <v>11.7</v>
      </c>
      <c r="AC64" s="64">
        <v>11.7</v>
      </c>
      <c r="AD64" s="64">
        <v>11.7</v>
      </c>
      <c r="AE64" s="64">
        <v>11.7</v>
      </c>
      <c r="AF64" s="64">
        <v>11.7</v>
      </c>
      <c r="AG64" s="54">
        <v>14</v>
      </c>
      <c r="AH64" s="47">
        <f t="shared" si="2"/>
        <v>14</v>
      </c>
      <c r="AI64" s="48">
        <f t="shared" si="3"/>
        <v>0</v>
      </c>
      <c r="AK64" s="74"/>
    </row>
    <row r="65" spans="1:40" x14ac:dyDescent="0.25">
      <c r="A65" s="53" t="s">
        <v>81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AG68" si="7">SUM(B55:B67)</f>
        <v>378.48</v>
      </c>
      <c r="C68" s="59">
        <f t="shared" si="7"/>
        <v>368.48</v>
      </c>
      <c r="D68" s="59">
        <f t="shared" si="7"/>
        <v>368.48</v>
      </c>
      <c r="E68" s="59">
        <f t="shared" si="7"/>
        <v>378.48</v>
      </c>
      <c r="F68" s="59">
        <f t="shared" si="7"/>
        <v>389.68</v>
      </c>
      <c r="G68" s="59">
        <f t="shared" si="7"/>
        <v>389.68</v>
      </c>
      <c r="H68" s="59">
        <f t="shared" si="7"/>
        <v>391.88</v>
      </c>
      <c r="I68" s="59">
        <f t="shared" si="7"/>
        <v>391.88</v>
      </c>
      <c r="J68" s="59">
        <f t="shared" si="7"/>
        <v>391.88</v>
      </c>
      <c r="K68" s="59">
        <f t="shared" si="7"/>
        <v>391.88</v>
      </c>
      <c r="L68" s="59">
        <f t="shared" si="7"/>
        <v>391.88</v>
      </c>
      <c r="M68" s="59">
        <f t="shared" si="7"/>
        <v>394.08000000000004</v>
      </c>
      <c r="N68" s="59">
        <f t="shared" si="7"/>
        <v>394.74</v>
      </c>
      <c r="O68" s="59">
        <f t="shared" si="7"/>
        <v>395.14</v>
      </c>
      <c r="P68" s="59">
        <f t="shared" si="7"/>
        <v>398.54000000000008</v>
      </c>
      <c r="Q68" s="59">
        <f t="shared" si="7"/>
        <v>398.84000000000009</v>
      </c>
      <c r="R68" s="59">
        <f t="shared" si="7"/>
        <v>395.34000000000009</v>
      </c>
      <c r="S68" s="59">
        <f t="shared" si="7"/>
        <v>392.74000000000007</v>
      </c>
      <c r="T68" s="59">
        <f t="shared" si="7"/>
        <v>387.74000000000007</v>
      </c>
      <c r="U68" s="59">
        <f t="shared" si="7"/>
        <v>355.94000000000005</v>
      </c>
      <c r="V68" s="59">
        <f t="shared" si="7"/>
        <v>379.34000000000003</v>
      </c>
      <c r="W68" s="59">
        <f t="shared" si="7"/>
        <v>379.34000000000003</v>
      </c>
      <c r="X68" s="59">
        <f t="shared" si="7"/>
        <v>379.34000000000003</v>
      </c>
      <c r="Y68" s="59">
        <f t="shared" si="7"/>
        <v>346.34000000000003</v>
      </c>
      <c r="Z68" s="59">
        <f t="shared" si="7"/>
        <v>368.34000000000003</v>
      </c>
      <c r="AA68" s="59">
        <f t="shared" si="7"/>
        <v>389.14000000000004</v>
      </c>
      <c r="AB68" s="59">
        <f t="shared" si="7"/>
        <v>389.14000000000004</v>
      </c>
      <c r="AC68" s="59">
        <f t="shared" si="7"/>
        <v>389.14000000000004</v>
      </c>
      <c r="AD68" s="59">
        <f t="shared" si="7"/>
        <v>389.14000000000004</v>
      </c>
      <c r="AE68" s="59">
        <f t="shared" si="7"/>
        <v>389.14000000000004</v>
      </c>
      <c r="AF68" s="59">
        <f t="shared" si="7"/>
        <v>389.14000000000004</v>
      </c>
      <c r="AG68" s="60">
        <f t="shared" si="7"/>
        <v>489.91</v>
      </c>
      <c r="AH68" s="47">
        <f t="shared" si="2"/>
        <v>398.84000000000009</v>
      </c>
      <c r="AI68" s="48">
        <f t="shared" si="3"/>
        <v>346.34000000000003</v>
      </c>
      <c r="AK68" s="74"/>
    </row>
    <row r="69" spans="1:40" x14ac:dyDescent="0.25">
      <c r="A69" s="44" t="s">
        <v>85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14.2</v>
      </c>
      <c r="N69" s="45">
        <v>13.4</v>
      </c>
      <c r="O69" s="45">
        <v>14</v>
      </c>
      <c r="P69" s="45">
        <v>14</v>
      </c>
      <c r="Q69" s="45">
        <v>14.2</v>
      </c>
      <c r="R69" s="45">
        <v>24.2</v>
      </c>
      <c r="S69" s="45">
        <v>30.5</v>
      </c>
      <c r="T69" s="45">
        <v>11.6</v>
      </c>
      <c r="U69" s="45">
        <v>10</v>
      </c>
      <c r="V69" s="45">
        <v>12.8</v>
      </c>
      <c r="W69" s="45">
        <v>10</v>
      </c>
      <c r="X69" s="45">
        <v>12.4</v>
      </c>
      <c r="Y69" s="45">
        <v>12.4</v>
      </c>
      <c r="Z69" s="45">
        <v>12.4</v>
      </c>
      <c r="AA69" s="45">
        <v>40</v>
      </c>
      <c r="AB69" s="45">
        <v>30</v>
      </c>
      <c r="AC69" s="45">
        <v>30</v>
      </c>
      <c r="AD69" s="45">
        <v>10</v>
      </c>
      <c r="AE69" s="45">
        <v>0</v>
      </c>
      <c r="AF69" s="45">
        <v>0</v>
      </c>
      <c r="AG69" s="51">
        <v>60</v>
      </c>
      <c r="AH69" s="47">
        <f t="shared" si="2"/>
        <v>40</v>
      </c>
      <c r="AI69" s="48">
        <f t="shared" si="3"/>
        <v>0</v>
      </c>
      <c r="AK69" s="74"/>
    </row>
    <row r="70" spans="1:40" x14ac:dyDescent="0.25">
      <c r="A70" s="53" t="s">
        <v>86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64">
        <v>6.2</v>
      </c>
      <c r="N70" s="64">
        <v>6.2</v>
      </c>
      <c r="O70" s="64">
        <v>6.1</v>
      </c>
      <c r="P70" s="64">
        <v>7.5</v>
      </c>
      <c r="Q70" s="64">
        <v>6.4</v>
      </c>
      <c r="R70" s="64">
        <v>11.1</v>
      </c>
      <c r="S70" s="64">
        <v>16.399999999999999</v>
      </c>
      <c r="T70" s="64">
        <v>10.199999999999999</v>
      </c>
      <c r="U70" s="64">
        <v>4.8</v>
      </c>
      <c r="V70" s="64">
        <v>4.9000000000000004</v>
      </c>
      <c r="W70" s="64">
        <v>4.7</v>
      </c>
      <c r="X70" s="64">
        <v>4.7</v>
      </c>
      <c r="Y70" s="64">
        <v>4.7</v>
      </c>
      <c r="Z70" s="64">
        <v>4.7</v>
      </c>
      <c r="AA70" s="64">
        <v>14</v>
      </c>
      <c r="AB70" s="64">
        <v>14</v>
      </c>
      <c r="AC70" s="64">
        <v>12</v>
      </c>
      <c r="AD70" s="64">
        <v>4.4000000000000004</v>
      </c>
      <c r="AE70" s="64">
        <v>0</v>
      </c>
      <c r="AF70" s="64">
        <v>0</v>
      </c>
      <c r="AG70" s="54">
        <v>32</v>
      </c>
      <c r="AH70" s="47">
        <f t="shared" si="2"/>
        <v>16.399999999999999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66">
        <v>2.2999999999999998</v>
      </c>
      <c r="N71" s="66">
        <v>2.2999999999999998</v>
      </c>
      <c r="O71" s="66">
        <v>2.2000000000000002</v>
      </c>
      <c r="P71" s="66">
        <v>2.7</v>
      </c>
      <c r="Q71" s="66">
        <v>2.2999999999999998</v>
      </c>
      <c r="R71" s="66">
        <v>4.0999999999999996</v>
      </c>
      <c r="S71" s="66">
        <v>6</v>
      </c>
      <c r="T71" s="66">
        <v>3.7</v>
      </c>
      <c r="U71" s="66">
        <v>1.8</v>
      </c>
      <c r="V71" s="66">
        <v>1.8</v>
      </c>
      <c r="W71" s="66">
        <v>1.7</v>
      </c>
      <c r="X71" s="66">
        <v>1.7</v>
      </c>
      <c r="Y71" s="66">
        <v>1.7</v>
      </c>
      <c r="Z71" s="66">
        <v>1.7</v>
      </c>
      <c r="AA71" s="66">
        <v>5.0999999999999996</v>
      </c>
      <c r="AB71" s="66">
        <v>5.0999999999999996</v>
      </c>
      <c r="AC71" s="66">
        <v>5.0999999999999996</v>
      </c>
      <c r="AD71" s="66">
        <v>1.6</v>
      </c>
      <c r="AE71" s="66">
        <v>0</v>
      </c>
      <c r="AF71" s="66">
        <v>0</v>
      </c>
      <c r="AG71" s="67">
        <v>14</v>
      </c>
      <c r="AH71" s="47">
        <f t="shared" si="2"/>
        <v>6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>B69+B70+B71</f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F72" si="8">M69+M70+M71</f>
        <v>22.7</v>
      </c>
      <c r="N72" s="59">
        <f t="shared" si="8"/>
        <v>21.900000000000002</v>
      </c>
      <c r="O72" s="59">
        <f t="shared" si="8"/>
        <v>22.3</v>
      </c>
      <c r="P72" s="59">
        <f t="shared" si="8"/>
        <v>24.2</v>
      </c>
      <c r="Q72" s="59">
        <f t="shared" si="8"/>
        <v>22.900000000000002</v>
      </c>
      <c r="R72" s="59">
        <f t="shared" si="8"/>
        <v>39.4</v>
      </c>
      <c r="S72" s="59">
        <f t="shared" si="8"/>
        <v>52.9</v>
      </c>
      <c r="T72" s="59">
        <f t="shared" si="8"/>
        <v>25.499999999999996</v>
      </c>
      <c r="U72" s="59">
        <f t="shared" si="8"/>
        <v>16.600000000000001</v>
      </c>
      <c r="V72" s="59">
        <f t="shared" si="8"/>
        <v>19.500000000000004</v>
      </c>
      <c r="W72" s="59">
        <f t="shared" si="8"/>
        <v>16.399999999999999</v>
      </c>
      <c r="X72" s="59">
        <f t="shared" si="8"/>
        <v>18.8</v>
      </c>
      <c r="Y72" s="59">
        <f t="shared" si="8"/>
        <v>18.8</v>
      </c>
      <c r="Z72" s="59">
        <f t="shared" si="8"/>
        <v>18.8</v>
      </c>
      <c r="AA72" s="59">
        <f t="shared" si="8"/>
        <v>59.1</v>
      </c>
      <c r="AB72" s="59">
        <f t="shared" si="8"/>
        <v>49.1</v>
      </c>
      <c r="AC72" s="59">
        <f t="shared" si="8"/>
        <v>47.1</v>
      </c>
      <c r="AD72" s="59">
        <f t="shared" si="8"/>
        <v>16</v>
      </c>
      <c r="AE72" s="59">
        <f t="shared" si="8"/>
        <v>0</v>
      </c>
      <c r="AF72" s="59">
        <f t="shared" si="8"/>
        <v>0</v>
      </c>
      <c r="AG72" s="60">
        <f>SUM(AG69:AG71)</f>
        <v>106</v>
      </c>
      <c r="AH72" s="47">
        <f t="shared" si="2"/>
        <v>59.1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0</v>
      </c>
      <c r="C73" s="45">
        <v>30</v>
      </c>
      <c r="D73" s="45">
        <v>33</v>
      </c>
      <c r="E73" s="45">
        <v>35</v>
      </c>
      <c r="F73" s="45">
        <v>27</v>
      </c>
      <c r="G73" s="45">
        <v>30</v>
      </c>
      <c r="H73" s="45">
        <v>33.4</v>
      </c>
      <c r="I73" s="45">
        <v>28</v>
      </c>
      <c r="J73" s="45">
        <v>27.5</v>
      </c>
      <c r="K73" s="45">
        <v>54.2</v>
      </c>
      <c r="L73" s="45">
        <v>46.1</v>
      </c>
      <c r="M73" s="45">
        <v>20</v>
      </c>
      <c r="N73" s="45">
        <v>25</v>
      </c>
      <c r="O73" s="45">
        <v>35.4</v>
      </c>
      <c r="P73" s="45">
        <v>27.4</v>
      </c>
      <c r="Q73" s="45">
        <v>21.3</v>
      </c>
      <c r="R73" s="45">
        <v>32.799999999999997</v>
      </c>
      <c r="S73" s="45">
        <v>38.9</v>
      </c>
      <c r="T73" s="45">
        <v>33.799999999999997</v>
      </c>
      <c r="U73" s="45">
        <v>65.3</v>
      </c>
      <c r="V73" s="45">
        <v>21.8</v>
      </c>
      <c r="W73" s="45">
        <v>21.8</v>
      </c>
      <c r="X73" s="45">
        <v>21.1</v>
      </c>
      <c r="Y73" s="45">
        <v>67.5</v>
      </c>
      <c r="Z73" s="45">
        <v>31.8</v>
      </c>
      <c r="AA73" s="45">
        <v>59</v>
      </c>
      <c r="AB73" s="45">
        <v>0</v>
      </c>
      <c r="AC73" s="45">
        <v>0</v>
      </c>
      <c r="AD73" s="45">
        <v>50</v>
      </c>
      <c r="AE73" s="45">
        <v>41</v>
      </c>
      <c r="AF73" s="45">
        <v>42</v>
      </c>
      <c r="AG73" s="51"/>
      <c r="AH73" s="47">
        <f t="shared" si="2"/>
        <v>67.5</v>
      </c>
      <c r="AI73" s="48">
        <f t="shared" si="3"/>
        <v>0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-308</v>
      </c>
      <c r="C75" s="64">
        <v>-317</v>
      </c>
      <c r="D75" s="64">
        <v>-317</v>
      </c>
      <c r="E75" s="64">
        <v>-331</v>
      </c>
      <c r="F75" s="64">
        <v>-300</v>
      </c>
      <c r="G75" s="64">
        <v>-330</v>
      </c>
      <c r="H75" s="64">
        <v>-339</v>
      </c>
      <c r="I75" s="64">
        <v>-310</v>
      </c>
      <c r="J75" s="64">
        <v>-309</v>
      </c>
      <c r="K75" s="64">
        <v>-327</v>
      </c>
      <c r="L75" s="64">
        <v>-325</v>
      </c>
      <c r="M75" s="64">
        <v>-322</v>
      </c>
      <c r="N75" s="64">
        <v>-263.3</v>
      </c>
      <c r="O75" s="64">
        <v>-263.8</v>
      </c>
      <c r="P75" s="64">
        <v>-252</v>
      </c>
      <c r="Q75" s="64">
        <v>-253.5</v>
      </c>
      <c r="R75" s="64">
        <v>-287.3</v>
      </c>
      <c r="S75" s="64">
        <v>-277</v>
      </c>
      <c r="T75" s="64">
        <v>-265</v>
      </c>
      <c r="U75" s="64">
        <v>-274</v>
      </c>
      <c r="V75" s="64">
        <v>-274</v>
      </c>
      <c r="W75" s="64">
        <v>-274</v>
      </c>
      <c r="X75" s="64">
        <v>-283.2</v>
      </c>
      <c r="Y75" s="64">
        <v>-322</v>
      </c>
      <c r="Z75" s="64">
        <v>-265</v>
      </c>
      <c r="AA75" s="64">
        <v>-211</v>
      </c>
      <c r="AB75" s="64">
        <v>-250</v>
      </c>
      <c r="AC75" s="64">
        <v>-240</v>
      </c>
      <c r="AD75" s="64">
        <v>-234</v>
      </c>
      <c r="AE75" s="64">
        <v>-260</v>
      </c>
      <c r="AF75" s="64">
        <v>-250</v>
      </c>
      <c r="AG75" s="75"/>
      <c r="AH75" s="47">
        <f t="shared" si="2"/>
        <v>-211</v>
      </c>
      <c r="AI75" s="48">
        <f t="shared" si="3"/>
        <v>-339</v>
      </c>
      <c r="AK75" s="74"/>
    </row>
    <row r="76" spans="1:40" x14ac:dyDescent="0.25">
      <c r="A76" s="53" t="s">
        <v>92</v>
      </c>
      <c r="B76" s="64">
        <v>45</v>
      </c>
      <c r="C76" s="64">
        <v>45.1</v>
      </c>
      <c r="D76" s="64">
        <v>45.1</v>
      </c>
      <c r="E76" s="64">
        <v>21.4</v>
      </c>
      <c r="F76" s="76">
        <v>21</v>
      </c>
      <c r="G76" s="76">
        <v>20.399999999999999</v>
      </c>
      <c r="H76" s="76">
        <v>20.6</v>
      </c>
      <c r="I76" s="76">
        <v>20</v>
      </c>
      <c r="J76" s="76">
        <v>20.100000000000001</v>
      </c>
      <c r="K76" s="76">
        <v>17.899999999999999</v>
      </c>
      <c r="L76" s="76">
        <v>17.8</v>
      </c>
      <c r="M76" s="76">
        <v>20.100000000000001</v>
      </c>
      <c r="N76" s="76">
        <v>19.899999999999999</v>
      </c>
      <c r="O76" s="76">
        <v>20.100000000000001</v>
      </c>
      <c r="P76" s="76">
        <v>22.8</v>
      </c>
      <c r="Q76" s="76">
        <v>22.3</v>
      </c>
      <c r="R76" s="76">
        <v>20.399999999999999</v>
      </c>
      <c r="S76" s="76">
        <v>20.3</v>
      </c>
      <c r="T76" s="76">
        <v>20.2</v>
      </c>
      <c r="U76" s="76">
        <v>19</v>
      </c>
      <c r="V76" s="76">
        <v>19.3</v>
      </c>
      <c r="W76" s="76">
        <v>19.3</v>
      </c>
      <c r="X76" s="76">
        <v>19.600000000000001</v>
      </c>
      <c r="Y76" s="76">
        <v>16.399999999999999</v>
      </c>
      <c r="Z76" s="76">
        <v>16.399999999999999</v>
      </c>
      <c r="AA76" s="76">
        <v>18</v>
      </c>
      <c r="AB76" s="76">
        <v>18</v>
      </c>
      <c r="AC76" s="76">
        <v>18</v>
      </c>
      <c r="AD76" s="76">
        <v>18</v>
      </c>
      <c r="AE76" s="76">
        <v>18</v>
      </c>
      <c r="AF76" s="76">
        <v>18</v>
      </c>
      <c r="AG76" s="75"/>
      <c r="AH76" s="47">
        <f t="shared" si="2"/>
        <v>45.1</v>
      </c>
      <c r="AI76" s="48">
        <f t="shared" si="3"/>
        <v>16.399999999999999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9">MAX(B77:AF77)</f>
        <v>0</v>
      </c>
      <c r="AI77" s="48">
        <f t="shared" ref="AI77:AI120" si="10">MIN(B77:AF77)</f>
        <v>0</v>
      </c>
      <c r="AK77" s="74"/>
    </row>
    <row r="78" spans="1:40" x14ac:dyDescent="0.25">
      <c r="A78" s="53" t="s">
        <v>94</v>
      </c>
      <c r="B78" s="45">
        <v>5</v>
      </c>
      <c r="C78" s="45">
        <v>5</v>
      </c>
      <c r="D78" s="45">
        <v>5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77">
        <v>5</v>
      </c>
      <c r="K78" s="77">
        <v>5</v>
      </c>
      <c r="L78" s="77">
        <v>5</v>
      </c>
      <c r="M78" s="77">
        <v>5</v>
      </c>
      <c r="N78" s="77">
        <v>0</v>
      </c>
      <c r="O78" s="77">
        <v>0</v>
      </c>
      <c r="P78" s="77">
        <v>5</v>
      </c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5</v>
      </c>
      <c r="AA78" s="77">
        <v>5</v>
      </c>
      <c r="AB78" s="77">
        <v>5</v>
      </c>
      <c r="AC78" s="77">
        <v>5</v>
      </c>
      <c r="AD78" s="77">
        <v>5</v>
      </c>
      <c r="AE78" s="77">
        <v>5</v>
      </c>
      <c r="AF78" s="77">
        <v>5</v>
      </c>
      <c r="AG78" s="75"/>
      <c r="AH78" s="47">
        <f t="shared" si="9"/>
        <v>5</v>
      </c>
      <c r="AI78" s="48">
        <f t="shared" si="10"/>
        <v>0</v>
      </c>
      <c r="AK78" s="74"/>
    </row>
    <row r="79" spans="1:40" ht="15.75" thickBot="1" x14ac:dyDescent="0.3">
      <c r="A79" s="53" t="s">
        <v>95</v>
      </c>
      <c r="B79" s="45">
        <v>0</v>
      </c>
      <c r="C79" s="45">
        <v>0</v>
      </c>
      <c r="D79" s="45">
        <v>0</v>
      </c>
      <c r="E79" s="45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9"/>
        <v>0</v>
      </c>
      <c r="AI79" s="48">
        <f t="shared" si="10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>
        <v>0</v>
      </c>
      <c r="C80" s="45">
        <v>0</v>
      </c>
      <c r="D80" s="45">
        <v>0</v>
      </c>
      <c r="E80" s="45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9"/>
        <v>0</v>
      </c>
      <c r="AI80" s="48">
        <f t="shared" si="10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>
        <v>0</v>
      </c>
      <c r="C81" s="45">
        <v>0</v>
      </c>
      <c r="D81" s="45">
        <v>0</v>
      </c>
      <c r="E81" s="45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9"/>
        <v>0</v>
      </c>
      <c r="AI81" s="48">
        <f t="shared" si="10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>
        <v>0</v>
      </c>
      <c r="C82" s="45">
        <v>0</v>
      </c>
      <c r="D82" s="45">
        <v>0</v>
      </c>
      <c r="E82" s="45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9"/>
        <v>0</v>
      </c>
      <c r="AI82" s="48">
        <f t="shared" si="10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>
        <v>0</v>
      </c>
      <c r="C83" s="45">
        <v>0</v>
      </c>
      <c r="D83" s="45">
        <v>0</v>
      </c>
      <c r="E83" s="45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9"/>
        <v>0</v>
      </c>
      <c r="AI83" s="48">
        <f t="shared" si="10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1">SUMIF(B73:B83,"&gt;0")</f>
        <v>50</v>
      </c>
      <c r="C84" s="59">
        <f t="shared" si="11"/>
        <v>80.099999999999994</v>
      </c>
      <c r="D84" s="59">
        <f t="shared" si="11"/>
        <v>83.1</v>
      </c>
      <c r="E84" s="59">
        <f t="shared" si="11"/>
        <v>56.4</v>
      </c>
      <c r="F84" s="59">
        <f t="shared" si="11"/>
        <v>48</v>
      </c>
      <c r="G84" s="59">
        <f t="shared" si="11"/>
        <v>50.4</v>
      </c>
      <c r="H84" s="59">
        <f t="shared" si="11"/>
        <v>54</v>
      </c>
      <c r="I84" s="59">
        <f t="shared" si="11"/>
        <v>48</v>
      </c>
      <c r="J84" s="59">
        <f t="shared" si="11"/>
        <v>52.6</v>
      </c>
      <c r="K84" s="59">
        <f t="shared" si="11"/>
        <v>77.099999999999994</v>
      </c>
      <c r="L84" s="59">
        <f t="shared" si="11"/>
        <v>68.900000000000006</v>
      </c>
      <c r="M84" s="59">
        <f t="shared" si="11"/>
        <v>45.1</v>
      </c>
      <c r="N84" s="59">
        <f t="shared" si="11"/>
        <v>44.9</v>
      </c>
      <c r="O84" s="59">
        <f t="shared" si="11"/>
        <v>55.5</v>
      </c>
      <c r="P84" s="59">
        <f t="shared" si="11"/>
        <v>55.2</v>
      </c>
      <c r="Q84" s="59">
        <f t="shared" si="11"/>
        <v>48.6</v>
      </c>
      <c r="R84" s="59">
        <f t="shared" si="11"/>
        <v>58.199999999999996</v>
      </c>
      <c r="S84" s="59">
        <f t="shared" si="11"/>
        <v>64.2</v>
      </c>
      <c r="T84" s="59">
        <f t="shared" si="11"/>
        <v>59</v>
      </c>
      <c r="U84" s="59">
        <f t="shared" si="11"/>
        <v>89.3</v>
      </c>
      <c r="V84" s="59">
        <f t="shared" si="11"/>
        <v>46.1</v>
      </c>
      <c r="W84" s="59">
        <f t="shared" si="11"/>
        <v>46.1</v>
      </c>
      <c r="X84" s="59">
        <f t="shared" si="11"/>
        <v>45.7</v>
      </c>
      <c r="Y84" s="59">
        <f t="shared" si="11"/>
        <v>88.9</v>
      </c>
      <c r="Z84" s="59">
        <f t="shared" si="11"/>
        <v>53.2</v>
      </c>
      <c r="AA84" s="59">
        <f t="shared" si="11"/>
        <v>82</v>
      </c>
      <c r="AB84" s="59">
        <f t="shared" si="11"/>
        <v>23</v>
      </c>
      <c r="AC84" s="59">
        <f t="shared" si="11"/>
        <v>23</v>
      </c>
      <c r="AD84" s="59">
        <f t="shared" si="11"/>
        <v>73</v>
      </c>
      <c r="AE84" s="59">
        <f t="shared" si="11"/>
        <v>64</v>
      </c>
      <c r="AF84" s="59">
        <f t="shared" si="11"/>
        <v>65</v>
      </c>
      <c r="AG84" s="88">
        <f>SUM(AG73:AG83)</f>
        <v>0</v>
      </c>
      <c r="AH84" s="47">
        <f t="shared" si="9"/>
        <v>89.3</v>
      </c>
      <c r="AI84" s="48">
        <f t="shared" si="10"/>
        <v>23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9"/>
        <v>0</v>
      </c>
      <c r="AI85" s="48">
        <f t="shared" si="10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9"/>
        <v>0</v>
      </c>
      <c r="AI86" s="48">
        <f t="shared" si="10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9"/>
        <v>0</v>
      </c>
      <c r="AI87" s="48">
        <f t="shared" si="10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9"/>
        <v>0</v>
      </c>
      <c r="AI88" s="48">
        <f t="shared" si="10"/>
        <v>0</v>
      </c>
    </row>
    <row r="89" spans="1:40" ht="15.75" thickBot="1" x14ac:dyDescent="0.3">
      <c r="A89" s="73" t="s">
        <v>108</v>
      </c>
      <c r="B89" s="95">
        <f t="shared" ref="B89:AG89" si="12">B50+B54+B72+B68+B84+B88</f>
        <v>1841.89</v>
      </c>
      <c r="C89" s="95">
        <f t="shared" si="12"/>
        <v>1806.0900000000001</v>
      </c>
      <c r="D89" s="95">
        <f t="shared" si="12"/>
        <v>1809.0900000000001</v>
      </c>
      <c r="E89" s="95">
        <f t="shared" si="12"/>
        <v>1816.4900000000002</v>
      </c>
      <c r="F89" s="95">
        <f t="shared" si="12"/>
        <v>1838.89</v>
      </c>
      <c r="G89" s="95">
        <f t="shared" si="12"/>
        <v>1833.6900000000003</v>
      </c>
      <c r="H89" s="95">
        <f t="shared" si="12"/>
        <v>1850.4900000000002</v>
      </c>
      <c r="I89" s="95">
        <f t="shared" si="12"/>
        <v>1865.9900000000002</v>
      </c>
      <c r="J89" s="95">
        <f t="shared" si="12"/>
        <v>1913.9899999999998</v>
      </c>
      <c r="K89" s="95">
        <f t="shared" si="12"/>
        <v>1947.4899999999998</v>
      </c>
      <c r="L89" s="95">
        <f t="shared" si="12"/>
        <v>1939.29</v>
      </c>
      <c r="M89" s="95">
        <f t="shared" si="12"/>
        <v>1940.3899999999999</v>
      </c>
      <c r="N89" s="95">
        <f t="shared" si="12"/>
        <v>1903.7500000000002</v>
      </c>
      <c r="O89" s="95">
        <f t="shared" si="12"/>
        <v>1927.15</v>
      </c>
      <c r="P89" s="95">
        <f t="shared" si="12"/>
        <v>1960.2500000000002</v>
      </c>
      <c r="Q89" s="95">
        <f t="shared" si="12"/>
        <v>1952.65</v>
      </c>
      <c r="R89" s="95">
        <f t="shared" si="12"/>
        <v>1975.7500000000002</v>
      </c>
      <c r="S89" s="95">
        <f t="shared" si="12"/>
        <v>1992.65</v>
      </c>
      <c r="T89" s="95">
        <f t="shared" si="12"/>
        <v>1955.05</v>
      </c>
      <c r="U89" s="95">
        <f t="shared" si="12"/>
        <v>1944.6499999999999</v>
      </c>
      <c r="V89" s="95">
        <f t="shared" si="12"/>
        <v>1928.25</v>
      </c>
      <c r="W89" s="95">
        <f t="shared" si="12"/>
        <v>1925.15</v>
      </c>
      <c r="X89" s="95">
        <f t="shared" si="12"/>
        <v>1871.1499999999999</v>
      </c>
      <c r="Y89" s="95">
        <f t="shared" si="12"/>
        <v>1875.0500000000002</v>
      </c>
      <c r="Z89" s="95">
        <f t="shared" si="12"/>
        <v>1875.55</v>
      </c>
      <c r="AA89" s="95">
        <f t="shared" si="12"/>
        <v>2038.45</v>
      </c>
      <c r="AB89" s="95">
        <f t="shared" si="12"/>
        <v>1972.95</v>
      </c>
      <c r="AC89" s="95">
        <f t="shared" si="12"/>
        <v>1970.95</v>
      </c>
      <c r="AD89" s="95">
        <f t="shared" si="12"/>
        <v>1989.8500000000001</v>
      </c>
      <c r="AE89" s="95">
        <f t="shared" si="12"/>
        <v>1963.8500000000001</v>
      </c>
      <c r="AF89" s="95">
        <f t="shared" si="12"/>
        <v>1968.95</v>
      </c>
      <c r="AG89" s="60">
        <f t="shared" si="12"/>
        <v>2111.5500000000002</v>
      </c>
      <c r="AH89" s="47">
        <f t="shared" si="9"/>
        <v>2038.45</v>
      </c>
      <c r="AI89" s="48">
        <f t="shared" si="10"/>
        <v>1806.0900000000001</v>
      </c>
    </row>
    <row r="90" spans="1:40" ht="15.75" thickBot="1" x14ac:dyDescent="0.3">
      <c r="A90" s="96" t="s">
        <v>109</v>
      </c>
      <c r="B90" s="97">
        <v>100</v>
      </c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9"/>
        <v>100</v>
      </c>
      <c r="AI90" s="48">
        <f t="shared" si="10"/>
        <v>100</v>
      </c>
    </row>
    <row r="91" spans="1:40" ht="15.75" thickBot="1" x14ac:dyDescent="0.3">
      <c r="A91" s="73" t="s">
        <v>110</v>
      </c>
      <c r="B91" s="95">
        <f t="shared" ref="B91:AF91" si="13">B89+B90</f>
        <v>1941.89</v>
      </c>
      <c r="C91" s="95">
        <f t="shared" si="13"/>
        <v>1806.0900000000001</v>
      </c>
      <c r="D91" s="95">
        <f t="shared" si="13"/>
        <v>1809.0900000000001</v>
      </c>
      <c r="E91" s="95">
        <f t="shared" si="13"/>
        <v>1816.4900000000002</v>
      </c>
      <c r="F91" s="95">
        <f t="shared" si="13"/>
        <v>1838.89</v>
      </c>
      <c r="G91" s="95">
        <f t="shared" si="13"/>
        <v>1833.6900000000003</v>
      </c>
      <c r="H91" s="95">
        <f t="shared" si="13"/>
        <v>1850.4900000000002</v>
      </c>
      <c r="I91" s="95">
        <f t="shared" si="13"/>
        <v>1865.9900000000002</v>
      </c>
      <c r="J91" s="95">
        <f t="shared" si="13"/>
        <v>1913.9899999999998</v>
      </c>
      <c r="K91" s="95">
        <f t="shared" si="13"/>
        <v>1947.4899999999998</v>
      </c>
      <c r="L91" s="95">
        <f t="shared" si="13"/>
        <v>1939.29</v>
      </c>
      <c r="M91" s="95">
        <f t="shared" si="13"/>
        <v>1940.3899999999999</v>
      </c>
      <c r="N91" s="95">
        <f t="shared" si="13"/>
        <v>1903.7500000000002</v>
      </c>
      <c r="O91" s="95">
        <f t="shared" si="13"/>
        <v>1927.15</v>
      </c>
      <c r="P91" s="95">
        <f t="shared" si="13"/>
        <v>1960.2500000000002</v>
      </c>
      <c r="Q91" s="95">
        <f t="shared" si="13"/>
        <v>1952.65</v>
      </c>
      <c r="R91" s="95">
        <f t="shared" si="13"/>
        <v>1975.7500000000002</v>
      </c>
      <c r="S91" s="95">
        <f t="shared" si="13"/>
        <v>1992.65</v>
      </c>
      <c r="T91" s="95">
        <f t="shared" si="13"/>
        <v>1955.05</v>
      </c>
      <c r="U91" s="95">
        <f t="shared" si="13"/>
        <v>1944.6499999999999</v>
      </c>
      <c r="V91" s="95">
        <f t="shared" si="13"/>
        <v>1928.25</v>
      </c>
      <c r="W91" s="95">
        <f t="shared" si="13"/>
        <v>1925.15</v>
      </c>
      <c r="X91" s="95">
        <f t="shared" si="13"/>
        <v>1871.1499999999999</v>
      </c>
      <c r="Y91" s="95">
        <f t="shared" si="13"/>
        <v>1875.0500000000002</v>
      </c>
      <c r="Z91" s="95">
        <f t="shared" si="13"/>
        <v>1875.55</v>
      </c>
      <c r="AA91" s="95">
        <f t="shared" si="13"/>
        <v>2038.45</v>
      </c>
      <c r="AB91" s="95">
        <f t="shared" si="13"/>
        <v>1972.95</v>
      </c>
      <c r="AC91" s="95">
        <f t="shared" si="13"/>
        <v>1970.95</v>
      </c>
      <c r="AD91" s="95">
        <f t="shared" si="13"/>
        <v>1989.8500000000001</v>
      </c>
      <c r="AE91" s="95">
        <f t="shared" si="13"/>
        <v>1963.8500000000001</v>
      </c>
      <c r="AF91" s="95">
        <f t="shared" si="13"/>
        <v>1968.95</v>
      </c>
      <c r="AG91" s="88">
        <f>AG88+AG84+AG72+AG68+AG50+AG90</f>
        <v>1573.45</v>
      </c>
      <c r="AH91" s="47">
        <f t="shared" si="9"/>
        <v>2038.45</v>
      </c>
      <c r="AI91" s="48">
        <f t="shared" si="10"/>
        <v>1806.0900000000001</v>
      </c>
    </row>
    <row r="92" spans="1:40" ht="15.75" thickBot="1" x14ac:dyDescent="0.3">
      <c r="A92" s="73" t="s">
        <v>111</v>
      </c>
      <c r="B92" s="95">
        <f t="shared" ref="B92:AF92" si="14">B91-B99</f>
        <v>1941.89</v>
      </c>
      <c r="C92" s="95">
        <f t="shared" si="14"/>
        <v>1806.0900000000001</v>
      </c>
      <c r="D92" s="95">
        <f t="shared" si="14"/>
        <v>1809.0900000000001</v>
      </c>
      <c r="E92" s="95">
        <f t="shared" si="14"/>
        <v>1816.4900000000002</v>
      </c>
      <c r="F92" s="95">
        <f t="shared" si="14"/>
        <v>1838.89</v>
      </c>
      <c r="G92" s="95">
        <f t="shared" si="14"/>
        <v>1833.6900000000003</v>
      </c>
      <c r="H92" s="95">
        <f t="shared" si="14"/>
        <v>1850.4900000000002</v>
      </c>
      <c r="I92" s="95">
        <f t="shared" si="14"/>
        <v>1865.9900000000002</v>
      </c>
      <c r="J92" s="95">
        <f t="shared" si="14"/>
        <v>1913.9899999999998</v>
      </c>
      <c r="K92" s="95">
        <f t="shared" si="14"/>
        <v>1947.4899999999998</v>
      </c>
      <c r="L92" s="95">
        <f t="shared" si="14"/>
        <v>1939.29</v>
      </c>
      <c r="M92" s="95">
        <f t="shared" si="14"/>
        <v>1940.3899999999999</v>
      </c>
      <c r="N92" s="95">
        <f t="shared" si="14"/>
        <v>1903.7500000000002</v>
      </c>
      <c r="O92" s="95">
        <f t="shared" si="14"/>
        <v>1927.15</v>
      </c>
      <c r="P92" s="95">
        <f t="shared" si="14"/>
        <v>1960.2500000000002</v>
      </c>
      <c r="Q92" s="95">
        <f t="shared" si="14"/>
        <v>1952.65</v>
      </c>
      <c r="R92" s="95">
        <f t="shared" si="14"/>
        <v>1975.7500000000002</v>
      </c>
      <c r="S92" s="95">
        <f t="shared" si="14"/>
        <v>1992.65</v>
      </c>
      <c r="T92" s="95">
        <f t="shared" si="14"/>
        <v>1955.05</v>
      </c>
      <c r="U92" s="95">
        <f t="shared" si="14"/>
        <v>1944.6499999999999</v>
      </c>
      <c r="V92" s="95">
        <f t="shared" si="14"/>
        <v>1928.25</v>
      </c>
      <c r="W92" s="95">
        <f t="shared" si="14"/>
        <v>1925.15</v>
      </c>
      <c r="X92" s="95">
        <f t="shared" si="14"/>
        <v>1871.1499999999999</v>
      </c>
      <c r="Y92" s="95">
        <f t="shared" si="14"/>
        <v>1875.0500000000002</v>
      </c>
      <c r="Z92" s="95">
        <f t="shared" si="14"/>
        <v>1875.55</v>
      </c>
      <c r="AA92" s="95">
        <f t="shared" si="14"/>
        <v>2038.45</v>
      </c>
      <c r="AB92" s="95">
        <f t="shared" si="14"/>
        <v>1972.95</v>
      </c>
      <c r="AC92" s="95">
        <f t="shared" si="14"/>
        <v>1970.95</v>
      </c>
      <c r="AD92" s="95">
        <f t="shared" si="14"/>
        <v>1989.8500000000001</v>
      </c>
      <c r="AE92" s="95">
        <f t="shared" si="14"/>
        <v>1963.8500000000001</v>
      </c>
      <c r="AF92" s="95">
        <f t="shared" si="14"/>
        <v>1968.95</v>
      </c>
      <c r="AG92" s="88"/>
      <c r="AH92" s="47">
        <f t="shared" si="9"/>
        <v>2038.45</v>
      </c>
      <c r="AI92" s="48">
        <f t="shared" si="10"/>
        <v>1806.0900000000001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9"/>
        <v>0</v>
      </c>
      <c r="AI93" s="48">
        <f t="shared" si="10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9"/>
        <v>0</v>
      </c>
      <c r="AI94" s="48">
        <f t="shared" si="10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9"/>
        <v>0</v>
      </c>
      <c r="AI95" s="48">
        <f t="shared" si="10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9"/>
        <v>0</v>
      </c>
      <c r="AI96" s="48">
        <f t="shared" si="10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9"/>
        <v>0</v>
      </c>
      <c r="AI97" s="48">
        <f t="shared" si="10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9"/>
        <v>0</v>
      </c>
      <c r="AI98" s="48">
        <f t="shared" si="10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9"/>
        <v>0</v>
      </c>
      <c r="AI99" s="48">
        <f t="shared" si="10"/>
        <v>0</v>
      </c>
      <c r="AK99" s="74"/>
    </row>
    <row r="100" spans="1:37" ht="15.75" thickBot="1" x14ac:dyDescent="0.3">
      <c r="A100" s="73" t="s">
        <v>116</v>
      </c>
      <c r="B100" s="59">
        <f t="shared" ref="B100:AF100" si="15">B84-B99</f>
        <v>50</v>
      </c>
      <c r="C100" s="59">
        <f t="shared" si="15"/>
        <v>80.099999999999994</v>
      </c>
      <c r="D100" s="59">
        <f t="shared" si="15"/>
        <v>83.1</v>
      </c>
      <c r="E100" s="59">
        <f t="shared" si="15"/>
        <v>56.4</v>
      </c>
      <c r="F100" s="59">
        <f t="shared" si="15"/>
        <v>48</v>
      </c>
      <c r="G100" s="59">
        <f t="shared" si="15"/>
        <v>50.4</v>
      </c>
      <c r="H100" s="59">
        <f t="shared" si="15"/>
        <v>54</v>
      </c>
      <c r="I100" s="59">
        <f t="shared" si="15"/>
        <v>48</v>
      </c>
      <c r="J100" s="59">
        <f t="shared" si="15"/>
        <v>52.6</v>
      </c>
      <c r="K100" s="59">
        <f t="shared" si="15"/>
        <v>77.099999999999994</v>
      </c>
      <c r="L100" s="59">
        <f t="shared" si="15"/>
        <v>68.900000000000006</v>
      </c>
      <c r="M100" s="59">
        <f t="shared" si="15"/>
        <v>45.1</v>
      </c>
      <c r="N100" s="59">
        <f t="shared" si="15"/>
        <v>44.9</v>
      </c>
      <c r="O100" s="59">
        <f t="shared" si="15"/>
        <v>55.5</v>
      </c>
      <c r="P100" s="59">
        <f t="shared" si="15"/>
        <v>55.2</v>
      </c>
      <c r="Q100" s="59">
        <f t="shared" si="15"/>
        <v>48.6</v>
      </c>
      <c r="R100" s="59">
        <f t="shared" si="15"/>
        <v>58.199999999999996</v>
      </c>
      <c r="S100" s="59">
        <f t="shared" si="15"/>
        <v>64.2</v>
      </c>
      <c r="T100" s="59">
        <f t="shared" si="15"/>
        <v>59</v>
      </c>
      <c r="U100" s="59">
        <f t="shared" si="15"/>
        <v>89.3</v>
      </c>
      <c r="V100" s="59">
        <f t="shared" si="15"/>
        <v>46.1</v>
      </c>
      <c r="W100" s="59">
        <f t="shared" si="15"/>
        <v>46.1</v>
      </c>
      <c r="X100" s="59">
        <f t="shared" si="15"/>
        <v>45.7</v>
      </c>
      <c r="Y100" s="59">
        <f t="shared" si="15"/>
        <v>88.9</v>
      </c>
      <c r="Z100" s="59">
        <f t="shared" si="15"/>
        <v>53.2</v>
      </c>
      <c r="AA100" s="59">
        <f t="shared" si="15"/>
        <v>82</v>
      </c>
      <c r="AB100" s="59">
        <f t="shared" si="15"/>
        <v>23</v>
      </c>
      <c r="AC100" s="59">
        <f t="shared" si="15"/>
        <v>23</v>
      </c>
      <c r="AD100" s="59">
        <f t="shared" si="15"/>
        <v>73</v>
      </c>
      <c r="AE100" s="59">
        <f t="shared" si="15"/>
        <v>64</v>
      </c>
      <c r="AF100" s="59">
        <f t="shared" si="15"/>
        <v>65</v>
      </c>
      <c r="AG100" s="88"/>
      <c r="AH100" s="47">
        <f t="shared" si="9"/>
        <v>89.3</v>
      </c>
      <c r="AI100" s="48">
        <f t="shared" si="10"/>
        <v>23</v>
      </c>
    </row>
    <row r="101" spans="1:37" x14ac:dyDescent="0.25">
      <c r="A101" s="100" t="s">
        <v>117</v>
      </c>
      <c r="B101" s="101">
        <v>50.078000000000003</v>
      </c>
      <c r="C101" s="101">
        <v>49.935000000000002</v>
      </c>
      <c r="D101" s="101">
        <v>49.935000000000002</v>
      </c>
      <c r="E101" s="101">
        <v>50.055</v>
      </c>
      <c r="F101" s="101">
        <v>50.048999999999999</v>
      </c>
      <c r="G101" s="101">
        <v>49.987000000000002</v>
      </c>
      <c r="H101" s="101">
        <v>50.02</v>
      </c>
      <c r="I101" s="101">
        <v>49.91</v>
      </c>
      <c r="J101" s="101">
        <v>49.954000000000001</v>
      </c>
      <c r="K101" s="101">
        <v>49.976999999999997</v>
      </c>
      <c r="L101" s="101">
        <v>50.01</v>
      </c>
      <c r="M101" s="101">
        <v>50.037999999999997</v>
      </c>
      <c r="N101" s="101">
        <v>50.176000000000002</v>
      </c>
      <c r="O101" s="101">
        <v>50.067</v>
      </c>
      <c r="P101" s="101">
        <v>49.996000000000002</v>
      </c>
      <c r="Q101" s="101">
        <v>49.91</v>
      </c>
      <c r="R101" s="101">
        <v>49.975999999999999</v>
      </c>
      <c r="S101" s="101">
        <v>50.067999999999998</v>
      </c>
      <c r="T101" s="101">
        <v>50.110999999999997</v>
      </c>
      <c r="U101" s="101">
        <v>50.081000000000003</v>
      </c>
      <c r="V101" s="101">
        <v>50.003999999999998</v>
      </c>
      <c r="W101" s="101">
        <v>50.003999999999998</v>
      </c>
      <c r="X101" s="101">
        <v>49.92</v>
      </c>
      <c r="Y101" s="101">
        <v>50.018999999999998</v>
      </c>
      <c r="Z101" s="101">
        <v>49.930999999999997</v>
      </c>
      <c r="AA101" s="101">
        <v>50.045000000000002</v>
      </c>
      <c r="AB101" s="101">
        <v>49.96</v>
      </c>
      <c r="AC101" s="101">
        <v>49.95</v>
      </c>
      <c r="AD101" s="101">
        <v>49.93</v>
      </c>
      <c r="AE101" s="101">
        <v>50.01</v>
      </c>
      <c r="AF101" s="101">
        <v>50.03</v>
      </c>
      <c r="AG101" s="102"/>
      <c r="AH101" s="47">
        <f t="shared" si="9"/>
        <v>50.176000000000002</v>
      </c>
      <c r="AI101" s="48">
        <f t="shared" si="10"/>
        <v>49.91</v>
      </c>
    </row>
    <row r="102" spans="1:37" x14ac:dyDescent="0.25">
      <c r="A102" s="103" t="s">
        <v>118</v>
      </c>
      <c r="B102" s="64">
        <v>123.9</v>
      </c>
      <c r="C102" s="64">
        <v>122.5</v>
      </c>
      <c r="D102" s="64">
        <v>122.5</v>
      </c>
      <c r="E102" s="64">
        <v>125.2</v>
      </c>
      <c r="F102" s="64">
        <v>124.8</v>
      </c>
      <c r="G102" s="64">
        <v>124.8</v>
      </c>
      <c r="H102" s="64">
        <v>124.6</v>
      </c>
      <c r="I102" s="64">
        <v>123.5</v>
      </c>
      <c r="J102" s="64">
        <v>123</v>
      </c>
      <c r="K102" s="64">
        <v>121.2</v>
      </c>
      <c r="L102" s="64">
        <v>121.6</v>
      </c>
      <c r="M102" s="64">
        <v>123</v>
      </c>
      <c r="N102" s="64">
        <v>121.8</v>
      </c>
      <c r="O102" s="64">
        <v>122.3</v>
      </c>
      <c r="P102" s="64">
        <v>121.8</v>
      </c>
      <c r="Q102" s="64">
        <v>120.4</v>
      </c>
      <c r="R102" s="64">
        <v>120.8</v>
      </c>
      <c r="S102" s="64">
        <v>122.6</v>
      </c>
      <c r="T102" s="64">
        <v>120.2</v>
      </c>
      <c r="U102" s="64">
        <v>121.5</v>
      </c>
      <c r="V102" s="64">
        <v>122.1</v>
      </c>
      <c r="W102" s="64">
        <v>122.1</v>
      </c>
      <c r="X102" s="64">
        <v>123.4</v>
      </c>
      <c r="Y102" s="64">
        <v>125.4</v>
      </c>
      <c r="Z102" s="64">
        <v>124.3</v>
      </c>
      <c r="AA102" s="64">
        <v>123</v>
      </c>
      <c r="AB102" s="64">
        <v>123</v>
      </c>
      <c r="AC102" s="64">
        <v>123</v>
      </c>
      <c r="AD102" s="64">
        <v>123</v>
      </c>
      <c r="AE102" s="64">
        <v>120</v>
      </c>
      <c r="AF102" s="64">
        <v>120</v>
      </c>
      <c r="AG102" s="104"/>
      <c r="AH102" s="47">
        <f t="shared" si="9"/>
        <v>125.4</v>
      </c>
      <c r="AI102" s="48">
        <f t="shared" si="10"/>
        <v>120</v>
      </c>
    </row>
    <row r="103" spans="1:37" x14ac:dyDescent="0.25">
      <c r="A103" s="103" t="s">
        <v>119</v>
      </c>
      <c r="B103" s="64">
        <v>129.69999999999999</v>
      </c>
      <c r="C103" s="64">
        <v>129</v>
      </c>
      <c r="D103" s="64">
        <v>129</v>
      </c>
      <c r="E103" s="64">
        <v>130.69999999999999</v>
      </c>
      <c r="F103" s="64">
        <v>130.19999999999999</v>
      </c>
      <c r="G103" s="64">
        <v>129.69999999999999</v>
      </c>
      <c r="H103" s="64">
        <v>129.19999999999999</v>
      </c>
      <c r="I103" s="64">
        <v>128.5</v>
      </c>
      <c r="J103" s="64">
        <v>128.80000000000001</v>
      </c>
      <c r="K103" s="64">
        <v>125.4</v>
      </c>
      <c r="L103" s="64">
        <v>126.1</v>
      </c>
      <c r="M103" s="64">
        <v>127.1</v>
      </c>
      <c r="N103" s="64">
        <v>126.3</v>
      </c>
      <c r="O103" s="64">
        <v>126.3</v>
      </c>
      <c r="P103" s="64">
        <v>125.7</v>
      </c>
      <c r="Q103" s="64">
        <v>125.4</v>
      </c>
      <c r="R103" s="64">
        <v>125.6</v>
      </c>
      <c r="S103" s="64">
        <v>126.7</v>
      </c>
      <c r="T103" s="64">
        <v>125.1</v>
      </c>
      <c r="U103" s="64">
        <v>125.8</v>
      </c>
      <c r="V103" s="64">
        <v>126.1</v>
      </c>
      <c r="W103" s="64">
        <v>126.1</v>
      </c>
      <c r="X103" s="64">
        <v>128</v>
      </c>
      <c r="Y103" s="64">
        <v>128.69999999999999</v>
      </c>
      <c r="Z103" s="64">
        <v>128.5</v>
      </c>
      <c r="AA103" s="64">
        <v>127.2</v>
      </c>
      <c r="AB103" s="64">
        <v>127.2</v>
      </c>
      <c r="AC103" s="64">
        <v>127.2</v>
      </c>
      <c r="AD103" s="64">
        <v>127.2</v>
      </c>
      <c r="AE103" s="64">
        <v>126</v>
      </c>
      <c r="AF103" s="64">
        <v>126</v>
      </c>
      <c r="AG103" s="104"/>
      <c r="AH103" s="47">
        <f t="shared" si="9"/>
        <v>130.69999999999999</v>
      </c>
      <c r="AI103" s="48">
        <f t="shared" si="10"/>
        <v>125.1</v>
      </c>
    </row>
    <row r="104" spans="1:37" x14ac:dyDescent="0.25">
      <c r="A104" s="103" t="s">
        <v>120</v>
      </c>
      <c r="B104" s="64">
        <v>129.19999999999999</v>
      </c>
      <c r="C104" s="64">
        <v>132.4</v>
      </c>
      <c r="D104" s="64">
        <v>132.4</v>
      </c>
      <c r="E104" s="64">
        <v>131.9</v>
      </c>
      <c r="F104" s="64">
        <v>130.9</v>
      </c>
      <c r="G104" s="64">
        <v>131.80000000000001</v>
      </c>
      <c r="H104" s="64">
        <v>130.80000000000001</v>
      </c>
      <c r="I104" s="64">
        <v>129.30000000000001</v>
      </c>
      <c r="J104" s="64">
        <v>126.4</v>
      </c>
      <c r="K104" s="64">
        <v>129.1</v>
      </c>
      <c r="L104" s="64">
        <v>127.8</v>
      </c>
      <c r="M104" s="64">
        <v>125.3</v>
      </c>
      <c r="N104" s="64">
        <v>128.30000000000001</v>
      </c>
      <c r="O104" s="64">
        <v>122.7</v>
      </c>
      <c r="P104" s="64">
        <v>129.80000000000001</v>
      </c>
      <c r="Q104" s="64">
        <v>126</v>
      </c>
      <c r="R104" s="64">
        <v>129</v>
      </c>
      <c r="S104" s="64">
        <v>132.19999999999999</v>
      </c>
      <c r="T104" s="64">
        <v>128.19999999999999</v>
      </c>
      <c r="U104" s="64">
        <v>128.30000000000001</v>
      </c>
      <c r="V104" s="64">
        <v>129.4</v>
      </c>
      <c r="W104" s="64">
        <v>129.4</v>
      </c>
      <c r="X104" s="64">
        <v>129.19999999999999</v>
      </c>
      <c r="Y104" s="64">
        <v>129.19999999999999</v>
      </c>
      <c r="Z104" s="64">
        <v>127.2</v>
      </c>
      <c r="AA104" s="64">
        <v>127</v>
      </c>
      <c r="AB104" s="64">
        <v>127</v>
      </c>
      <c r="AC104" s="64">
        <v>127</v>
      </c>
      <c r="AD104" s="64">
        <v>127</v>
      </c>
      <c r="AE104" s="64">
        <v>130</v>
      </c>
      <c r="AF104" s="64">
        <v>130</v>
      </c>
      <c r="AG104" s="104"/>
      <c r="AH104" s="47">
        <f t="shared" si="9"/>
        <v>132.4</v>
      </c>
      <c r="AI104" s="48">
        <f t="shared" si="10"/>
        <v>122.7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9"/>
        <v>0</v>
      </c>
      <c r="AI105" s="48">
        <f t="shared" si="10"/>
        <v>0</v>
      </c>
    </row>
    <row r="106" spans="1:37" x14ac:dyDescent="0.25">
      <c r="A106" s="105" t="s">
        <v>122</v>
      </c>
      <c r="B106" s="106">
        <v>134</v>
      </c>
      <c r="C106" s="106">
        <v>131.69999999999999</v>
      </c>
      <c r="D106" s="106">
        <v>131.69999999999999</v>
      </c>
      <c r="E106" s="106">
        <v>131.6</v>
      </c>
      <c r="F106" s="106">
        <v>127.9</v>
      </c>
      <c r="G106" s="106">
        <v>130.5</v>
      </c>
      <c r="H106" s="106">
        <v>128.69999999999999</v>
      </c>
      <c r="I106" s="106">
        <v>129.1</v>
      </c>
      <c r="J106" s="106">
        <v>132.6</v>
      </c>
      <c r="K106" s="106">
        <v>131.6</v>
      </c>
      <c r="L106" s="106">
        <v>131.5</v>
      </c>
      <c r="M106" s="106">
        <v>131.30000000000001</v>
      </c>
      <c r="N106" s="106">
        <v>128</v>
      </c>
      <c r="O106" s="106">
        <v>128.19999999999999</v>
      </c>
      <c r="P106" s="106">
        <v>128.80000000000001</v>
      </c>
      <c r="Q106" s="106">
        <v>132.6</v>
      </c>
      <c r="R106" s="106">
        <v>130.1</v>
      </c>
      <c r="S106" s="106">
        <v>132.1</v>
      </c>
      <c r="T106" s="106">
        <v>131.4</v>
      </c>
      <c r="U106" s="106">
        <v>130.1</v>
      </c>
      <c r="V106" s="106">
        <v>131.1</v>
      </c>
      <c r="W106" s="106">
        <v>131.1</v>
      </c>
      <c r="X106" s="106">
        <v>131.30000000000001</v>
      </c>
      <c r="Y106" s="106">
        <v>132.9</v>
      </c>
      <c r="Z106" s="106">
        <v>134.4</v>
      </c>
      <c r="AA106" s="106">
        <v>132.4</v>
      </c>
      <c r="AB106" s="106">
        <v>132.4</v>
      </c>
      <c r="AC106" s="106">
        <v>132.4</v>
      </c>
      <c r="AD106" s="106">
        <v>132.4</v>
      </c>
      <c r="AE106" s="106">
        <v>130.6</v>
      </c>
      <c r="AF106" s="106">
        <v>130.6</v>
      </c>
      <c r="AG106" s="107"/>
      <c r="AH106" s="47">
        <f t="shared" si="9"/>
        <v>134.4</v>
      </c>
      <c r="AI106" s="48">
        <f t="shared" si="10"/>
        <v>127.9</v>
      </c>
    </row>
    <row r="107" spans="1:37" x14ac:dyDescent="0.25">
      <c r="A107" s="103" t="s">
        <v>123</v>
      </c>
      <c r="B107" s="64">
        <v>131.80000000000001</v>
      </c>
      <c r="C107" s="64">
        <v>127.7</v>
      </c>
      <c r="D107" s="64">
        <v>127.7</v>
      </c>
      <c r="E107" s="64">
        <v>128.19999999999999</v>
      </c>
      <c r="F107" s="64">
        <v>125.4</v>
      </c>
      <c r="G107" s="64">
        <v>129.19999999999999</v>
      </c>
      <c r="H107" s="64">
        <v>127.7</v>
      </c>
      <c r="I107" s="64">
        <v>125.6</v>
      </c>
      <c r="J107" s="64">
        <v>131.19999999999999</v>
      </c>
      <c r="K107" s="64">
        <v>134.19999999999999</v>
      </c>
      <c r="L107" s="64">
        <v>131.6</v>
      </c>
      <c r="M107" s="64">
        <v>130.4</v>
      </c>
      <c r="N107" s="64">
        <v>125.7</v>
      </c>
      <c r="O107" s="64">
        <v>127.6</v>
      </c>
      <c r="P107" s="64">
        <v>129.19999999999999</v>
      </c>
      <c r="Q107" s="64">
        <v>124.8</v>
      </c>
      <c r="R107" s="64">
        <v>120</v>
      </c>
      <c r="S107" s="64">
        <v>124.4</v>
      </c>
      <c r="T107" s="64">
        <v>135.1</v>
      </c>
      <c r="U107" s="64">
        <v>133.1</v>
      </c>
      <c r="V107" s="64">
        <v>131.69999999999999</v>
      </c>
      <c r="W107" s="64">
        <v>131.69999999999999</v>
      </c>
      <c r="X107" s="64">
        <v>133.1</v>
      </c>
      <c r="Y107" s="64">
        <v>135.9</v>
      </c>
      <c r="Z107" s="64">
        <v>127.9</v>
      </c>
      <c r="AA107" s="64">
        <v>122.8</v>
      </c>
      <c r="AB107" s="64">
        <v>122.8</v>
      </c>
      <c r="AC107" s="64">
        <v>122.8</v>
      </c>
      <c r="AD107" s="64">
        <v>122.8</v>
      </c>
      <c r="AE107" s="64">
        <v>121</v>
      </c>
      <c r="AF107" s="64">
        <v>121</v>
      </c>
      <c r="AG107" s="104"/>
      <c r="AH107" s="47">
        <f t="shared" si="9"/>
        <v>135.9</v>
      </c>
      <c r="AI107" s="48">
        <f t="shared" si="10"/>
        <v>120</v>
      </c>
    </row>
    <row r="108" spans="1:37" ht="15.75" thickBot="1" x14ac:dyDescent="0.3">
      <c r="A108" s="103" t="s">
        <v>124</v>
      </c>
      <c r="B108" s="92">
        <v>65.3</v>
      </c>
      <c r="C108" s="92">
        <v>64.900000000000006</v>
      </c>
      <c r="D108" s="92">
        <v>64.900000000000006</v>
      </c>
      <c r="E108" s="92">
        <v>65.7</v>
      </c>
      <c r="F108" s="92">
        <v>65.2</v>
      </c>
      <c r="G108" s="92">
        <v>65.2</v>
      </c>
      <c r="H108" s="92">
        <v>64.599999999999994</v>
      </c>
      <c r="I108" s="92">
        <v>64.3</v>
      </c>
      <c r="J108" s="92">
        <v>64.3</v>
      </c>
      <c r="K108" s="92">
        <v>62.9</v>
      </c>
      <c r="L108" s="92">
        <v>63</v>
      </c>
      <c r="M108" s="92">
        <v>63.8</v>
      </c>
      <c r="N108" s="92">
        <v>63.4</v>
      </c>
      <c r="O108" s="92">
        <v>62.6</v>
      </c>
      <c r="P108" s="92">
        <v>62.8</v>
      </c>
      <c r="Q108" s="92">
        <v>62.5</v>
      </c>
      <c r="R108" s="92">
        <v>62.3</v>
      </c>
      <c r="S108" s="92">
        <v>63.1</v>
      </c>
      <c r="T108" s="92">
        <v>62.5</v>
      </c>
      <c r="U108" s="92">
        <v>62.5</v>
      </c>
      <c r="V108" s="92">
        <v>62.9</v>
      </c>
      <c r="W108" s="92">
        <v>62.9</v>
      </c>
      <c r="X108" s="92">
        <v>62.9</v>
      </c>
      <c r="Y108" s="92">
        <v>64.400000000000006</v>
      </c>
      <c r="Z108" s="92">
        <v>64.3</v>
      </c>
      <c r="AA108" s="92">
        <v>63.8</v>
      </c>
      <c r="AB108" s="92">
        <v>63.8</v>
      </c>
      <c r="AC108" s="92">
        <v>63.8</v>
      </c>
      <c r="AD108" s="92">
        <v>63.8</v>
      </c>
      <c r="AE108" s="92">
        <v>63</v>
      </c>
      <c r="AF108" s="92">
        <v>63</v>
      </c>
      <c r="AG108" s="108"/>
      <c r="AH108" s="47">
        <f t="shared" si="9"/>
        <v>65.7</v>
      </c>
      <c r="AI108" s="48">
        <f t="shared" si="10"/>
        <v>62.3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9"/>
        <v>0</v>
      </c>
      <c r="AI109" s="48">
        <f t="shared" si="10"/>
        <v>0</v>
      </c>
    </row>
    <row r="110" spans="1:37" ht="15.75" thickBot="1" x14ac:dyDescent="0.3">
      <c r="A110" s="110" t="s">
        <v>126</v>
      </c>
      <c r="B110" s="111">
        <f t="shared" ref="B110:O110" si="16">SUM(B20,B26,B29:B30,B58,B60:B61,B63,B65,B111:B115,B138,B144,B150,B159,B161,B173,B180,B183:B184,B191,B193,B195,B199:B201,B203:B205,B210,B216:B217,B219:B221,B229,B234)</f>
        <v>83.94</v>
      </c>
      <c r="C110" s="111">
        <f t="shared" si="16"/>
        <v>50.78</v>
      </c>
      <c r="D110" s="111">
        <f t="shared" si="16"/>
        <v>50.78</v>
      </c>
      <c r="E110" s="111">
        <f t="shared" si="16"/>
        <v>38.780000000000015</v>
      </c>
      <c r="F110" s="111">
        <f t="shared" si="16"/>
        <v>53.180000000000014</v>
      </c>
      <c r="G110" s="111">
        <f t="shared" si="16"/>
        <v>62.680000000000021</v>
      </c>
      <c r="H110" s="111">
        <f t="shared" si="16"/>
        <v>80.580000000000027</v>
      </c>
      <c r="I110" s="111">
        <f t="shared" si="16"/>
        <v>110.58</v>
      </c>
      <c r="J110" s="111">
        <f t="shared" si="16"/>
        <v>147.57999999999996</v>
      </c>
      <c r="K110" s="111">
        <f t="shared" si="16"/>
        <v>194.67999999999995</v>
      </c>
      <c r="L110" s="111">
        <f t="shared" si="16"/>
        <v>189.48</v>
      </c>
      <c r="M110" s="111">
        <f t="shared" si="16"/>
        <v>189.47999999999996</v>
      </c>
      <c r="N110" s="111">
        <f t="shared" si="16"/>
        <v>168.03999999999996</v>
      </c>
      <c r="O110" s="111">
        <f t="shared" si="16"/>
        <v>183.44</v>
      </c>
      <c r="P110" s="111">
        <v>42</v>
      </c>
      <c r="Q110" s="111">
        <f t="shared" ref="Q110:AF110" si="17">SUM(Q20,Q26,Q29:Q30,Q58,Q60:Q61,Q63,Q65,Q111:Q115,Q138,Q144,Q150,Q159,Q161,Q173,Q180,Q183:Q184,Q191,Q193,Q195,Q199:Q201,Q203:Q205,Q210,Q216:Q217,Q219:Q221,Q229,Q234)</f>
        <v>194.5</v>
      </c>
      <c r="R110" s="111">
        <f t="shared" si="17"/>
        <v>180.49999999999997</v>
      </c>
      <c r="S110" s="111">
        <f t="shared" si="17"/>
        <v>199.7</v>
      </c>
      <c r="T110" s="111">
        <f t="shared" si="17"/>
        <v>206.89999999999995</v>
      </c>
      <c r="U110" s="111">
        <f t="shared" si="17"/>
        <v>213.7</v>
      </c>
      <c r="V110" s="111">
        <f t="shared" si="17"/>
        <v>211.3</v>
      </c>
      <c r="W110" s="111">
        <f t="shared" si="17"/>
        <v>211.3</v>
      </c>
      <c r="X110" s="111">
        <f t="shared" si="17"/>
        <v>326.39999999999998</v>
      </c>
      <c r="Y110" s="111">
        <f t="shared" si="17"/>
        <v>190.2</v>
      </c>
      <c r="Z110" s="111">
        <f t="shared" si="17"/>
        <v>211.9</v>
      </c>
      <c r="AA110" s="111">
        <f t="shared" si="17"/>
        <v>290.7</v>
      </c>
      <c r="AB110" s="111">
        <f t="shared" si="17"/>
        <v>271</v>
      </c>
      <c r="AC110" s="111">
        <f t="shared" si="17"/>
        <v>232.00000000000003</v>
      </c>
      <c r="AD110" s="111"/>
      <c r="AE110" s="111">
        <f t="shared" si="17"/>
        <v>129.60000000000002</v>
      </c>
      <c r="AF110" s="111">
        <f t="shared" si="17"/>
        <v>129.60000000000002</v>
      </c>
      <c r="AG110" s="112"/>
      <c r="AH110" s="47">
        <f t="shared" si="9"/>
        <v>326.39999999999998</v>
      </c>
      <c r="AI110" s="48">
        <f t="shared" si="10"/>
        <v>38.780000000000015</v>
      </c>
    </row>
    <row r="111" spans="1:37" x14ac:dyDescent="0.25">
      <c r="A111" s="100" t="s">
        <v>127</v>
      </c>
      <c r="B111" s="113">
        <v>37</v>
      </c>
      <c r="C111" s="113">
        <v>16.399999999999999</v>
      </c>
      <c r="D111" s="113">
        <v>16.399999999999999</v>
      </c>
      <c r="E111" s="113">
        <v>17.5</v>
      </c>
      <c r="F111" s="113">
        <v>10.9</v>
      </c>
      <c r="G111" s="113">
        <v>16.2</v>
      </c>
      <c r="H111" s="113">
        <v>14.1</v>
      </c>
      <c r="I111" s="113">
        <v>21.5</v>
      </c>
      <c r="J111" s="113">
        <v>39</v>
      </c>
      <c r="K111" s="113">
        <v>51.7</v>
      </c>
      <c r="L111" s="113">
        <v>53.4</v>
      </c>
      <c r="M111" s="113">
        <v>41.6</v>
      </c>
      <c r="N111" s="113">
        <v>33.5</v>
      </c>
      <c r="O111" s="113">
        <v>42.5</v>
      </c>
      <c r="P111" s="113">
        <v>44.5</v>
      </c>
      <c r="Q111" s="113">
        <v>41.7</v>
      </c>
      <c r="R111" s="113">
        <v>30.4</v>
      </c>
      <c r="S111" s="113">
        <v>35.6</v>
      </c>
      <c r="T111" s="113">
        <v>40</v>
      </c>
      <c r="U111" s="113">
        <v>40</v>
      </c>
      <c r="V111" s="113">
        <v>36.4</v>
      </c>
      <c r="W111" s="113">
        <v>36.4</v>
      </c>
      <c r="X111" s="113">
        <v>24.9</v>
      </c>
      <c r="Y111" s="113">
        <v>24.3</v>
      </c>
      <c r="Z111" s="113">
        <v>37.9</v>
      </c>
      <c r="AA111" s="113">
        <v>50.7</v>
      </c>
      <c r="AB111" s="113">
        <v>55</v>
      </c>
      <c r="AC111" s="113">
        <v>60</v>
      </c>
      <c r="AD111" s="113">
        <v>67</v>
      </c>
      <c r="AE111" s="113">
        <v>62</v>
      </c>
      <c r="AF111" s="113">
        <v>62</v>
      </c>
      <c r="AG111" s="114">
        <v>75</v>
      </c>
      <c r="AH111" s="47">
        <f t="shared" si="9"/>
        <v>67</v>
      </c>
      <c r="AI111" s="48">
        <f t="shared" si="10"/>
        <v>10.9</v>
      </c>
    </row>
    <row r="112" spans="1:37" x14ac:dyDescent="0.25">
      <c r="A112" s="103" t="s">
        <v>128</v>
      </c>
      <c r="B112" s="115">
        <v>64.400000000000006</v>
      </c>
      <c r="C112" s="115">
        <v>33</v>
      </c>
      <c r="D112" s="115">
        <v>33</v>
      </c>
      <c r="E112" s="115">
        <v>34</v>
      </c>
      <c r="F112" s="115">
        <v>25.1</v>
      </c>
      <c r="G112" s="115">
        <v>31.9</v>
      </c>
      <c r="H112" s="115">
        <v>29.8</v>
      </c>
      <c r="I112" s="115">
        <v>39.1</v>
      </c>
      <c r="J112" s="115">
        <v>64.099999999999994</v>
      </c>
      <c r="K112" s="115">
        <v>83.4</v>
      </c>
      <c r="L112" s="115">
        <v>83.8</v>
      </c>
      <c r="M112" s="115">
        <v>62.5</v>
      </c>
      <c r="N112" s="115">
        <v>49.2</v>
      </c>
      <c r="O112" s="115">
        <v>61.3</v>
      </c>
      <c r="P112" s="115">
        <v>64.400000000000006</v>
      </c>
      <c r="Q112" s="115">
        <v>60.7</v>
      </c>
      <c r="R112" s="115">
        <v>47.8</v>
      </c>
      <c r="S112" s="115">
        <v>53.9</v>
      </c>
      <c r="T112" s="115">
        <v>60.3</v>
      </c>
      <c r="U112" s="115">
        <v>59</v>
      </c>
      <c r="V112" s="115">
        <v>53.8</v>
      </c>
      <c r="W112" s="115">
        <v>53.8</v>
      </c>
      <c r="X112" s="115">
        <v>53.8</v>
      </c>
      <c r="Y112" s="115">
        <v>33.299999999999997</v>
      </c>
      <c r="Z112" s="115">
        <v>49.4</v>
      </c>
      <c r="AA112" s="115">
        <v>74</v>
      </c>
      <c r="AB112" s="115">
        <v>74</v>
      </c>
      <c r="AC112" s="115">
        <v>40</v>
      </c>
      <c r="AD112" s="115">
        <v>45</v>
      </c>
      <c r="AE112" s="115">
        <v>40</v>
      </c>
      <c r="AF112" s="115">
        <v>40</v>
      </c>
      <c r="AG112" s="114">
        <v>240</v>
      </c>
      <c r="AH112" s="47">
        <f t="shared" si="9"/>
        <v>83.8</v>
      </c>
      <c r="AI112" s="48">
        <f t="shared" si="10"/>
        <v>25.1</v>
      </c>
    </row>
    <row r="113" spans="1:37" x14ac:dyDescent="0.25">
      <c r="A113" s="103" t="s">
        <v>129</v>
      </c>
      <c r="B113" s="115">
        <v>-160</v>
      </c>
      <c r="C113" s="115">
        <v>-140</v>
      </c>
      <c r="D113" s="115">
        <v>-140</v>
      </c>
      <c r="E113" s="115">
        <v>-140</v>
      </c>
      <c r="F113" s="115">
        <v>-117.6</v>
      </c>
      <c r="G113" s="115">
        <v>-115.6</v>
      </c>
      <c r="H113" s="115">
        <v>-98</v>
      </c>
      <c r="I113" s="115">
        <v>-94.6</v>
      </c>
      <c r="J113" s="115">
        <v>-115.6</v>
      </c>
      <c r="K113" s="115">
        <v>-155.6</v>
      </c>
      <c r="L113" s="115">
        <v>-159</v>
      </c>
      <c r="M113" s="115">
        <v>-101.7</v>
      </c>
      <c r="N113" s="115">
        <v>-95</v>
      </c>
      <c r="O113" s="115">
        <v>-100</v>
      </c>
      <c r="P113" s="115">
        <v>-113</v>
      </c>
      <c r="Q113" s="115">
        <v>-105.2</v>
      </c>
      <c r="R113" s="115">
        <v>-94</v>
      </c>
      <c r="S113" s="115">
        <f>-41-47.1</f>
        <v>-88.1</v>
      </c>
      <c r="T113" s="115">
        <v>-81</v>
      </c>
      <c r="U113" s="115">
        <v>-74</v>
      </c>
      <c r="V113" s="115">
        <v>-67</v>
      </c>
      <c r="W113" s="115">
        <v>-67</v>
      </c>
      <c r="X113" s="115">
        <v>59.2</v>
      </c>
      <c r="Y113" s="115">
        <v>-45</v>
      </c>
      <c r="Z113" s="115">
        <v>-60</v>
      </c>
      <c r="AA113" s="115">
        <v>-46</v>
      </c>
      <c r="AB113" s="115">
        <v>-70</v>
      </c>
      <c r="AC113" s="115">
        <v>-80</v>
      </c>
      <c r="AD113" s="115">
        <v>-90</v>
      </c>
      <c r="AE113" s="115">
        <v>-147</v>
      </c>
      <c r="AF113" s="115">
        <v>-147</v>
      </c>
      <c r="AG113" s="114">
        <v>240</v>
      </c>
      <c r="AH113" s="47">
        <f t="shared" si="9"/>
        <v>59.2</v>
      </c>
      <c r="AI113" s="48">
        <f t="shared" si="10"/>
        <v>-160</v>
      </c>
    </row>
    <row r="114" spans="1:37" x14ac:dyDescent="0.25">
      <c r="A114" s="103" t="s">
        <v>130</v>
      </c>
      <c r="B114" s="115">
        <v>-18</v>
      </c>
      <c r="C114" s="115">
        <v>-20</v>
      </c>
      <c r="D114" s="115">
        <v>-20</v>
      </c>
      <c r="E114" s="115">
        <v>-17</v>
      </c>
      <c r="F114" s="115">
        <v>-14.1</v>
      </c>
      <c r="G114" s="115">
        <v>-11.3</v>
      </c>
      <c r="H114" s="115">
        <v>-6.6</v>
      </c>
      <c r="I114" s="115">
        <v>-5.6</v>
      </c>
      <c r="J114" s="115">
        <v>-4.9000000000000004</v>
      </c>
      <c r="K114" s="115">
        <v>-7.5</v>
      </c>
      <c r="L114" s="115">
        <v>-7</v>
      </c>
      <c r="M114" s="115">
        <v>8.6999999999999993</v>
      </c>
      <c r="N114" s="115">
        <v>9.1999999999999993</v>
      </c>
      <c r="O114" s="115">
        <v>8.3000000000000007</v>
      </c>
      <c r="P114" s="115">
        <v>11.6</v>
      </c>
      <c r="Q114" s="115">
        <v>8.3000000000000007</v>
      </c>
      <c r="R114" s="115">
        <v>10.7</v>
      </c>
      <c r="S114" s="115">
        <v>15</v>
      </c>
      <c r="T114" s="115">
        <v>9</v>
      </c>
      <c r="U114" s="115">
        <v>12</v>
      </c>
      <c r="V114" s="115">
        <v>14</v>
      </c>
      <c r="W114" s="115">
        <v>14</v>
      </c>
      <c r="X114" s="115">
        <v>15.2</v>
      </c>
      <c r="Y114" s="115">
        <v>19</v>
      </c>
      <c r="Z114" s="115">
        <v>22</v>
      </c>
      <c r="AA114" s="115">
        <v>30</v>
      </c>
      <c r="AB114" s="115">
        <v>30</v>
      </c>
      <c r="AC114" s="115">
        <v>30</v>
      </c>
      <c r="AD114" s="115">
        <v>6.3</v>
      </c>
      <c r="AE114" s="115">
        <v>-9</v>
      </c>
      <c r="AF114" s="115">
        <v>-9</v>
      </c>
      <c r="AG114" s="114">
        <v>60</v>
      </c>
      <c r="AH114" s="47">
        <f t="shared" si="9"/>
        <v>30</v>
      </c>
      <c r="AI114" s="48">
        <f t="shared" si="10"/>
        <v>-20</v>
      </c>
    </row>
    <row r="115" spans="1:37" x14ac:dyDescent="0.25">
      <c r="A115" s="116" t="s">
        <v>131</v>
      </c>
      <c r="B115" s="117">
        <v>19.100000000000001</v>
      </c>
      <c r="C115" s="117">
        <v>19</v>
      </c>
      <c r="D115" s="117">
        <v>19</v>
      </c>
      <c r="E115" s="117">
        <v>7.3</v>
      </c>
      <c r="F115" s="117">
        <v>7.3</v>
      </c>
      <c r="G115" s="117">
        <v>7.5</v>
      </c>
      <c r="H115" s="117">
        <v>7.3</v>
      </c>
      <c r="I115" s="117">
        <v>7.8</v>
      </c>
      <c r="J115" s="117">
        <v>7.6</v>
      </c>
      <c r="K115" s="117">
        <v>65.3</v>
      </c>
      <c r="L115" s="117">
        <v>60.9</v>
      </c>
      <c r="M115" s="117">
        <v>19</v>
      </c>
      <c r="N115" s="117">
        <v>18.7</v>
      </c>
      <c r="O115" s="117">
        <v>18.7</v>
      </c>
      <c r="P115" s="117">
        <v>19</v>
      </c>
      <c r="Q115" s="117">
        <v>19.3</v>
      </c>
      <c r="R115" s="117">
        <v>18.899999999999999</v>
      </c>
      <c r="S115" s="117">
        <v>18.8</v>
      </c>
      <c r="T115" s="117">
        <v>19.100000000000001</v>
      </c>
      <c r="U115" s="117">
        <v>19</v>
      </c>
      <c r="V115" s="117">
        <v>19.2</v>
      </c>
      <c r="W115" s="117">
        <v>19.2</v>
      </c>
      <c r="X115" s="117">
        <v>18.399999999999999</v>
      </c>
      <c r="Y115" s="117">
        <v>19</v>
      </c>
      <c r="Z115" s="117">
        <v>18</v>
      </c>
      <c r="AA115" s="117">
        <v>17.399999999999999</v>
      </c>
      <c r="AB115" s="117">
        <v>17.399999999999999</v>
      </c>
      <c r="AC115" s="117">
        <v>17.399999999999999</v>
      </c>
      <c r="AD115" s="117">
        <v>18</v>
      </c>
      <c r="AE115" s="117">
        <v>19</v>
      </c>
      <c r="AF115" s="117">
        <v>19</v>
      </c>
      <c r="AG115" s="118">
        <v>120</v>
      </c>
      <c r="AH115" s="47">
        <f t="shared" si="9"/>
        <v>65.3</v>
      </c>
      <c r="AI115" s="48">
        <f t="shared" si="10"/>
        <v>7.3</v>
      </c>
    </row>
    <row r="116" spans="1:37" x14ac:dyDescent="0.25">
      <c r="A116" s="116" t="s">
        <v>132</v>
      </c>
      <c r="B116" s="117">
        <v>72.7</v>
      </c>
      <c r="C116" s="117">
        <v>75</v>
      </c>
      <c r="D116" s="117">
        <v>75</v>
      </c>
      <c r="E116" s="117">
        <v>71.8</v>
      </c>
      <c r="F116" s="117">
        <v>88.8</v>
      </c>
      <c r="G116" s="117">
        <v>80.5</v>
      </c>
      <c r="H116" s="117">
        <v>88.3</v>
      </c>
      <c r="I116" s="117">
        <v>87.8</v>
      </c>
      <c r="J116" s="117">
        <v>76</v>
      </c>
      <c r="K116" s="117">
        <v>56</v>
      </c>
      <c r="L116" s="117">
        <v>53.2</v>
      </c>
      <c r="M116" s="117">
        <v>84</v>
      </c>
      <c r="N116" s="117">
        <v>95.4</v>
      </c>
      <c r="O116" s="117">
        <v>87.5</v>
      </c>
      <c r="P116" s="117">
        <v>81.099999999999994</v>
      </c>
      <c r="Q116" s="117">
        <v>94.1</v>
      </c>
      <c r="R116" s="117">
        <v>96.4</v>
      </c>
      <c r="S116" s="117">
        <v>75.599999999999994</v>
      </c>
      <c r="T116" s="117">
        <v>104</v>
      </c>
      <c r="U116" s="117">
        <v>102</v>
      </c>
      <c r="V116" s="117">
        <v>88</v>
      </c>
      <c r="W116" s="117">
        <v>88</v>
      </c>
      <c r="X116" s="117">
        <v>76</v>
      </c>
      <c r="Y116" s="117">
        <v>83</v>
      </c>
      <c r="Z116" s="117">
        <v>82</v>
      </c>
      <c r="AA116" s="117">
        <v>95</v>
      </c>
      <c r="AB116" s="117">
        <v>95</v>
      </c>
      <c r="AC116" s="117">
        <v>95</v>
      </c>
      <c r="AD116" s="117">
        <v>88</v>
      </c>
      <c r="AE116" s="117">
        <v>78</v>
      </c>
      <c r="AF116" s="117">
        <v>78</v>
      </c>
      <c r="AG116" s="118"/>
      <c r="AH116" s="47">
        <f t="shared" si="9"/>
        <v>104</v>
      </c>
      <c r="AI116" s="48">
        <f t="shared" si="10"/>
        <v>53.2</v>
      </c>
    </row>
    <row r="117" spans="1:37" x14ac:dyDescent="0.25">
      <c r="A117" s="116" t="s">
        <v>133</v>
      </c>
      <c r="B117" s="117">
        <v>33.799999999999997</v>
      </c>
      <c r="C117" s="117">
        <v>46.8</v>
      </c>
      <c r="D117" s="117">
        <v>46.8</v>
      </c>
      <c r="E117" s="117">
        <v>46</v>
      </c>
      <c r="F117" s="117">
        <v>60.2</v>
      </c>
      <c r="G117" s="117">
        <v>56.4</v>
      </c>
      <c r="H117" s="117">
        <v>54.5</v>
      </c>
      <c r="I117" s="117">
        <v>57</v>
      </c>
      <c r="J117" s="117">
        <v>52.4</v>
      </c>
      <c r="K117" s="117">
        <v>31.5</v>
      </c>
      <c r="L117" s="117">
        <v>29.1</v>
      </c>
      <c r="M117" s="117">
        <v>50.8</v>
      </c>
      <c r="N117" s="117">
        <v>49.1</v>
      </c>
      <c r="O117" s="117">
        <v>44.9</v>
      </c>
      <c r="P117" s="117">
        <v>42.5</v>
      </c>
      <c r="Q117" s="117">
        <v>43.6</v>
      </c>
      <c r="R117" s="117">
        <v>52.2</v>
      </c>
      <c r="S117" s="117">
        <v>41.7</v>
      </c>
      <c r="T117" s="117">
        <v>45</v>
      </c>
      <c r="U117" s="117">
        <v>46</v>
      </c>
      <c r="V117" s="117">
        <v>52</v>
      </c>
      <c r="W117" s="117">
        <v>52</v>
      </c>
      <c r="X117" s="117">
        <v>55.5</v>
      </c>
      <c r="Y117" s="117">
        <v>39</v>
      </c>
      <c r="Z117" s="117">
        <v>33</v>
      </c>
      <c r="AA117" s="117">
        <v>42</v>
      </c>
      <c r="AB117" s="117">
        <v>42</v>
      </c>
      <c r="AC117" s="117">
        <v>42</v>
      </c>
      <c r="AD117" s="117">
        <v>48</v>
      </c>
      <c r="AE117" s="117">
        <v>58</v>
      </c>
      <c r="AF117" s="117">
        <v>58</v>
      </c>
      <c r="AG117" s="119"/>
      <c r="AH117" s="47">
        <f t="shared" si="9"/>
        <v>60.2</v>
      </c>
      <c r="AI117" s="48">
        <f t="shared" si="10"/>
        <v>29.1</v>
      </c>
    </row>
    <row r="118" spans="1:37" x14ac:dyDescent="0.25">
      <c r="A118" s="120" t="s">
        <v>134</v>
      </c>
      <c r="B118" s="106">
        <v>38.799999999999997</v>
      </c>
      <c r="C118" s="106">
        <v>50.3</v>
      </c>
      <c r="D118" s="106">
        <v>50.3</v>
      </c>
      <c r="E118" s="106">
        <v>49.4</v>
      </c>
      <c r="F118" s="106">
        <v>52.4</v>
      </c>
      <c r="G118" s="106">
        <v>49.5</v>
      </c>
      <c r="H118" s="106">
        <v>47.4</v>
      </c>
      <c r="I118" s="106">
        <v>40</v>
      </c>
      <c r="J118" s="106">
        <v>35.4</v>
      </c>
      <c r="K118" s="106">
        <v>27.5</v>
      </c>
      <c r="L118" s="106">
        <v>28.1</v>
      </c>
      <c r="M118" s="106">
        <v>30.4</v>
      </c>
      <c r="N118" s="106">
        <v>36.5</v>
      </c>
      <c r="O118" s="106">
        <v>26.9</v>
      </c>
      <c r="P118" s="106">
        <v>34.1</v>
      </c>
      <c r="Q118" s="106">
        <v>31</v>
      </c>
      <c r="R118" s="106">
        <v>46.8</v>
      </c>
      <c r="S118" s="106">
        <v>40.299999999999997</v>
      </c>
      <c r="T118" s="106">
        <v>39</v>
      </c>
      <c r="U118" s="106">
        <v>38</v>
      </c>
      <c r="V118" s="106">
        <v>36</v>
      </c>
      <c r="W118" s="106">
        <v>36</v>
      </c>
      <c r="X118" s="106">
        <v>43.7</v>
      </c>
      <c r="Y118" s="106">
        <v>41</v>
      </c>
      <c r="Z118" s="106">
        <v>30</v>
      </c>
      <c r="AA118" s="106">
        <v>30</v>
      </c>
      <c r="AB118" s="106">
        <v>30</v>
      </c>
      <c r="AC118" s="106">
        <v>30</v>
      </c>
      <c r="AD118" s="106">
        <v>45</v>
      </c>
      <c r="AE118" s="106">
        <v>47</v>
      </c>
      <c r="AF118" s="106">
        <v>47</v>
      </c>
      <c r="AG118" s="119"/>
      <c r="AH118" s="47">
        <f t="shared" si="9"/>
        <v>52.4</v>
      </c>
      <c r="AI118" s="48">
        <f t="shared" si="10"/>
        <v>26.9</v>
      </c>
    </row>
    <row r="119" spans="1:37" x14ac:dyDescent="0.25">
      <c r="A119" s="121" t="s">
        <v>135</v>
      </c>
      <c r="B119" s="106">
        <v>76.2</v>
      </c>
      <c r="C119" s="106">
        <v>66.8</v>
      </c>
      <c r="D119" s="106">
        <v>66.8</v>
      </c>
      <c r="E119" s="106">
        <v>60.8</v>
      </c>
      <c r="F119" s="106">
        <v>52.8</v>
      </c>
      <c r="G119" s="106">
        <v>50.4</v>
      </c>
      <c r="H119" s="106">
        <v>43.5</v>
      </c>
      <c r="I119" s="106">
        <v>42.5</v>
      </c>
      <c r="J119" s="106">
        <v>48.1</v>
      </c>
      <c r="K119" s="106">
        <v>68.2</v>
      </c>
      <c r="L119" s="106">
        <v>72.2</v>
      </c>
      <c r="M119" s="106">
        <v>69.900000000000006</v>
      </c>
      <c r="N119" s="106">
        <v>66</v>
      </c>
      <c r="O119" s="106">
        <v>63.6</v>
      </c>
      <c r="P119" s="106">
        <v>70.3</v>
      </c>
      <c r="Q119" s="106">
        <v>68.2</v>
      </c>
      <c r="R119" s="106">
        <v>57.5</v>
      </c>
      <c r="S119" s="106">
        <v>74.2</v>
      </c>
      <c r="T119" s="106">
        <v>55</v>
      </c>
      <c r="U119" s="106">
        <v>49</v>
      </c>
      <c r="V119" s="106">
        <v>49</v>
      </c>
      <c r="W119" s="106">
        <v>49</v>
      </c>
      <c r="X119" s="106">
        <v>45.65</v>
      </c>
      <c r="Y119" s="106">
        <v>33</v>
      </c>
      <c r="Z119" s="106">
        <v>37.5</v>
      </c>
      <c r="AA119" s="106">
        <v>38</v>
      </c>
      <c r="AB119" s="106">
        <v>38</v>
      </c>
      <c r="AC119" s="106">
        <v>38</v>
      </c>
      <c r="AD119" s="106">
        <v>41</v>
      </c>
      <c r="AE119" s="106">
        <v>65</v>
      </c>
      <c r="AF119" s="106">
        <v>65</v>
      </c>
      <c r="AG119" s="119"/>
      <c r="AH119" s="47">
        <f t="shared" si="9"/>
        <v>76.2</v>
      </c>
      <c r="AI119" s="48">
        <f t="shared" si="10"/>
        <v>33</v>
      </c>
    </row>
    <row r="120" spans="1:37" ht="15.75" thickBot="1" x14ac:dyDescent="0.3">
      <c r="A120" s="120" t="s">
        <v>136</v>
      </c>
      <c r="B120" s="106">
        <v>38.5</v>
      </c>
      <c r="C120" s="106">
        <v>22.6</v>
      </c>
      <c r="D120" s="106">
        <v>22.6</v>
      </c>
      <c r="E120" s="106">
        <v>17.100000000000001</v>
      </c>
      <c r="F120" s="106">
        <v>18.399999999999999</v>
      </c>
      <c r="G120" s="106">
        <v>10.199999999999999</v>
      </c>
      <c r="H120" s="106">
        <v>8.4</v>
      </c>
      <c r="I120" s="106">
        <v>14.8</v>
      </c>
      <c r="J120" s="106">
        <v>26.9</v>
      </c>
      <c r="K120" s="106">
        <v>71.7</v>
      </c>
      <c r="L120" s="106">
        <v>40.5</v>
      </c>
      <c r="M120" s="106">
        <v>35.200000000000003</v>
      </c>
      <c r="N120" s="106">
        <v>47.2</v>
      </c>
      <c r="O120" s="106">
        <v>49.2</v>
      </c>
      <c r="P120" s="106">
        <v>48.7</v>
      </c>
      <c r="Q120" s="106">
        <v>50.3</v>
      </c>
      <c r="R120" s="106">
        <v>33.6</v>
      </c>
      <c r="S120" s="106">
        <v>37.5</v>
      </c>
      <c r="T120" s="106">
        <v>43</v>
      </c>
      <c r="U120" s="106">
        <v>39</v>
      </c>
      <c r="V120" s="106">
        <v>38</v>
      </c>
      <c r="W120" s="106">
        <v>38</v>
      </c>
      <c r="X120" s="106">
        <v>26.9</v>
      </c>
      <c r="Y120" s="106">
        <v>27</v>
      </c>
      <c r="Z120" s="106">
        <v>48</v>
      </c>
      <c r="AA120" s="106">
        <v>56</v>
      </c>
      <c r="AB120" s="106">
        <v>56</v>
      </c>
      <c r="AC120" s="106">
        <v>56</v>
      </c>
      <c r="AD120" s="106">
        <v>47</v>
      </c>
      <c r="AE120" s="106">
        <v>44</v>
      </c>
      <c r="AF120" s="106">
        <v>44</v>
      </c>
      <c r="AG120" s="119"/>
      <c r="AH120" s="47">
        <f t="shared" si="9"/>
        <v>71.7</v>
      </c>
      <c r="AI120" s="48">
        <f t="shared" si="10"/>
        <v>8.4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18">SUM(B122:B226)</f>
        <v>0</v>
      </c>
      <c r="C227" s="137">
        <f t="shared" si="18"/>
        <v>0</v>
      </c>
      <c r="D227" s="137">
        <f t="shared" si="18"/>
        <v>0</v>
      </c>
      <c r="E227" s="137">
        <f t="shared" si="18"/>
        <v>0</v>
      </c>
      <c r="F227" s="137">
        <f t="shared" si="18"/>
        <v>0</v>
      </c>
      <c r="G227" s="137">
        <f t="shared" si="18"/>
        <v>0</v>
      </c>
      <c r="H227" s="137">
        <f t="shared" si="18"/>
        <v>0</v>
      </c>
      <c r="I227" s="137">
        <f t="shared" si="18"/>
        <v>0</v>
      </c>
      <c r="J227" s="137">
        <f t="shared" si="18"/>
        <v>0</v>
      </c>
      <c r="K227" s="137">
        <f t="shared" si="18"/>
        <v>0</v>
      </c>
      <c r="L227" s="137">
        <f t="shared" si="18"/>
        <v>0</v>
      </c>
      <c r="M227" s="137">
        <f t="shared" si="18"/>
        <v>0</v>
      </c>
      <c r="N227" s="137">
        <f t="shared" si="18"/>
        <v>0</v>
      </c>
      <c r="O227" s="137">
        <f t="shared" si="18"/>
        <v>0</v>
      </c>
      <c r="P227" s="137">
        <f t="shared" si="18"/>
        <v>0</v>
      </c>
      <c r="Q227" s="137">
        <f t="shared" si="18"/>
        <v>0</v>
      </c>
      <c r="R227" s="137">
        <f t="shared" si="18"/>
        <v>0</v>
      </c>
      <c r="S227" s="137">
        <f t="shared" si="18"/>
        <v>0</v>
      </c>
      <c r="T227" s="137">
        <f t="shared" si="18"/>
        <v>0</v>
      </c>
      <c r="U227" s="137">
        <f t="shared" si="18"/>
        <v>0</v>
      </c>
      <c r="V227" s="137">
        <f t="shared" si="18"/>
        <v>0</v>
      </c>
      <c r="W227" s="137">
        <f t="shared" si="18"/>
        <v>0</v>
      </c>
      <c r="X227" s="137">
        <f t="shared" si="18"/>
        <v>0</v>
      </c>
      <c r="Y227" s="137">
        <f t="shared" si="18"/>
        <v>0</v>
      </c>
      <c r="Z227" s="137">
        <f t="shared" si="18"/>
        <v>0</v>
      </c>
      <c r="AA227" s="137">
        <f t="shared" si="18"/>
        <v>0</v>
      </c>
      <c r="AB227" s="137">
        <f t="shared" si="18"/>
        <v>0</v>
      </c>
      <c r="AC227" s="137">
        <f t="shared" si="18"/>
        <v>0</v>
      </c>
      <c r="AD227" s="137">
        <f t="shared" si="18"/>
        <v>0</v>
      </c>
      <c r="AE227" s="137">
        <f t="shared" si="18"/>
        <v>0</v>
      </c>
      <c r="AF227" s="138">
        <f t="shared" si="18"/>
        <v>0</v>
      </c>
      <c r="AG227" s="139">
        <f t="shared" si="18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19">AF229</f>
        <v>0</v>
      </c>
      <c r="C229" s="141">
        <v>0.3</v>
      </c>
      <c r="D229" s="141">
        <f t="shared" ref="D229:P234" si="20">C229</f>
        <v>0.3</v>
      </c>
      <c r="E229" s="141">
        <f t="shared" si="20"/>
        <v>0.3</v>
      </c>
      <c r="F229" s="141">
        <f t="shared" si="20"/>
        <v>0.3</v>
      </c>
      <c r="G229" s="141">
        <f t="shared" si="20"/>
        <v>0.3</v>
      </c>
      <c r="H229" s="141">
        <f t="shared" si="20"/>
        <v>0.3</v>
      </c>
      <c r="I229" s="141">
        <f t="shared" si="20"/>
        <v>0.3</v>
      </c>
      <c r="J229" s="141">
        <f t="shared" si="20"/>
        <v>0.3</v>
      </c>
      <c r="K229" s="141">
        <f t="shared" si="20"/>
        <v>0.3</v>
      </c>
      <c r="L229" s="141">
        <f t="shared" si="20"/>
        <v>0.3</v>
      </c>
      <c r="M229" s="141">
        <f t="shared" si="20"/>
        <v>0.3</v>
      </c>
      <c r="N229" s="141">
        <f t="shared" si="20"/>
        <v>0.3</v>
      </c>
      <c r="O229" s="141">
        <f t="shared" si="20"/>
        <v>0.3</v>
      </c>
      <c r="P229" s="141">
        <f t="shared" si="20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19"/>
        <v>0</v>
      </c>
      <c r="C230" s="129">
        <v>0.4</v>
      </c>
      <c r="D230" s="129">
        <f t="shared" si="20"/>
        <v>0.4</v>
      </c>
      <c r="E230" s="129">
        <f t="shared" si="20"/>
        <v>0.4</v>
      </c>
      <c r="F230" s="129">
        <f t="shared" si="20"/>
        <v>0.4</v>
      </c>
      <c r="G230" s="129">
        <f t="shared" si="20"/>
        <v>0.4</v>
      </c>
      <c r="H230" s="129">
        <f t="shared" si="20"/>
        <v>0.4</v>
      </c>
      <c r="I230" s="129">
        <f t="shared" si="20"/>
        <v>0.4</v>
      </c>
      <c r="J230" s="129">
        <f t="shared" si="20"/>
        <v>0.4</v>
      </c>
      <c r="K230" s="129">
        <f t="shared" si="20"/>
        <v>0.4</v>
      </c>
      <c r="L230" s="129">
        <f t="shared" si="20"/>
        <v>0.4</v>
      </c>
      <c r="M230" s="129">
        <f t="shared" si="20"/>
        <v>0.4</v>
      </c>
      <c r="N230" s="129">
        <f t="shared" si="20"/>
        <v>0.4</v>
      </c>
      <c r="O230" s="129">
        <f t="shared" si="20"/>
        <v>0.4</v>
      </c>
      <c r="P230" s="129">
        <f t="shared" si="20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19"/>
        <v>0</v>
      </c>
      <c r="C231" s="129">
        <v>1.5</v>
      </c>
      <c r="D231" s="129">
        <f t="shared" si="20"/>
        <v>1.5</v>
      </c>
      <c r="E231" s="129">
        <f t="shared" si="20"/>
        <v>1.5</v>
      </c>
      <c r="F231" s="129">
        <f t="shared" si="20"/>
        <v>1.5</v>
      </c>
      <c r="G231" s="129">
        <f t="shared" si="20"/>
        <v>1.5</v>
      </c>
      <c r="H231" s="129">
        <f t="shared" si="20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20"/>
        <v>123.21900000000009</v>
      </c>
      <c r="K231" s="129">
        <f t="shared" ca="1" si="20"/>
        <v>123.21900000000009</v>
      </c>
      <c r="L231" s="129">
        <f t="shared" ca="1" si="20"/>
        <v>123.21900000000009</v>
      </c>
      <c r="M231" s="129">
        <f t="shared" ca="1" si="20"/>
        <v>119.19900000000008</v>
      </c>
      <c r="N231" s="129">
        <f t="shared" ca="1" si="20"/>
        <v>119.19900000000008</v>
      </c>
      <c r="O231" s="129">
        <f t="shared" ca="1" si="20"/>
        <v>119.19900000000008</v>
      </c>
      <c r="P231" s="129">
        <f t="shared" ca="1" si="20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19"/>
        <v>0</v>
      </c>
      <c r="C232" s="129">
        <v>0.3</v>
      </c>
      <c r="D232" s="129">
        <f t="shared" si="20"/>
        <v>0.3</v>
      </c>
      <c r="E232" s="129">
        <f t="shared" si="20"/>
        <v>0.3</v>
      </c>
      <c r="F232" s="129">
        <f t="shared" si="20"/>
        <v>0.3</v>
      </c>
      <c r="G232" s="129">
        <f t="shared" si="20"/>
        <v>0.3</v>
      </c>
      <c r="H232" s="129">
        <f t="shared" si="20"/>
        <v>0.3</v>
      </c>
      <c r="I232" s="129">
        <f t="shared" si="20"/>
        <v>0.3</v>
      </c>
      <c r="J232" s="129">
        <f t="shared" si="20"/>
        <v>0.3</v>
      </c>
      <c r="K232" s="129">
        <f t="shared" si="20"/>
        <v>0.3</v>
      </c>
      <c r="L232" s="129">
        <f t="shared" si="20"/>
        <v>0.3</v>
      </c>
      <c r="M232" s="129">
        <f t="shared" si="20"/>
        <v>0.3</v>
      </c>
      <c r="N232" s="129">
        <f t="shared" si="20"/>
        <v>0.3</v>
      </c>
      <c r="O232" s="129">
        <f t="shared" si="20"/>
        <v>0.3</v>
      </c>
      <c r="P232" s="129">
        <f t="shared" si="20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19"/>
        <v>0</v>
      </c>
      <c r="C233" s="129">
        <v>0.4</v>
      </c>
      <c r="D233" s="129">
        <f t="shared" si="20"/>
        <v>0.4</v>
      </c>
      <c r="E233" s="129">
        <f t="shared" si="20"/>
        <v>0.4</v>
      </c>
      <c r="F233" s="129">
        <f t="shared" si="20"/>
        <v>0.4</v>
      </c>
      <c r="G233" s="129">
        <f t="shared" si="20"/>
        <v>0.4</v>
      </c>
      <c r="H233" s="129">
        <f t="shared" si="20"/>
        <v>0.4</v>
      </c>
      <c r="I233" s="129">
        <f t="shared" si="20"/>
        <v>0.4</v>
      </c>
      <c r="J233" s="129">
        <f t="shared" si="20"/>
        <v>0.4</v>
      </c>
      <c r="K233" s="129">
        <f t="shared" si="20"/>
        <v>0.4</v>
      </c>
      <c r="L233" s="129">
        <f t="shared" si="20"/>
        <v>0.4</v>
      </c>
      <c r="M233" s="129">
        <f t="shared" si="20"/>
        <v>0.4</v>
      </c>
      <c r="N233" s="129">
        <f t="shared" si="20"/>
        <v>0.4</v>
      </c>
      <c r="O233" s="129">
        <f t="shared" si="20"/>
        <v>0.4</v>
      </c>
      <c r="P233" s="129">
        <f t="shared" si="20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19"/>
        <v>0</v>
      </c>
      <c r="C234" s="133">
        <v>0.64</v>
      </c>
      <c r="D234" s="133">
        <f t="shared" si="20"/>
        <v>0.64</v>
      </c>
      <c r="E234" s="133">
        <f t="shared" si="20"/>
        <v>0.64</v>
      </c>
      <c r="F234" s="133">
        <f t="shared" si="20"/>
        <v>0.64</v>
      </c>
      <c r="G234" s="133">
        <f t="shared" si="20"/>
        <v>0.64</v>
      </c>
      <c r="H234" s="133">
        <f t="shared" si="20"/>
        <v>0.64</v>
      </c>
      <c r="I234" s="133">
        <f t="shared" si="20"/>
        <v>0.64</v>
      </c>
      <c r="J234" s="133">
        <f t="shared" si="20"/>
        <v>0.64</v>
      </c>
      <c r="K234" s="133">
        <f t="shared" si="20"/>
        <v>0.64</v>
      </c>
      <c r="L234" s="133">
        <f t="shared" si="20"/>
        <v>0.64</v>
      </c>
      <c r="M234" s="133">
        <f t="shared" si="20"/>
        <v>0.64</v>
      </c>
      <c r="N234" s="133">
        <f t="shared" si="20"/>
        <v>0.64</v>
      </c>
      <c r="O234" s="133">
        <f t="shared" si="20"/>
        <v>0.64</v>
      </c>
      <c r="P234" s="133">
        <f t="shared" si="20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1">SUM(B229:B234)</f>
        <v>0</v>
      </c>
      <c r="C235" s="137">
        <f t="shared" si="21"/>
        <v>3.54</v>
      </c>
      <c r="D235" s="137">
        <f t="shared" si="21"/>
        <v>3.54</v>
      </c>
      <c r="E235" s="137">
        <f t="shared" si="21"/>
        <v>3.54</v>
      </c>
      <c r="F235" s="137">
        <f t="shared" si="21"/>
        <v>3.54</v>
      </c>
      <c r="G235" s="137">
        <f t="shared" si="21"/>
        <v>3.54</v>
      </c>
      <c r="H235" s="137">
        <f t="shared" si="21"/>
        <v>3.54</v>
      </c>
      <c r="I235" s="137">
        <f t="shared" ca="1" si="21"/>
        <v>121.23900000000009</v>
      </c>
      <c r="J235" s="137">
        <f t="shared" ca="1" si="21"/>
        <v>121.23900000000009</v>
      </c>
      <c r="K235" s="137">
        <f t="shared" ca="1" si="21"/>
        <v>121.23900000000009</v>
      </c>
      <c r="L235" s="137">
        <f t="shared" ca="1" si="21"/>
        <v>125.2590000000001</v>
      </c>
      <c r="M235" s="137">
        <f t="shared" ca="1" si="21"/>
        <v>121.23900000000009</v>
      </c>
      <c r="N235" s="137">
        <f t="shared" ca="1" si="21"/>
        <v>121.23900000000009</v>
      </c>
      <c r="O235" s="137">
        <f t="shared" ca="1" si="21"/>
        <v>121.23900000000009</v>
      </c>
      <c r="P235" s="137">
        <f t="shared" ca="1" si="21"/>
        <v>121.23900000000009</v>
      </c>
      <c r="Q235" s="137">
        <f t="shared" si="21"/>
        <v>0</v>
      </c>
      <c r="R235" s="137">
        <f t="shared" si="21"/>
        <v>0</v>
      </c>
      <c r="S235" s="137">
        <f t="shared" si="21"/>
        <v>0</v>
      </c>
      <c r="T235" s="137">
        <f t="shared" si="21"/>
        <v>0</v>
      </c>
      <c r="U235" s="137">
        <f t="shared" si="21"/>
        <v>0</v>
      </c>
      <c r="V235" s="137">
        <f t="shared" si="21"/>
        <v>0</v>
      </c>
      <c r="W235" s="137">
        <f t="shared" si="21"/>
        <v>0</v>
      </c>
      <c r="X235" s="137">
        <f t="shared" si="21"/>
        <v>0</v>
      </c>
      <c r="Y235" s="137">
        <f t="shared" si="21"/>
        <v>0</v>
      </c>
      <c r="Z235" s="137">
        <f t="shared" si="21"/>
        <v>0</v>
      </c>
      <c r="AA235" s="137">
        <f t="shared" si="21"/>
        <v>0</v>
      </c>
      <c r="AB235" s="137">
        <f t="shared" si="21"/>
        <v>0</v>
      </c>
      <c r="AC235" s="137">
        <f t="shared" si="21"/>
        <v>0</v>
      </c>
      <c r="AD235" s="137">
        <f t="shared" si="21"/>
        <v>0</v>
      </c>
      <c r="AE235" s="137">
        <f t="shared" si="21"/>
        <v>0</v>
      </c>
      <c r="AF235" s="137">
        <f t="shared" si="21"/>
        <v>0</v>
      </c>
      <c r="AG235" s="146">
        <f t="shared" si="21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1947.4899999999998</v>
      </c>
      <c r="C244" s="162">
        <f>INDEX(G9:N9,1,MATCH(MAX(G91:N91),G91:N91,0))</f>
        <v>0.29166666666666669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13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2080/03/13)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2080/03/13)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2">B91</f>
        <v>1941.89</v>
      </c>
      <c r="U249" s="171">
        <f t="shared" si="22"/>
        <v>1806.0900000000001</v>
      </c>
      <c r="V249" s="171">
        <f t="shared" si="22"/>
        <v>1809.0900000000001</v>
      </c>
      <c r="W249" s="171">
        <f t="shared" si="22"/>
        <v>1816.4900000000002</v>
      </c>
      <c r="X249" s="171">
        <f t="shared" si="22"/>
        <v>1838.89</v>
      </c>
      <c r="Y249" s="171">
        <f t="shared" si="22"/>
        <v>1833.6900000000003</v>
      </c>
      <c r="Z249" s="171">
        <f t="shared" si="22"/>
        <v>1850.4900000000002</v>
      </c>
      <c r="AA249" s="171">
        <f t="shared" si="22"/>
        <v>1865.9900000000002</v>
      </c>
      <c r="AB249" s="171">
        <f t="shared" si="22"/>
        <v>1913.9899999999998</v>
      </c>
      <c r="AC249" s="171">
        <f t="shared" si="22"/>
        <v>1947.4899999999998</v>
      </c>
      <c r="AD249" s="171">
        <f t="shared" si="22"/>
        <v>1939.29</v>
      </c>
      <c r="AE249" s="171">
        <f t="shared" si="22"/>
        <v>1940.3899999999999</v>
      </c>
      <c r="AF249" s="171">
        <f t="shared" si="22"/>
        <v>1903.7500000000002</v>
      </c>
      <c r="AG249" s="171">
        <f t="shared" si="22"/>
        <v>1927.15</v>
      </c>
      <c r="AH249" s="171">
        <f t="shared" si="22"/>
        <v>1960.2500000000002</v>
      </c>
      <c r="AI249" s="171">
        <f t="shared" si="22"/>
        <v>1952.65</v>
      </c>
      <c r="AJ249" s="171">
        <f t="shared" si="22"/>
        <v>1975.7500000000002</v>
      </c>
      <c r="AK249" s="171">
        <f t="shared" si="22"/>
        <v>1992.65</v>
      </c>
      <c r="AL249" s="171">
        <f t="shared" si="22"/>
        <v>1955.05</v>
      </c>
      <c r="AM249" s="171">
        <f t="shared" si="22"/>
        <v>1944.6499999999999</v>
      </c>
      <c r="AN249" s="171">
        <f t="shared" si="22"/>
        <v>1928.25</v>
      </c>
      <c r="AO249" s="171">
        <f t="shared" si="22"/>
        <v>1925.15</v>
      </c>
      <c r="AP249" s="171">
        <f t="shared" si="22"/>
        <v>1871.1499999999999</v>
      </c>
      <c r="AQ249" s="171">
        <f t="shared" si="22"/>
        <v>1875.0500000000002</v>
      </c>
      <c r="AR249" s="171">
        <f t="shared" si="22"/>
        <v>1875.55</v>
      </c>
      <c r="AS249" s="171">
        <f t="shared" si="22"/>
        <v>2038.45</v>
      </c>
      <c r="AT249" s="171">
        <f t="shared" si="22"/>
        <v>1972.95</v>
      </c>
      <c r="AU249" s="171">
        <f t="shared" si="22"/>
        <v>1970.95</v>
      </c>
      <c r="AV249" s="171">
        <f t="shared" si="22"/>
        <v>1989.8500000000001</v>
      </c>
      <c r="AW249" s="171">
        <f t="shared" si="22"/>
        <v>1963.8500000000001</v>
      </c>
      <c r="AX249" s="171">
        <f t="shared" si="22"/>
        <v>1968.95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23">C234</f>
        <v>0.64</v>
      </c>
      <c r="C270" s="174">
        <f t="shared" si="23"/>
        <v>0.64</v>
      </c>
      <c r="D270" s="174">
        <f t="shared" si="23"/>
        <v>0.64</v>
      </c>
      <c r="E270" s="174">
        <f t="shared" si="23"/>
        <v>0.64</v>
      </c>
      <c r="F270" s="174">
        <f t="shared" si="23"/>
        <v>0.64</v>
      </c>
      <c r="G270" s="174">
        <f t="shared" si="23"/>
        <v>0.64</v>
      </c>
      <c r="H270" s="174">
        <f t="shared" si="23"/>
        <v>0.64</v>
      </c>
      <c r="I270" s="174">
        <f t="shared" si="23"/>
        <v>0.64</v>
      </c>
      <c r="J270" s="174">
        <f t="shared" si="23"/>
        <v>0.64</v>
      </c>
      <c r="K270" s="174">
        <f t="shared" si="23"/>
        <v>0.64</v>
      </c>
      <c r="L270" s="174">
        <f t="shared" si="23"/>
        <v>0.64</v>
      </c>
      <c r="M270" s="174">
        <f t="shared" si="23"/>
        <v>0.64</v>
      </c>
      <c r="N270" s="174">
        <f t="shared" si="23"/>
        <v>0.64</v>
      </c>
      <c r="O270" s="174">
        <f t="shared" si="23"/>
        <v>0.64</v>
      </c>
      <c r="P270" s="174">
        <f t="shared" si="23"/>
        <v>0</v>
      </c>
      <c r="Q270" s="174">
        <f t="shared" si="23"/>
        <v>0</v>
      </c>
      <c r="R270" s="174">
        <f t="shared" si="23"/>
        <v>0</v>
      </c>
      <c r="S270" s="174">
        <f t="shared" si="23"/>
        <v>0</v>
      </c>
      <c r="T270" s="174">
        <f t="shared" si="23"/>
        <v>0</v>
      </c>
      <c r="U270" s="174">
        <f t="shared" si="23"/>
        <v>0</v>
      </c>
      <c r="V270" s="174">
        <f t="shared" si="23"/>
        <v>0</v>
      </c>
      <c r="W270" s="174">
        <f t="shared" si="23"/>
        <v>0</v>
      </c>
      <c r="X270" s="174">
        <f t="shared" si="23"/>
        <v>0</v>
      </c>
      <c r="Y270" s="174">
        <f t="shared" si="23"/>
        <v>0</v>
      </c>
      <c r="Z270" s="174">
        <f t="shared" si="23"/>
        <v>0</v>
      </c>
      <c r="AA270" s="174">
        <f t="shared" si="23"/>
        <v>0</v>
      </c>
      <c r="AB270" s="174">
        <f t="shared" si="23"/>
        <v>0</v>
      </c>
      <c r="AC270" s="174">
        <f t="shared" si="23"/>
        <v>0</v>
      </c>
      <c r="AD270" s="174">
        <f t="shared" si="23"/>
        <v>0</v>
      </c>
      <c r="AE270" s="174">
        <f t="shared" si="23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24">IF(B238&lt;100,"",B238-520)</f>
        <v/>
      </c>
      <c r="C271" s="175" t="str">
        <f t="shared" si="24"/>
        <v/>
      </c>
      <c r="D271" s="175" t="str">
        <f t="shared" si="24"/>
        <v/>
      </c>
      <c r="E271" s="175" t="str">
        <f t="shared" si="24"/>
        <v/>
      </c>
      <c r="F271" s="175" t="str">
        <f t="shared" si="24"/>
        <v/>
      </c>
      <c r="G271" s="175" t="str">
        <f t="shared" si="24"/>
        <v/>
      </c>
      <c r="H271" s="175" t="str">
        <f t="shared" si="24"/>
        <v/>
      </c>
      <c r="I271" s="175" t="str">
        <f t="shared" si="24"/>
        <v/>
      </c>
      <c r="J271" s="175" t="str">
        <f t="shared" si="24"/>
        <v/>
      </c>
      <c r="K271" s="175" t="str">
        <f t="shared" si="24"/>
        <v/>
      </c>
      <c r="L271" s="175" t="str">
        <f t="shared" si="24"/>
        <v/>
      </c>
      <c r="M271" s="175" t="str">
        <f t="shared" si="24"/>
        <v/>
      </c>
      <c r="N271" s="175" t="str">
        <f t="shared" si="24"/>
        <v/>
      </c>
      <c r="O271" s="175" t="str">
        <f t="shared" si="24"/>
        <v/>
      </c>
      <c r="P271" s="175" t="str">
        <f t="shared" si="24"/>
        <v/>
      </c>
      <c r="Q271" s="175" t="str">
        <f t="shared" si="24"/>
        <v/>
      </c>
      <c r="R271" s="175" t="str">
        <f t="shared" si="24"/>
        <v/>
      </c>
      <c r="S271" s="175" t="str">
        <f t="shared" si="24"/>
        <v/>
      </c>
      <c r="T271" s="175" t="str">
        <f t="shared" si="24"/>
        <v/>
      </c>
      <c r="U271" s="175" t="str">
        <f t="shared" si="24"/>
        <v/>
      </c>
      <c r="V271" s="175" t="str">
        <f t="shared" si="24"/>
        <v/>
      </c>
      <c r="W271" s="175" t="str">
        <f t="shared" si="24"/>
        <v/>
      </c>
      <c r="X271" s="175" t="str">
        <f t="shared" si="24"/>
        <v/>
      </c>
      <c r="Y271" s="175" t="str">
        <f t="shared" si="24"/>
        <v/>
      </c>
      <c r="Z271" s="175" t="str">
        <f t="shared" si="24"/>
        <v/>
      </c>
      <c r="AA271" s="175" t="str">
        <f t="shared" si="24"/>
        <v/>
      </c>
      <c r="AB271" s="175" t="str">
        <f t="shared" si="24"/>
        <v/>
      </c>
      <c r="AC271" s="175" t="str">
        <f t="shared" si="24"/>
        <v/>
      </c>
      <c r="AD271" s="175" t="str">
        <f t="shared" si="24"/>
        <v/>
      </c>
      <c r="AE271" s="175" t="str">
        <f t="shared" si="24"/>
        <v/>
      </c>
      <c r="AF271" s="175" t="str">
        <f t="shared" si="24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25">IF(B239&lt;100,"",B239-620)</f>
        <v/>
      </c>
      <c r="C272" s="175" t="str">
        <f t="shared" si="25"/>
        <v/>
      </c>
      <c r="D272" s="175" t="str">
        <f t="shared" si="25"/>
        <v/>
      </c>
      <c r="E272" s="175" t="str">
        <f t="shared" si="25"/>
        <v/>
      </c>
      <c r="F272" s="175" t="str">
        <f t="shared" si="25"/>
        <v/>
      </c>
      <c r="G272" s="175" t="str">
        <f t="shared" si="25"/>
        <v/>
      </c>
      <c r="H272" s="175" t="str">
        <f t="shared" si="25"/>
        <v/>
      </c>
      <c r="I272" s="175" t="str">
        <f t="shared" si="25"/>
        <v/>
      </c>
      <c r="J272" s="175" t="str">
        <f t="shared" si="25"/>
        <v/>
      </c>
      <c r="K272" s="175" t="str">
        <f t="shared" si="25"/>
        <v/>
      </c>
      <c r="L272" s="175" t="str">
        <f t="shared" si="25"/>
        <v/>
      </c>
      <c r="M272" s="175" t="str">
        <f t="shared" si="25"/>
        <v/>
      </c>
      <c r="N272" s="175" t="str">
        <f t="shared" si="25"/>
        <v/>
      </c>
      <c r="O272" s="175" t="str">
        <f t="shared" si="25"/>
        <v/>
      </c>
      <c r="P272" s="175" t="str">
        <f t="shared" si="25"/>
        <v/>
      </c>
      <c r="Q272" s="175" t="str">
        <f t="shared" si="25"/>
        <v/>
      </c>
      <c r="R272" s="175" t="str">
        <f t="shared" si="25"/>
        <v/>
      </c>
      <c r="S272" s="175" t="str">
        <f t="shared" si="25"/>
        <v/>
      </c>
      <c r="T272" s="175" t="str">
        <f t="shared" si="25"/>
        <v/>
      </c>
      <c r="U272" s="175" t="str">
        <f t="shared" si="25"/>
        <v/>
      </c>
      <c r="V272" s="175" t="str">
        <f t="shared" si="25"/>
        <v/>
      </c>
      <c r="W272" s="175" t="str">
        <f t="shared" si="25"/>
        <v/>
      </c>
      <c r="X272" s="175" t="str">
        <f t="shared" si="25"/>
        <v/>
      </c>
      <c r="Y272" s="175" t="str">
        <f t="shared" si="25"/>
        <v/>
      </c>
      <c r="Z272" s="175" t="str">
        <f t="shared" si="25"/>
        <v/>
      </c>
      <c r="AA272" s="175" t="str">
        <f t="shared" si="25"/>
        <v/>
      </c>
      <c r="AB272" s="175" t="str">
        <f t="shared" si="25"/>
        <v/>
      </c>
      <c r="AC272" s="175" t="str">
        <f t="shared" si="25"/>
        <v/>
      </c>
      <c r="AD272" s="175" t="str">
        <f t="shared" si="25"/>
        <v/>
      </c>
      <c r="AE272" s="175" t="str">
        <f t="shared" si="25"/>
        <v/>
      </c>
      <c r="AF272" s="175" t="str">
        <f t="shared" si="25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26">IF(B240&lt;100,"",B240-330)</f>
        <v/>
      </c>
      <c r="C273" s="175" t="str">
        <f t="shared" si="26"/>
        <v/>
      </c>
      <c r="D273" s="175" t="str">
        <f t="shared" si="26"/>
        <v/>
      </c>
      <c r="E273" s="175" t="str">
        <f t="shared" si="26"/>
        <v/>
      </c>
      <c r="F273" s="175" t="str">
        <f t="shared" si="26"/>
        <v/>
      </c>
      <c r="G273" s="175" t="str">
        <f t="shared" si="26"/>
        <v/>
      </c>
      <c r="H273" s="175" t="str">
        <f t="shared" si="26"/>
        <v/>
      </c>
      <c r="I273" s="175" t="str">
        <f t="shared" si="26"/>
        <v/>
      </c>
      <c r="J273" s="175" t="str">
        <f t="shared" si="26"/>
        <v/>
      </c>
      <c r="K273" s="175" t="str">
        <f t="shared" si="26"/>
        <v/>
      </c>
      <c r="L273" s="175" t="str">
        <f t="shared" si="26"/>
        <v/>
      </c>
      <c r="M273" s="175" t="str">
        <f t="shared" si="26"/>
        <v/>
      </c>
      <c r="N273" s="175" t="str">
        <f t="shared" si="26"/>
        <v/>
      </c>
      <c r="O273" s="175" t="str">
        <f t="shared" si="26"/>
        <v/>
      </c>
      <c r="P273" s="175" t="str">
        <f t="shared" si="26"/>
        <v/>
      </c>
      <c r="Q273" s="175" t="str">
        <f t="shared" si="26"/>
        <v/>
      </c>
      <c r="R273" s="175" t="str">
        <f t="shared" si="26"/>
        <v/>
      </c>
      <c r="S273" s="175" t="str">
        <f t="shared" si="26"/>
        <v/>
      </c>
      <c r="T273" s="175" t="str">
        <f t="shared" si="26"/>
        <v/>
      </c>
      <c r="U273" s="175" t="str">
        <f t="shared" si="26"/>
        <v/>
      </c>
      <c r="V273" s="175" t="str">
        <f t="shared" si="26"/>
        <v/>
      </c>
      <c r="W273" s="175" t="str">
        <f t="shared" si="26"/>
        <v/>
      </c>
      <c r="X273" s="175" t="str">
        <f t="shared" si="26"/>
        <v/>
      </c>
      <c r="Y273" s="175" t="str">
        <f t="shared" si="26"/>
        <v/>
      </c>
      <c r="Z273" s="175" t="str">
        <f t="shared" si="26"/>
        <v/>
      </c>
      <c r="AA273" s="175" t="str">
        <f t="shared" si="26"/>
        <v/>
      </c>
      <c r="AB273" s="175" t="str">
        <f t="shared" si="26"/>
        <v/>
      </c>
      <c r="AC273" s="175" t="str">
        <f t="shared" si="26"/>
        <v/>
      </c>
      <c r="AD273" s="175" t="str">
        <f t="shared" si="26"/>
        <v/>
      </c>
      <c r="AE273" s="175" t="str">
        <f t="shared" si="26"/>
        <v/>
      </c>
      <c r="AF273" s="175" t="str">
        <f t="shared" si="26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27">IF(B241&lt;100,"",B241-1500)</f>
        <v/>
      </c>
      <c r="C274" s="175" t="str">
        <f t="shared" si="27"/>
        <v/>
      </c>
      <c r="D274" s="175" t="str">
        <f t="shared" si="27"/>
        <v/>
      </c>
      <c r="E274" s="175" t="str">
        <f t="shared" si="27"/>
        <v/>
      </c>
      <c r="F274" s="175" t="str">
        <f t="shared" si="27"/>
        <v/>
      </c>
      <c r="G274" s="175" t="str">
        <f t="shared" si="27"/>
        <v/>
      </c>
      <c r="H274" s="175" t="str">
        <f t="shared" si="27"/>
        <v/>
      </c>
      <c r="I274" s="175" t="str">
        <f t="shared" si="27"/>
        <v/>
      </c>
      <c r="J274" s="175" t="str">
        <f t="shared" si="27"/>
        <v/>
      </c>
      <c r="K274" s="175" t="str">
        <f t="shared" si="27"/>
        <v/>
      </c>
      <c r="L274" s="175" t="str">
        <f t="shared" si="27"/>
        <v/>
      </c>
      <c r="M274" s="175" t="str">
        <f t="shared" si="27"/>
        <v/>
      </c>
      <c r="N274" s="175" t="str">
        <f t="shared" si="27"/>
        <v/>
      </c>
      <c r="O274" s="175" t="str">
        <f t="shared" si="27"/>
        <v/>
      </c>
      <c r="P274" s="175" t="str">
        <f t="shared" si="27"/>
        <v/>
      </c>
      <c r="Q274" s="175" t="str">
        <f t="shared" si="27"/>
        <v/>
      </c>
      <c r="R274" s="175" t="str">
        <f t="shared" si="27"/>
        <v/>
      </c>
      <c r="S274" s="175" t="str">
        <f t="shared" si="27"/>
        <v/>
      </c>
      <c r="T274" s="175" t="str">
        <f t="shared" si="27"/>
        <v/>
      </c>
      <c r="U274" s="175" t="str">
        <f t="shared" si="27"/>
        <v/>
      </c>
      <c r="V274" s="175" t="str">
        <f t="shared" si="27"/>
        <v/>
      </c>
      <c r="W274" s="175" t="str">
        <f t="shared" si="27"/>
        <v/>
      </c>
      <c r="X274" s="175" t="str">
        <f t="shared" si="27"/>
        <v/>
      </c>
      <c r="Y274" s="175" t="str">
        <f t="shared" si="27"/>
        <v/>
      </c>
      <c r="Z274" s="175" t="str">
        <f t="shared" si="27"/>
        <v/>
      </c>
      <c r="AA274" s="175" t="str">
        <f t="shared" si="27"/>
        <v/>
      </c>
      <c r="AB274" s="175" t="str">
        <f t="shared" si="27"/>
        <v/>
      </c>
      <c r="AC274" s="175" t="str">
        <f t="shared" si="27"/>
        <v/>
      </c>
      <c r="AD274" s="175" t="str">
        <f t="shared" si="27"/>
        <v/>
      </c>
      <c r="AE274" s="175" t="str">
        <f t="shared" si="27"/>
        <v/>
      </c>
      <c r="AF274" s="175" t="str">
        <f t="shared" si="27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1368" priority="156">
      <formula>$AH11=0</formula>
    </cfRule>
  </conditionalFormatting>
  <conditionalFormatting sqref="B8 M8 S8 AB8">
    <cfRule type="expression" dxfId="1367" priority="408">
      <formula>AND(C$9&gt;=14/24,C$9&lt;20/24)</formula>
    </cfRule>
    <cfRule type="expression" dxfId="1366" priority="410">
      <formula>C$9&lt;8/24</formula>
    </cfRule>
    <cfRule type="expression" dxfId="1365" priority="409">
      <formula>AND(C$9&gt;=8/24,C$9&lt;14/24)</formula>
    </cfRule>
  </conditionalFormatting>
  <conditionalFormatting sqref="B9:AF45">
    <cfRule type="expression" dxfId="1364" priority="37">
      <formula>B$9&gt;=20/24</formula>
    </cfRule>
    <cfRule type="expression" dxfId="1363" priority="38">
      <formula>AND(B$9&gt;=14/24,B$9&lt;20/24)</formula>
    </cfRule>
    <cfRule type="expression" dxfId="1362" priority="39">
      <formula>AND(B$9&gt;=8/24,B$9&lt;14/24)</formula>
    </cfRule>
    <cfRule type="expression" dxfId="1361" priority="40">
      <formula>B$9&lt;8/24</formula>
    </cfRule>
  </conditionalFormatting>
  <conditionalFormatting sqref="B11:AF46">
    <cfRule type="expression" dxfId="1360" priority="35">
      <formula>B11&gt;$AG11</formula>
    </cfRule>
  </conditionalFormatting>
  <conditionalFormatting sqref="B46:AF46">
    <cfRule type="expression" dxfId="1359" priority="31">
      <formula>B$9&gt;=20/24</formula>
    </cfRule>
    <cfRule type="expression" dxfId="1358" priority="32">
      <formula>AND(B$9&gt;=14/24,B$9&lt;20/24)</formula>
    </cfRule>
    <cfRule type="expression" dxfId="1357" priority="33">
      <formula>AND(B$9&gt;=8/24,B$9&lt;14/24)</formula>
    </cfRule>
    <cfRule type="expression" dxfId="1356" priority="34">
      <formula>B$9&lt;8/24</formula>
    </cfRule>
  </conditionalFormatting>
  <conditionalFormatting sqref="B47:AF47">
    <cfRule type="expression" dxfId="1355" priority="66">
      <formula>B47&gt;$AG47</formula>
    </cfRule>
  </conditionalFormatting>
  <conditionalFormatting sqref="B47:AF49">
    <cfRule type="expression" dxfId="1354" priority="53">
      <formula>B$9&gt;=20/24</formula>
    </cfRule>
    <cfRule type="expression" dxfId="1353" priority="54">
      <formula>AND(B$9&gt;=14/24,B$9&lt;20/24)</formula>
    </cfRule>
    <cfRule type="expression" dxfId="1352" priority="55">
      <formula>AND(B$9&gt;=8/24,B$9&lt;14/24)</formula>
    </cfRule>
    <cfRule type="expression" dxfId="1351" priority="56">
      <formula>B$9&lt;8/24</formula>
    </cfRule>
  </conditionalFormatting>
  <conditionalFormatting sqref="B48:AF49">
    <cfRule type="expression" dxfId="1350" priority="52">
      <formula>B48&gt;$AG48</formula>
    </cfRule>
  </conditionalFormatting>
  <conditionalFormatting sqref="B51:AF53">
    <cfRule type="expression" dxfId="1349" priority="107">
      <formula>B$9&lt;8/24</formula>
    </cfRule>
    <cfRule type="expression" dxfId="1348" priority="106">
      <formula>AND(B$9&gt;=8/24,B$9&lt;14/24)</formula>
    </cfRule>
    <cfRule type="expression" dxfId="1347" priority="105">
      <formula>AND(B$9&gt;=14/24,B$9&lt;20/24)</formula>
    </cfRule>
    <cfRule type="expression" dxfId="1346" priority="104">
      <formula>B$9&gt;=20/24</formula>
    </cfRule>
    <cfRule type="expression" dxfId="1345" priority="103">
      <formula>B51&gt;$AG51</formula>
    </cfRule>
  </conditionalFormatting>
  <conditionalFormatting sqref="B55:AF66">
    <cfRule type="expression" dxfId="1344" priority="69">
      <formula>AND(B$9&gt;=14/24,B$9&lt;20/24)</formula>
    </cfRule>
    <cfRule type="expression" dxfId="1343" priority="67">
      <formula>B55&gt;$AG55</formula>
    </cfRule>
    <cfRule type="expression" dxfId="1342" priority="68">
      <formula>B$9&gt;=20/24</formula>
    </cfRule>
    <cfRule type="expression" dxfId="1341" priority="70">
      <formula>AND(B$9&gt;=8/24,B$9&lt;14/24)</formula>
    </cfRule>
    <cfRule type="expression" dxfId="1340" priority="71">
      <formula>B$9&lt;8/24</formula>
    </cfRule>
  </conditionalFormatting>
  <conditionalFormatting sqref="B69:AF71">
    <cfRule type="expression" dxfId="1339" priority="124">
      <formula>AND(B$9&gt;=8/24,B$9&lt;14/24)</formula>
    </cfRule>
    <cfRule type="expression" dxfId="1338" priority="125">
      <formula>B$9&lt;8/24</formula>
    </cfRule>
    <cfRule type="expression" dxfId="1337" priority="122">
      <formula>B$9&gt;=20/24</formula>
    </cfRule>
    <cfRule type="expression" dxfId="1336" priority="121">
      <formula>B69&gt;$AG69</formula>
    </cfRule>
    <cfRule type="expression" dxfId="1335" priority="123">
      <formula>AND(B$9&gt;=14/24,B$9&lt;20/24)</formula>
    </cfRule>
  </conditionalFormatting>
  <conditionalFormatting sqref="B73:AF91">
    <cfRule type="expression" dxfId="1334" priority="10">
      <formula>AND(B$9&gt;=14/24,B$9&lt;20/24)</formula>
    </cfRule>
    <cfRule type="expression" dxfId="1333" priority="11">
      <formula>AND(B$9&gt;=8/24,B$9&lt;14/24)</formula>
    </cfRule>
    <cfRule type="expression" dxfId="1332" priority="12">
      <formula>B$9&lt;8/24</formula>
    </cfRule>
    <cfRule type="expression" dxfId="1331" priority="9">
      <formula>B$9&gt;=20/24</formula>
    </cfRule>
  </conditionalFormatting>
  <conditionalFormatting sqref="B111:AF120">
    <cfRule type="expression" dxfId="1330" priority="27">
      <formula>B$9&gt;=20/24</formula>
    </cfRule>
    <cfRule type="expression" dxfId="1329" priority="28">
      <formula>AND(B$9&gt;=14/24,B$9&lt;20/24)</formula>
    </cfRule>
    <cfRule type="expression" dxfId="1328" priority="29">
      <formula>AND(B$9&gt;=8/24,B$9&lt;14/24)</formula>
    </cfRule>
    <cfRule type="expression" dxfId="1327" priority="30">
      <formula>B$9&lt;8/24</formula>
    </cfRule>
  </conditionalFormatting>
  <conditionalFormatting sqref="B227:AF227 D229:AF230 B229:B235 D231:H231 J231:AF231 D232:AF235 U248:AF248">
    <cfRule type="expression" dxfId="1326" priority="403">
      <formula>AND(B$9&gt;=8/24,B$9&lt;14/24)</formula>
    </cfRule>
    <cfRule type="expression" dxfId="1325" priority="402">
      <formula>AND(B$9&gt;=14/24,B$9&lt;20/24)</formula>
    </cfRule>
    <cfRule type="expression" dxfId="1324" priority="401">
      <formula>B$9&gt;=20/24</formula>
    </cfRule>
    <cfRule type="expression" dxfId="1323" priority="404">
      <formula>B$9&lt;8/24</formula>
    </cfRule>
  </conditionalFormatting>
  <conditionalFormatting sqref="B50:AG50">
    <cfRule type="expression" dxfId="1322" priority="51">
      <formula>B50&gt;$AG50</formula>
    </cfRule>
  </conditionalFormatting>
  <conditionalFormatting sqref="B54:AG54">
    <cfRule type="expression" dxfId="1321" priority="76">
      <formula>B$9&lt;8/24</formula>
    </cfRule>
    <cfRule type="expression" dxfId="1320" priority="75">
      <formula>AND(B$9&gt;=8/24,B$9&lt;14/24)</formula>
    </cfRule>
    <cfRule type="expression" dxfId="1319" priority="74">
      <formula>AND(B$9&gt;=14/24,B$9&lt;20/24)</formula>
    </cfRule>
    <cfRule type="expression" dxfId="1318" priority="73">
      <formula>B$9&gt;=20/24</formula>
    </cfRule>
    <cfRule type="expression" dxfId="1317" priority="72">
      <formula>B54&gt;$AG54</formula>
    </cfRule>
  </conditionalFormatting>
  <conditionalFormatting sqref="B67:AG68 B72:AG72">
    <cfRule type="expression" dxfId="1316" priority="81">
      <formula>B67&gt;$AG67</formula>
    </cfRule>
  </conditionalFormatting>
  <conditionalFormatting sqref="B72:AG72 B93:AF109">
    <cfRule type="expression" dxfId="1315" priority="84">
      <formula>AND(B$9&gt;=8/24,B$9&lt;14/24)</formula>
    </cfRule>
    <cfRule type="expression" dxfId="1314" priority="83">
      <formula>AND(B$9&gt;=14/24,B$9&lt;20/24)</formula>
    </cfRule>
    <cfRule type="expression" dxfId="1313" priority="85">
      <formula>B$9&lt;8/24</formula>
    </cfRule>
    <cfRule type="expression" dxfId="1312" priority="82">
      <formula>B$9&gt;=20/24</formula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311" priority="407">
      <formula>C$9&gt;=20/24</formula>
    </cfRule>
  </conditionalFormatting>
  <conditionalFormatting sqref="S8">
    <cfRule type="expression" dxfId="1310" priority="380">
      <formula>U$9&gt;=20/24</formula>
    </cfRule>
    <cfRule type="expression" dxfId="1309" priority="381">
      <formula>AND(U$9&gt;=14/24,U$9&lt;20/24)</formula>
    </cfRule>
    <cfRule type="expression" dxfId="1308" priority="382">
      <formula>AND(U$9&gt;=8/24,U$9&lt;14/24)</formula>
    </cfRule>
    <cfRule type="expression" dxfId="1307" priority="383">
      <formula>U$9&lt;8/24</formula>
    </cfRule>
  </conditionalFormatting>
  <conditionalFormatting sqref="T248">
    <cfRule type="expression" dxfId="1306" priority="423">
      <formula>AX$9&lt;8/24</formula>
    </cfRule>
    <cfRule type="expression" dxfId="1305" priority="420">
      <formula>AX$9&gt;=20/24</formula>
    </cfRule>
    <cfRule type="expression" dxfId="1304" priority="421">
      <formula>AND(AX$9&gt;=14/24,AX$9&lt;20/24)</formula>
    </cfRule>
    <cfRule type="expression" dxfId="1303" priority="422">
      <formula>AND(AX$9&gt;=8/24,AX$9&lt;14/24)</formula>
    </cfRule>
  </conditionalFormatting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302" priority="376">
      <formula>AD$9&gt;=20/24</formula>
    </cfRule>
    <cfRule type="expression" dxfId="1301" priority="377">
      <formula>AND(AD$9&gt;=14/24,AD$9&lt;20/24)</formula>
    </cfRule>
    <cfRule type="expression" dxfId="1300" priority="378">
      <formula>AND(AD$9&gt;=8/24,AD$9&lt;14/24)</formula>
    </cfRule>
    <cfRule type="expression" dxfId="1299" priority="379">
      <formula>AD$9&lt;8/24</formula>
    </cfRule>
  </conditionalFormatting>
  <conditionalFormatting sqref="AG89">
    <cfRule type="expression" dxfId="1298" priority="337">
      <formula>AG$9&lt;8/24</formula>
    </cfRule>
    <cfRule type="expression" dxfId="1297" priority="336">
      <formula>AND(AG$9&gt;=8/24,AG$9&lt;14/24)</formula>
    </cfRule>
    <cfRule type="expression" dxfId="1296" priority="334">
      <formula>AG$9&gt;=20/24</formula>
    </cfRule>
    <cfRule type="expression" dxfId="1295" priority="335">
      <formula>AND(AG$9&gt;=14/24,AG$9&lt;20/24)</formula>
    </cfRule>
  </conditionalFormatting>
  <conditionalFormatting sqref="AG248">
    <cfRule type="expression" dxfId="1294" priority="412">
      <formula>B$9&gt;=20/24</formula>
    </cfRule>
    <cfRule type="expression" dxfId="1293" priority="413">
      <formula>AND(B$9&gt;=14/24,B$9&lt;20/24)</formula>
    </cfRule>
    <cfRule type="expression" dxfId="1292" priority="414">
      <formula>AND(B$9&gt;=8/24,B$9&lt;14/24)</formula>
    </cfRule>
    <cfRule type="expression" dxfId="1291" priority="415">
      <formula>B$9&lt;8/24</formula>
    </cfRule>
  </conditionalFormatting>
  <conditionalFormatting sqref="AH248:AX248">
    <cfRule type="expression" dxfId="1290" priority="416">
      <formula>AG$9&gt;=20/24</formula>
    </cfRule>
    <cfRule type="expression" dxfId="1289" priority="417">
      <formula>AND(AG$9&gt;=14/24,AG$9&lt;20/24)</formula>
    </cfRule>
    <cfRule type="expression" dxfId="1288" priority="418">
      <formula>AND(AG$9&gt;=8/24,AG$9&lt;14/24)</formula>
    </cfRule>
    <cfRule type="expression" dxfId="1287" priority="419">
      <formula>AG$9&lt;8/24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286" priority="425">
      <formula>AJ$9&gt;=20/24</formula>
    </cfRule>
    <cfRule type="expression" dxfId="1285" priority="426">
      <formula>AND(AJ$9&gt;=14/24,AJ$9&lt;20/24)</formula>
    </cfRule>
    <cfRule type="expression" dxfId="1284" priority="427">
      <formula>AND(AJ$9&gt;=8/24,AJ$9&lt;14/24)</formula>
    </cfRule>
    <cfRule type="expression" dxfId="1283" priority="428">
      <formula>AJ$9&lt;8/24</formula>
    </cfRule>
  </conditionalFormatting>
  <conditionalFormatting sqref="AL80:AN80 AL86:AN86">
    <cfRule type="expression" dxfId="1282" priority="225">
      <formula>AL$9&gt;=20/24</formula>
    </cfRule>
    <cfRule type="expression" dxfId="1281" priority="226">
      <formula>AND(AL$9&gt;=14/24,AL$9&lt;20/24)</formula>
    </cfRule>
    <cfRule type="expression" dxfId="1280" priority="227">
      <formula>AND(AL$9&gt;=8/24,AL$9&lt;14/24)</formula>
    </cfRule>
    <cfRule type="expression" dxfId="1279" priority="228">
      <formula>AL$9&lt;8/24</formula>
    </cfRule>
  </conditionalFormatting>
  <conditionalFormatting sqref="AN81:AN84">
    <cfRule type="expression" dxfId="1278" priority="222">
      <formula>AND(AN$9&gt;=14/24,AN$9&lt;20/24)</formula>
    </cfRule>
    <cfRule type="expression" dxfId="1277" priority="223">
      <formula>AND(AN$9&gt;=8/24,AN$9&lt;14/24)</formula>
    </cfRule>
    <cfRule type="expression" dxfId="1276" priority="221">
      <formula>AN$9&gt;=20/24</formula>
    </cfRule>
    <cfRule type="expression" dxfId="1275" priority="224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365C-ECF7-44F6-B497-B43B942753C2}">
  <dimension ref="A1:CJ281"/>
  <sheetViews>
    <sheetView zoomScale="90" zoomScaleNormal="90" workbookViewId="0">
      <pane xSplit="1" ySplit="10" topLeftCell="B57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T76" sqref="T7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7.42578125" style="1" customWidth="1"/>
    <col min="11" max="11" width="7.85546875" style="1" customWidth="1"/>
    <col min="12" max="12" width="8.85546875" style="1" customWidth="1"/>
    <col min="13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2080/03/14</v>
      </c>
      <c r="C4" s="187"/>
      <c r="D4" s="187"/>
      <c r="E4" s="188" t="str">
        <f ca="1">"2079/"&amp;"12/"&amp;INT(MID(CELL("filename",G6),FIND("]",CELL("filename",G6))+1,200))</f>
        <v>2079/12/14</v>
      </c>
      <c r="F4" s="188"/>
      <c r="G4" s="188"/>
      <c r="H4" s="188" t="str">
        <f ca="1">TEXT(E4,"dddd")</f>
        <v>Thursday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96</v>
      </c>
      <c r="C5" s="30">
        <f t="shared" si="0"/>
        <v>93</v>
      </c>
      <c r="D5" s="30">
        <f t="shared" si="0"/>
        <v>50</v>
      </c>
      <c r="E5" s="30">
        <f t="shared" si="0"/>
        <v>70</v>
      </c>
      <c r="F5" s="30">
        <f t="shared" si="0"/>
        <v>70</v>
      </c>
      <c r="G5" s="30">
        <f t="shared" si="0"/>
        <v>56.6</v>
      </c>
      <c r="H5" s="30">
        <f t="shared" si="0"/>
        <v>56.6</v>
      </c>
      <c r="I5" s="30">
        <f t="shared" si="0"/>
        <v>62</v>
      </c>
      <c r="J5" s="30">
        <f t="shared" si="0"/>
        <v>62</v>
      </c>
      <c r="K5" s="30">
        <f t="shared" si="0"/>
        <v>70</v>
      </c>
      <c r="L5" s="30">
        <f t="shared" si="0"/>
        <v>46</v>
      </c>
      <c r="M5" s="30">
        <f t="shared" si="0"/>
        <v>55.5</v>
      </c>
      <c r="N5" s="30">
        <f t="shared" si="0"/>
        <v>63.8</v>
      </c>
      <c r="O5" s="30">
        <f t="shared" si="0"/>
        <v>43.7</v>
      </c>
      <c r="P5" s="30">
        <f t="shared" si="0"/>
        <v>48.3</v>
      </c>
      <c r="Q5" s="30">
        <f t="shared" si="0"/>
        <v>84.3</v>
      </c>
      <c r="R5" s="30">
        <f t="shared" si="0"/>
        <v>69</v>
      </c>
      <c r="S5" s="30">
        <f t="shared" si="0"/>
        <v>73.7</v>
      </c>
      <c r="T5" s="30">
        <f t="shared" si="0"/>
        <v>36.4</v>
      </c>
      <c r="U5" s="30">
        <f t="shared" si="0"/>
        <v>22.1</v>
      </c>
      <c r="V5" s="30">
        <f t="shared" si="0"/>
        <v>10.9</v>
      </c>
      <c r="W5" s="30">
        <f t="shared" si="0"/>
        <v>11.2</v>
      </c>
      <c r="X5" s="30">
        <f t="shared" si="0"/>
        <v>32</v>
      </c>
      <c r="Y5" s="30">
        <f t="shared" si="0"/>
        <v>17</v>
      </c>
      <c r="Z5" s="30">
        <f t="shared" si="0"/>
        <v>39.299999999999997</v>
      </c>
      <c r="AA5" s="30">
        <f t="shared" si="0"/>
        <v>46</v>
      </c>
      <c r="AB5" s="30">
        <f t="shared" si="0"/>
        <v>56.5</v>
      </c>
      <c r="AC5" s="30">
        <f t="shared" si="0"/>
        <v>57.3</v>
      </c>
      <c r="AD5" s="30">
        <f t="shared" si="0"/>
        <v>45.6</v>
      </c>
      <c r="AE5" s="30">
        <f t="shared" si="0"/>
        <v>66</v>
      </c>
      <c r="AF5" s="30">
        <f>B84</f>
        <v>65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1931MW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Load=1811</v>
      </c>
      <c r="B7" s="35">
        <f t="shared" ref="B7:AF7" si="1">B91</f>
        <v>1964.55</v>
      </c>
      <c r="C7" s="35">
        <f t="shared" si="1"/>
        <v>1917.95</v>
      </c>
      <c r="D7" s="35">
        <f t="shared" si="1"/>
        <v>1906.95</v>
      </c>
      <c r="E7" s="35">
        <f t="shared" si="1"/>
        <v>1883.95</v>
      </c>
      <c r="F7" s="35">
        <f t="shared" si="1"/>
        <v>1908.95</v>
      </c>
      <c r="G7" s="35">
        <f t="shared" si="1"/>
        <v>1877.3500000000001</v>
      </c>
      <c r="H7" s="35">
        <f t="shared" si="1"/>
        <v>1879.95</v>
      </c>
      <c r="I7" s="35">
        <f t="shared" si="1"/>
        <v>1881.95</v>
      </c>
      <c r="J7" s="35">
        <f t="shared" si="1"/>
        <v>1887.3500000000001</v>
      </c>
      <c r="K7" s="35">
        <f t="shared" si="1"/>
        <v>1887.3500000000001</v>
      </c>
      <c r="L7" s="35">
        <f t="shared" si="1"/>
        <v>1930.8500000000001</v>
      </c>
      <c r="M7" s="35">
        <f t="shared" si="1"/>
        <v>1928.65</v>
      </c>
      <c r="N7" s="35">
        <f>N91</f>
        <v>1917.2500000000002</v>
      </c>
      <c r="O7" s="35">
        <f t="shared" si="1"/>
        <v>1894.85</v>
      </c>
      <c r="P7" s="35">
        <f t="shared" si="1"/>
        <v>1881.8500000000001</v>
      </c>
      <c r="Q7" s="35">
        <f t="shared" si="1"/>
        <v>1919.8500000000001</v>
      </c>
      <c r="R7" s="35">
        <f t="shared" si="1"/>
        <v>1954.05</v>
      </c>
      <c r="S7" s="35">
        <f t="shared" si="1"/>
        <v>1949.6499999999999</v>
      </c>
      <c r="T7" s="35">
        <f t="shared" si="1"/>
        <v>1921.4499999999998</v>
      </c>
      <c r="U7" s="35">
        <f t="shared" si="1"/>
        <v>1890.8500000000001</v>
      </c>
      <c r="V7" s="35">
        <f t="shared" si="1"/>
        <v>1874.1499999999999</v>
      </c>
      <c r="W7" s="35">
        <f t="shared" si="1"/>
        <v>1812.2500000000002</v>
      </c>
      <c r="X7" s="35">
        <f t="shared" si="1"/>
        <v>1810.95</v>
      </c>
      <c r="Y7" s="35">
        <f t="shared" si="1"/>
        <v>1863.75</v>
      </c>
      <c r="Z7" s="35">
        <f t="shared" si="1"/>
        <v>1845.75</v>
      </c>
      <c r="AA7" s="35">
        <f t="shared" si="1"/>
        <v>1925.45</v>
      </c>
      <c r="AB7" s="35">
        <f t="shared" si="1"/>
        <v>1962.75</v>
      </c>
      <c r="AC7" s="35">
        <f t="shared" si="1"/>
        <v>1976.45</v>
      </c>
      <c r="AD7" s="35">
        <f t="shared" si="1"/>
        <v>1977.25</v>
      </c>
      <c r="AE7" s="35">
        <f t="shared" si="1"/>
        <v>1962.9499999999998</v>
      </c>
      <c r="AF7" s="35">
        <f t="shared" si="1"/>
        <v>1899.0500000000002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</v>
      </c>
      <c r="C11" s="45">
        <v>60</v>
      </c>
      <c r="D11" s="45">
        <v>60</v>
      </c>
      <c r="E11" s="45">
        <v>60</v>
      </c>
      <c r="F11" s="45">
        <v>60</v>
      </c>
      <c r="G11" s="45">
        <v>60</v>
      </c>
      <c r="H11" s="45">
        <v>60</v>
      </c>
      <c r="I11" s="45">
        <v>60</v>
      </c>
      <c r="J11" s="45">
        <v>60</v>
      </c>
      <c r="K11" s="45">
        <v>60</v>
      </c>
      <c r="L11" s="45">
        <v>60</v>
      </c>
      <c r="M11" s="45">
        <v>60.7</v>
      </c>
      <c r="N11" s="45">
        <v>60.7</v>
      </c>
      <c r="O11" s="45">
        <v>60.7</v>
      </c>
      <c r="P11" s="45">
        <v>60.7</v>
      </c>
      <c r="Q11" s="45">
        <v>60.7</v>
      </c>
      <c r="R11" s="45">
        <v>60.7</v>
      </c>
      <c r="S11" s="45">
        <v>60.7</v>
      </c>
      <c r="T11" s="45">
        <v>60.7</v>
      </c>
      <c r="U11" s="45">
        <v>60.7</v>
      </c>
      <c r="V11" s="45">
        <v>60.7</v>
      </c>
      <c r="W11" s="45">
        <v>60.7</v>
      </c>
      <c r="X11" s="45">
        <v>60.7</v>
      </c>
      <c r="Y11" s="45">
        <v>60.7</v>
      </c>
      <c r="Z11" s="45">
        <v>60.7</v>
      </c>
      <c r="AA11" s="45">
        <v>60.7</v>
      </c>
      <c r="AB11" s="45">
        <v>60.7</v>
      </c>
      <c r="AC11" s="45">
        <v>60.7</v>
      </c>
      <c r="AD11" s="45">
        <v>60.7</v>
      </c>
      <c r="AE11" s="45">
        <v>60.7</v>
      </c>
      <c r="AF11" s="45">
        <v>60.7</v>
      </c>
      <c r="AG11" s="46">
        <v>86</v>
      </c>
      <c r="AH11" s="47">
        <f t="shared" ref="AH11:AH76" si="2">MAX(B11:AF11)</f>
        <v>60.7</v>
      </c>
      <c r="AI11" s="48">
        <f t="shared" ref="AI11:AI76" si="3">MIN(B11:AF11)</f>
        <v>60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27</v>
      </c>
      <c r="C12" s="45">
        <v>18</v>
      </c>
      <c r="D12" s="45">
        <v>18</v>
      </c>
      <c r="E12" s="45">
        <v>18</v>
      </c>
      <c r="F12" s="45">
        <v>18</v>
      </c>
      <c r="G12" s="45">
        <v>20</v>
      </c>
      <c r="H12" s="45">
        <v>20</v>
      </c>
      <c r="I12" s="45">
        <v>22</v>
      </c>
      <c r="J12" s="45">
        <v>22</v>
      </c>
      <c r="K12" s="45">
        <v>22</v>
      </c>
      <c r="L12" s="45">
        <v>22</v>
      </c>
      <c r="M12" s="45">
        <v>22</v>
      </c>
      <c r="N12" s="45">
        <v>22</v>
      </c>
      <c r="O12" s="45">
        <v>22</v>
      </c>
      <c r="P12" s="45">
        <v>20</v>
      </c>
      <c r="Q12" s="45">
        <v>14</v>
      </c>
      <c r="R12" s="45">
        <v>10</v>
      </c>
      <c r="S12" s="45">
        <v>10</v>
      </c>
      <c r="T12" s="45">
        <v>15</v>
      </c>
      <c r="U12" s="45">
        <v>10</v>
      </c>
      <c r="V12" s="45">
        <v>20</v>
      </c>
      <c r="W12" s="45">
        <v>10</v>
      </c>
      <c r="X12" s="45">
        <v>10</v>
      </c>
      <c r="Y12" s="45">
        <v>10</v>
      </c>
      <c r="Z12" s="45">
        <v>10</v>
      </c>
      <c r="AA12" s="45">
        <v>27</v>
      </c>
      <c r="AB12" s="45">
        <v>27</v>
      </c>
      <c r="AC12" s="45">
        <v>27</v>
      </c>
      <c r="AD12" s="45">
        <v>27</v>
      </c>
      <c r="AE12" s="45">
        <v>27</v>
      </c>
      <c r="AF12" s="45">
        <v>16</v>
      </c>
      <c r="AG12" s="49">
        <v>54</v>
      </c>
      <c r="AH12" s="47">
        <f t="shared" si="2"/>
        <v>27</v>
      </c>
      <c r="AI12" s="48">
        <f t="shared" si="3"/>
        <v>10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54.4</v>
      </c>
      <c r="C13" s="45">
        <v>54.4</v>
      </c>
      <c r="D13" s="45">
        <v>54.4</v>
      </c>
      <c r="E13" s="45">
        <v>54.4</v>
      </c>
      <c r="F13" s="45">
        <v>54.4</v>
      </c>
      <c r="G13" s="45">
        <v>54.4</v>
      </c>
      <c r="H13" s="45">
        <v>54.4</v>
      </c>
      <c r="I13" s="45">
        <v>54.4</v>
      </c>
      <c r="J13" s="45">
        <v>54.4</v>
      </c>
      <c r="K13" s="45">
        <v>54.4</v>
      </c>
      <c r="L13" s="45">
        <v>54.4</v>
      </c>
      <c r="M13" s="45">
        <v>54.6</v>
      </c>
      <c r="N13" s="45">
        <v>54.6</v>
      </c>
      <c r="O13" s="45">
        <v>54.6</v>
      </c>
      <c r="P13" s="45">
        <v>54.6</v>
      </c>
      <c r="Q13" s="45">
        <v>54.5</v>
      </c>
      <c r="R13" s="45">
        <v>54.5</v>
      </c>
      <c r="S13" s="45">
        <v>54.5</v>
      </c>
      <c r="T13" s="45">
        <v>54.5</v>
      </c>
      <c r="U13" s="45">
        <v>54.5</v>
      </c>
      <c r="V13" s="45">
        <v>54.5</v>
      </c>
      <c r="W13" s="45">
        <v>54.5</v>
      </c>
      <c r="X13" s="45">
        <v>54.5</v>
      </c>
      <c r="Y13" s="45">
        <v>54.5</v>
      </c>
      <c r="Z13" s="45">
        <v>54.5</v>
      </c>
      <c r="AA13" s="45">
        <v>54.5</v>
      </c>
      <c r="AB13" s="45">
        <v>54.6</v>
      </c>
      <c r="AC13" s="45">
        <v>54.6</v>
      </c>
      <c r="AD13" s="45">
        <v>54.6</v>
      </c>
      <c r="AE13" s="45">
        <v>54.6</v>
      </c>
      <c r="AF13" s="45">
        <v>54.6</v>
      </c>
      <c r="AG13" s="46">
        <v>52.4</v>
      </c>
      <c r="AH13" s="47">
        <f t="shared" si="2"/>
        <v>54.6</v>
      </c>
      <c r="AI13" s="48">
        <f t="shared" si="3"/>
        <v>54.4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50.5</v>
      </c>
      <c r="C14" s="50">
        <v>50.5</v>
      </c>
      <c r="D14" s="50">
        <v>50.5</v>
      </c>
      <c r="E14" s="50">
        <v>50.5</v>
      </c>
      <c r="F14" s="50">
        <v>50.5</v>
      </c>
      <c r="G14" s="50">
        <v>50.5</v>
      </c>
      <c r="H14" s="50">
        <v>50.5</v>
      </c>
      <c r="I14" s="50">
        <v>50.5</v>
      </c>
      <c r="J14" s="50">
        <v>50.5</v>
      </c>
      <c r="K14" s="50">
        <v>50.5</v>
      </c>
      <c r="L14" s="50">
        <v>50.5</v>
      </c>
      <c r="M14" s="50">
        <v>50.3</v>
      </c>
      <c r="N14" s="50">
        <v>50.3</v>
      </c>
      <c r="O14" s="50">
        <v>50.3</v>
      </c>
      <c r="P14" s="50">
        <v>50.3</v>
      </c>
      <c r="Q14" s="50">
        <v>50.3</v>
      </c>
      <c r="R14" s="50">
        <v>50.3</v>
      </c>
      <c r="S14" s="50">
        <v>50.3</v>
      </c>
      <c r="T14" s="50">
        <v>50.3</v>
      </c>
      <c r="U14" s="50">
        <v>50.3</v>
      </c>
      <c r="V14" s="50">
        <v>50.3</v>
      </c>
      <c r="W14" s="50">
        <v>50.3</v>
      </c>
      <c r="X14" s="50">
        <v>50.3</v>
      </c>
      <c r="Y14" s="50">
        <v>50.3</v>
      </c>
      <c r="Z14" s="50">
        <v>50.3</v>
      </c>
      <c r="AA14" s="45">
        <v>50.3</v>
      </c>
      <c r="AB14" s="45">
        <v>50.2</v>
      </c>
      <c r="AC14" s="45">
        <v>50.2</v>
      </c>
      <c r="AD14" s="45">
        <v>50.2</v>
      </c>
      <c r="AE14" s="45">
        <v>50.2</v>
      </c>
      <c r="AF14" s="45">
        <v>50.4</v>
      </c>
      <c r="AG14" s="49">
        <v>50</v>
      </c>
      <c r="AH14" s="47">
        <f t="shared" si="2"/>
        <v>50.5</v>
      </c>
      <c r="AI14" s="48">
        <f t="shared" si="3"/>
        <v>50.2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45.8</v>
      </c>
      <c r="C15" s="45">
        <v>45.8</v>
      </c>
      <c r="D15" s="45">
        <v>45.8</v>
      </c>
      <c r="E15" s="45">
        <v>45.8</v>
      </c>
      <c r="F15" s="45">
        <v>45.8</v>
      </c>
      <c r="G15" s="45">
        <v>45.8</v>
      </c>
      <c r="H15" s="45">
        <v>45.8</v>
      </c>
      <c r="I15" s="45">
        <v>45.8</v>
      </c>
      <c r="J15" s="45">
        <v>45.8</v>
      </c>
      <c r="K15" s="45">
        <v>45.8</v>
      </c>
      <c r="L15" s="45">
        <v>45.8</v>
      </c>
      <c r="M15" s="45">
        <v>45.9</v>
      </c>
      <c r="N15" s="45">
        <v>45.9</v>
      </c>
      <c r="O15" s="45">
        <v>45.9</v>
      </c>
      <c r="P15" s="45">
        <v>45.9</v>
      </c>
      <c r="Q15" s="45">
        <v>45.9</v>
      </c>
      <c r="R15" s="45">
        <v>45.9</v>
      </c>
      <c r="S15" s="45">
        <v>45.9</v>
      </c>
      <c r="T15" s="45">
        <v>45.9</v>
      </c>
      <c r="U15" s="45">
        <v>45.9</v>
      </c>
      <c r="V15" s="45">
        <v>45.9</v>
      </c>
      <c r="W15" s="45">
        <v>45.9</v>
      </c>
      <c r="X15" s="45">
        <v>45.9</v>
      </c>
      <c r="Y15" s="45">
        <v>45.9</v>
      </c>
      <c r="Z15" s="45">
        <v>45.9</v>
      </c>
      <c r="AA15" s="45">
        <v>45.9</v>
      </c>
      <c r="AB15" s="45">
        <v>45.9</v>
      </c>
      <c r="AC15" s="45">
        <v>45.9</v>
      </c>
      <c r="AD15" s="45">
        <v>45.9</v>
      </c>
      <c r="AE15" s="45">
        <v>45.9</v>
      </c>
      <c r="AF15" s="45">
        <v>45.9</v>
      </c>
      <c r="AG15" s="49">
        <v>45</v>
      </c>
      <c r="AH15" s="47">
        <f t="shared" si="2"/>
        <v>45.9</v>
      </c>
      <c r="AI15" s="48">
        <f t="shared" si="3"/>
        <v>45.8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32</v>
      </c>
      <c r="AG16" s="49">
        <v>44</v>
      </c>
      <c r="AH16" s="47">
        <f>MAX(B16:AG16)</f>
        <v>44</v>
      </c>
      <c r="AI16" s="48">
        <f>MIN(B16:AG16)</f>
        <v>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30</v>
      </c>
      <c r="C17" s="45">
        <v>0</v>
      </c>
      <c r="D17" s="45">
        <v>0</v>
      </c>
      <c r="E17" s="45">
        <v>20</v>
      </c>
      <c r="F17" s="45">
        <v>30</v>
      </c>
      <c r="G17" s="45">
        <v>36</v>
      </c>
      <c r="H17" s="45">
        <v>36</v>
      </c>
      <c r="I17" s="45">
        <v>36</v>
      </c>
      <c r="J17" s="45">
        <v>36</v>
      </c>
      <c r="K17" s="45">
        <v>36</v>
      </c>
      <c r="L17" s="45">
        <v>36</v>
      </c>
      <c r="M17" s="45">
        <v>36</v>
      </c>
      <c r="N17" s="45">
        <v>36</v>
      </c>
      <c r="O17" s="45">
        <v>31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29</v>
      </c>
      <c r="V17" s="45">
        <v>29</v>
      </c>
      <c r="W17" s="45">
        <v>29</v>
      </c>
      <c r="X17" s="45">
        <v>29</v>
      </c>
      <c r="Y17" s="45">
        <v>29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28</v>
      </c>
      <c r="AF17" s="45">
        <v>28</v>
      </c>
      <c r="AG17" s="49">
        <v>42</v>
      </c>
      <c r="AH17" s="47">
        <f t="shared" si="2"/>
        <v>36</v>
      </c>
      <c r="AI17" s="48">
        <f t="shared" si="3"/>
        <v>0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13.5</v>
      </c>
      <c r="N18" s="45">
        <v>13.5</v>
      </c>
      <c r="O18" s="45">
        <v>0</v>
      </c>
      <c r="P18" s="45">
        <v>26</v>
      </c>
      <c r="Q18" s="45">
        <v>26</v>
      </c>
      <c r="R18" s="45">
        <v>26</v>
      </c>
      <c r="S18" s="45">
        <v>26</v>
      </c>
      <c r="T18" s="45">
        <v>26</v>
      </c>
      <c r="U18" s="45">
        <v>26</v>
      </c>
      <c r="V18" s="45">
        <v>26</v>
      </c>
      <c r="W18" s="45">
        <v>26</v>
      </c>
      <c r="X18" s="45">
        <v>26</v>
      </c>
      <c r="Y18" s="45">
        <v>26</v>
      </c>
      <c r="Z18" s="45">
        <v>26</v>
      </c>
      <c r="AA18" s="45">
        <v>26</v>
      </c>
      <c r="AB18" s="45">
        <v>26</v>
      </c>
      <c r="AC18" s="45">
        <v>26</v>
      </c>
      <c r="AD18" s="45">
        <v>26</v>
      </c>
      <c r="AE18" s="45">
        <v>26</v>
      </c>
      <c r="AF18" s="45">
        <v>0</v>
      </c>
      <c r="AG18" s="49">
        <v>38.46</v>
      </c>
      <c r="AH18" s="47">
        <f t="shared" si="2"/>
        <v>38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0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15</v>
      </c>
      <c r="C20" s="45">
        <v>15</v>
      </c>
      <c r="D20" s="45">
        <v>15</v>
      </c>
      <c r="E20" s="45">
        <v>15</v>
      </c>
      <c r="F20" s="45">
        <v>10</v>
      </c>
      <c r="G20" s="45">
        <v>5.4</v>
      </c>
      <c r="H20" s="45">
        <v>5.4</v>
      </c>
      <c r="I20" s="45">
        <v>5.4</v>
      </c>
      <c r="J20" s="45">
        <v>5.4</v>
      </c>
      <c r="K20" s="45">
        <v>5.4</v>
      </c>
      <c r="L20" s="45">
        <v>0</v>
      </c>
      <c r="M20" s="45">
        <v>0</v>
      </c>
      <c r="N20" s="45">
        <v>0</v>
      </c>
      <c r="O20" s="45">
        <v>0</v>
      </c>
      <c r="P20" s="45">
        <v>12.5</v>
      </c>
      <c r="Q20" s="45">
        <v>12.5</v>
      </c>
      <c r="R20" s="45">
        <v>12.5</v>
      </c>
      <c r="S20" s="45">
        <v>12.5</v>
      </c>
      <c r="T20" s="45">
        <v>10</v>
      </c>
      <c r="U20" s="45">
        <v>5</v>
      </c>
      <c r="V20" s="45">
        <v>10</v>
      </c>
      <c r="W20" s="45">
        <v>5</v>
      </c>
      <c r="X20" s="45">
        <v>5</v>
      </c>
      <c r="Y20" s="45">
        <v>5</v>
      </c>
      <c r="Z20" s="45">
        <v>5</v>
      </c>
      <c r="AA20" s="45">
        <v>15</v>
      </c>
      <c r="AB20" s="45">
        <v>30</v>
      </c>
      <c r="AC20" s="45">
        <v>30</v>
      </c>
      <c r="AD20" s="45">
        <v>30</v>
      </c>
      <c r="AE20" s="45">
        <v>15</v>
      </c>
      <c r="AF20" s="45">
        <v>9.4</v>
      </c>
      <c r="AG20" s="51">
        <v>30</v>
      </c>
      <c r="AH20" s="47">
        <f t="shared" si="2"/>
        <v>30</v>
      </c>
      <c r="AI20" s="48">
        <f t="shared" si="3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19.7</v>
      </c>
      <c r="C21" s="45">
        <v>19.7</v>
      </c>
      <c r="D21" s="45">
        <v>19.7</v>
      </c>
      <c r="E21" s="45">
        <v>19.7</v>
      </c>
      <c r="F21" s="45">
        <v>19.7</v>
      </c>
      <c r="G21" s="45">
        <v>19.7</v>
      </c>
      <c r="H21" s="45">
        <v>19.7</v>
      </c>
      <c r="I21" s="45">
        <v>19.7</v>
      </c>
      <c r="J21" s="45">
        <v>19.7</v>
      </c>
      <c r="K21" s="45">
        <v>19.7</v>
      </c>
      <c r="L21" s="45">
        <v>19.7</v>
      </c>
      <c r="M21" s="45">
        <v>19.7</v>
      </c>
      <c r="N21" s="45">
        <v>19.7</v>
      </c>
      <c r="O21" s="45">
        <v>19.7</v>
      </c>
      <c r="P21" s="45">
        <v>19.7</v>
      </c>
      <c r="Q21" s="45">
        <v>19.7</v>
      </c>
      <c r="R21" s="45">
        <v>19.7</v>
      </c>
      <c r="S21" s="45">
        <v>19.7</v>
      </c>
      <c r="T21" s="45">
        <v>19.7</v>
      </c>
      <c r="U21" s="45">
        <v>28.9</v>
      </c>
      <c r="V21" s="45">
        <v>28.9</v>
      </c>
      <c r="W21" s="45">
        <v>28.9</v>
      </c>
      <c r="X21" s="45">
        <v>28.9</v>
      </c>
      <c r="Y21" s="45">
        <v>28.9</v>
      </c>
      <c r="Z21" s="45">
        <v>28.9</v>
      </c>
      <c r="AA21" s="45">
        <v>23.1</v>
      </c>
      <c r="AB21" s="45">
        <v>23.2</v>
      </c>
      <c r="AC21" s="45">
        <v>23.2</v>
      </c>
      <c r="AD21" s="45">
        <v>23.2</v>
      </c>
      <c r="AE21" s="45">
        <v>23.2</v>
      </c>
      <c r="AF21" s="45">
        <v>20.7</v>
      </c>
      <c r="AG21" s="49">
        <v>24.2</v>
      </c>
      <c r="AH21" s="47">
        <f t="shared" si="2"/>
        <v>28.9</v>
      </c>
      <c r="AI21" s="48">
        <f t="shared" si="3"/>
        <v>19.7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29</v>
      </c>
      <c r="Q22" s="45">
        <v>29</v>
      </c>
      <c r="R22" s="45">
        <v>25</v>
      </c>
      <c r="S22" s="45">
        <v>25</v>
      </c>
      <c r="T22" s="45">
        <v>25</v>
      </c>
      <c r="U22" s="45">
        <v>25</v>
      </c>
      <c r="V22" s="45">
        <v>25</v>
      </c>
      <c r="W22" s="45">
        <v>25</v>
      </c>
      <c r="X22" s="45">
        <v>25</v>
      </c>
      <c r="Y22" s="45">
        <v>24</v>
      </c>
      <c r="Z22" s="45">
        <v>24</v>
      </c>
      <c r="AA22" s="45">
        <v>24</v>
      </c>
      <c r="AB22" s="45">
        <v>24</v>
      </c>
      <c r="AC22" s="45">
        <v>24</v>
      </c>
      <c r="AD22" s="45">
        <v>24</v>
      </c>
      <c r="AE22" s="45">
        <v>24</v>
      </c>
      <c r="AF22" s="45">
        <v>24</v>
      </c>
      <c r="AG22" s="49">
        <v>28</v>
      </c>
      <c r="AH22" s="47">
        <f t="shared" si="2"/>
        <v>29</v>
      </c>
      <c r="AI22" s="48">
        <f t="shared" si="3"/>
        <v>20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12</v>
      </c>
      <c r="H23" s="45">
        <v>20</v>
      </c>
      <c r="I23" s="45">
        <v>20</v>
      </c>
      <c r="J23" s="45">
        <v>20</v>
      </c>
      <c r="K23" s="45">
        <v>20</v>
      </c>
      <c r="L23" s="45">
        <v>20</v>
      </c>
      <c r="M23" s="45">
        <v>9</v>
      </c>
      <c r="N23" s="45">
        <v>9</v>
      </c>
      <c r="O23" s="45">
        <v>9</v>
      </c>
      <c r="P23" s="45">
        <v>9</v>
      </c>
      <c r="Q23" s="45">
        <v>8</v>
      </c>
      <c r="R23" s="45">
        <v>5</v>
      </c>
      <c r="S23" s="45">
        <v>5</v>
      </c>
      <c r="T23" s="45">
        <v>5</v>
      </c>
      <c r="U23" s="45">
        <v>4</v>
      </c>
      <c r="V23" s="45">
        <v>4</v>
      </c>
      <c r="W23" s="45">
        <v>4</v>
      </c>
      <c r="X23" s="45">
        <v>4</v>
      </c>
      <c r="Y23" s="45">
        <v>4</v>
      </c>
      <c r="Z23" s="45">
        <v>4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8</v>
      </c>
      <c r="AG23" s="51">
        <v>30</v>
      </c>
      <c r="AH23" s="47">
        <f t="shared" si="2"/>
        <v>20</v>
      </c>
      <c r="AI23" s="48">
        <f t="shared" si="3"/>
        <v>4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26.2</v>
      </c>
      <c r="C24" s="45">
        <v>26.2</v>
      </c>
      <c r="D24" s="45">
        <v>26.2</v>
      </c>
      <c r="E24" s="45">
        <v>26.2</v>
      </c>
      <c r="F24" s="45">
        <v>26.2</v>
      </c>
      <c r="G24" s="45">
        <v>26.2</v>
      </c>
      <c r="H24" s="45">
        <v>26.2</v>
      </c>
      <c r="I24" s="45">
        <v>26.2</v>
      </c>
      <c r="J24" s="45">
        <v>26.2</v>
      </c>
      <c r="K24" s="45">
        <v>26.2</v>
      </c>
      <c r="L24" s="45">
        <v>26.2</v>
      </c>
      <c r="M24" s="45">
        <v>26.2</v>
      </c>
      <c r="N24" s="45">
        <v>26.2</v>
      </c>
      <c r="O24" s="45">
        <v>26.2</v>
      </c>
      <c r="P24" s="45">
        <v>26.2</v>
      </c>
      <c r="Q24" s="45">
        <v>26.2</v>
      </c>
      <c r="R24" s="45">
        <v>26.2</v>
      </c>
      <c r="S24" s="45">
        <v>26.2</v>
      </c>
      <c r="T24" s="45">
        <v>25.8</v>
      </c>
      <c r="U24" s="45">
        <v>25.8</v>
      </c>
      <c r="V24" s="45">
        <v>25.8</v>
      </c>
      <c r="W24" s="45">
        <v>25.8</v>
      </c>
      <c r="X24" s="45">
        <v>25.8</v>
      </c>
      <c r="Y24" s="45">
        <v>25.8</v>
      </c>
      <c r="Z24" s="45">
        <v>25.8</v>
      </c>
      <c r="AA24" s="45">
        <v>26.1</v>
      </c>
      <c r="AB24" s="45">
        <v>26.2</v>
      </c>
      <c r="AC24" s="45">
        <v>26.2</v>
      </c>
      <c r="AD24" s="45">
        <v>26.2</v>
      </c>
      <c r="AE24" s="45">
        <v>20</v>
      </c>
      <c r="AF24" s="45">
        <v>24.4</v>
      </c>
      <c r="AG24" s="49">
        <v>25</v>
      </c>
      <c r="AH24" s="47">
        <f t="shared" si="2"/>
        <v>26.2</v>
      </c>
      <c r="AI24" s="48">
        <f t="shared" si="3"/>
        <v>20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25</v>
      </c>
      <c r="C27" s="45">
        <v>20</v>
      </c>
      <c r="D27" s="45">
        <v>12</v>
      </c>
      <c r="E27" s="45">
        <v>12</v>
      </c>
      <c r="F27" s="45">
        <v>12</v>
      </c>
      <c r="G27" s="45">
        <v>12</v>
      </c>
      <c r="H27" s="45">
        <v>20</v>
      </c>
      <c r="I27" s="45">
        <v>20</v>
      </c>
      <c r="J27" s="45">
        <v>20</v>
      </c>
      <c r="K27" s="45">
        <v>20</v>
      </c>
      <c r="L27" s="45">
        <v>20</v>
      </c>
      <c r="M27" s="45">
        <v>20</v>
      </c>
      <c r="N27" s="45">
        <v>20</v>
      </c>
      <c r="O27" s="45">
        <v>20</v>
      </c>
      <c r="P27" s="45">
        <v>13</v>
      </c>
      <c r="Q27" s="45">
        <v>7</v>
      </c>
      <c r="R27" s="45">
        <v>5</v>
      </c>
      <c r="S27" s="45">
        <v>5</v>
      </c>
      <c r="T27" s="45">
        <v>10</v>
      </c>
      <c r="U27" s="45">
        <v>4</v>
      </c>
      <c r="V27" s="45">
        <v>8</v>
      </c>
      <c r="W27" s="45">
        <v>4</v>
      </c>
      <c r="X27" s="45">
        <v>4</v>
      </c>
      <c r="Y27" s="45">
        <v>4</v>
      </c>
      <c r="Z27" s="45">
        <v>4</v>
      </c>
      <c r="AA27" s="45">
        <v>12.5</v>
      </c>
      <c r="AB27" s="45">
        <v>25</v>
      </c>
      <c r="AC27" s="45">
        <v>25</v>
      </c>
      <c r="AD27" s="45">
        <v>25</v>
      </c>
      <c r="AE27" s="45">
        <v>25</v>
      </c>
      <c r="AF27" s="45">
        <v>7</v>
      </c>
      <c r="AG27" s="49">
        <v>25</v>
      </c>
      <c r="AH27" s="47">
        <f t="shared" si="2"/>
        <v>25</v>
      </c>
      <c r="AI27" s="48">
        <f t="shared" si="3"/>
        <v>4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15.7</v>
      </c>
      <c r="C28" s="45">
        <v>15.7</v>
      </c>
      <c r="D28" s="45">
        <v>15.7</v>
      </c>
      <c r="E28" s="45">
        <v>15.7</v>
      </c>
      <c r="F28" s="45">
        <v>15.7</v>
      </c>
      <c r="G28" s="45">
        <v>15.7</v>
      </c>
      <c r="H28" s="45">
        <v>15.7</v>
      </c>
      <c r="I28" s="45">
        <v>15.7</v>
      </c>
      <c r="J28" s="45">
        <v>15.7</v>
      </c>
      <c r="K28" s="45">
        <v>15.7</v>
      </c>
      <c r="L28" s="45">
        <v>15.7</v>
      </c>
      <c r="M28" s="45">
        <v>15.7</v>
      </c>
      <c r="N28" s="45">
        <v>15.7</v>
      </c>
      <c r="O28" s="45">
        <v>15.7</v>
      </c>
      <c r="P28" s="45">
        <v>15.7</v>
      </c>
      <c r="Q28" s="45">
        <v>18.8</v>
      </c>
      <c r="R28" s="45">
        <v>18.8</v>
      </c>
      <c r="S28" s="45">
        <v>18.8</v>
      </c>
      <c r="T28" s="45">
        <v>18.8</v>
      </c>
      <c r="U28" s="45">
        <v>18.8</v>
      </c>
      <c r="V28" s="45">
        <v>18.8</v>
      </c>
      <c r="W28" s="45">
        <v>18.8</v>
      </c>
      <c r="X28" s="45">
        <v>18.8</v>
      </c>
      <c r="Y28" s="45">
        <v>18.8</v>
      </c>
      <c r="Z28" s="45">
        <v>18.8</v>
      </c>
      <c r="AA28" s="45">
        <v>21.4</v>
      </c>
      <c r="AB28" s="45">
        <v>18.3</v>
      </c>
      <c r="AC28" s="45">
        <v>18.3</v>
      </c>
      <c r="AD28" s="45">
        <v>18.3</v>
      </c>
      <c r="AE28" s="45">
        <v>18.3</v>
      </c>
      <c r="AF28" s="45">
        <v>24</v>
      </c>
      <c r="AG28" s="49">
        <v>23.5</v>
      </c>
      <c r="AH28" s="47">
        <f t="shared" si="2"/>
        <v>24</v>
      </c>
      <c r="AI28" s="48">
        <f t="shared" si="3"/>
        <v>15.7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11</v>
      </c>
      <c r="C29" s="45">
        <v>11</v>
      </c>
      <c r="D29" s="45">
        <v>11</v>
      </c>
      <c r="E29" s="45">
        <v>11</v>
      </c>
      <c r="F29" s="45">
        <v>11</v>
      </c>
      <c r="G29" s="45">
        <v>11</v>
      </c>
      <c r="H29" s="45">
        <v>11</v>
      </c>
      <c r="I29" s="45">
        <v>11</v>
      </c>
      <c r="J29" s="45">
        <v>11</v>
      </c>
      <c r="K29" s="45">
        <v>11</v>
      </c>
      <c r="L29" s="45">
        <v>11</v>
      </c>
      <c r="M29" s="45">
        <v>11</v>
      </c>
      <c r="N29" s="45">
        <v>11</v>
      </c>
      <c r="O29" s="45">
        <v>11</v>
      </c>
      <c r="P29" s="45">
        <v>11</v>
      </c>
      <c r="Q29" s="45">
        <v>11</v>
      </c>
      <c r="R29" s="45">
        <v>11</v>
      </c>
      <c r="S29" s="45">
        <v>11</v>
      </c>
      <c r="T29" s="45">
        <v>11</v>
      </c>
      <c r="U29" s="45">
        <v>11</v>
      </c>
      <c r="V29" s="45">
        <v>11</v>
      </c>
      <c r="W29" s="45">
        <v>11</v>
      </c>
      <c r="X29" s="45">
        <v>11</v>
      </c>
      <c r="Y29" s="45">
        <v>11</v>
      </c>
      <c r="Z29" s="45">
        <v>11</v>
      </c>
      <c r="AA29" s="45">
        <v>11</v>
      </c>
      <c r="AB29" s="45">
        <v>11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11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24.9</v>
      </c>
      <c r="C32" s="45">
        <v>24.9</v>
      </c>
      <c r="D32" s="45">
        <v>24.9</v>
      </c>
      <c r="E32" s="45">
        <v>24.9</v>
      </c>
      <c r="F32" s="45">
        <v>24.9</v>
      </c>
      <c r="G32" s="45">
        <v>24.9</v>
      </c>
      <c r="H32" s="45">
        <v>24.9</v>
      </c>
      <c r="I32" s="45">
        <v>24.9</v>
      </c>
      <c r="J32" s="45">
        <v>24.9</v>
      </c>
      <c r="K32" s="45">
        <v>24.9</v>
      </c>
      <c r="L32" s="45">
        <v>24.9</v>
      </c>
      <c r="M32" s="45">
        <v>24.9</v>
      </c>
      <c r="N32" s="45">
        <v>24.9</v>
      </c>
      <c r="O32" s="45">
        <v>24.9</v>
      </c>
      <c r="P32" s="45">
        <v>24.9</v>
      </c>
      <c r="Q32" s="45">
        <v>24.9</v>
      </c>
      <c r="R32" s="45">
        <v>24.9</v>
      </c>
      <c r="S32" s="45">
        <v>24.9</v>
      </c>
      <c r="T32" s="45">
        <v>24.9</v>
      </c>
      <c r="U32" s="45">
        <v>20.9</v>
      </c>
      <c r="V32" s="45">
        <v>20.9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24.9</v>
      </c>
      <c r="AC32" s="45">
        <v>24.9</v>
      </c>
      <c r="AD32" s="45">
        <v>24.9</v>
      </c>
      <c r="AE32" s="45">
        <v>24.9</v>
      </c>
      <c r="AF32" s="45">
        <v>26.4</v>
      </c>
      <c r="AG32" s="49">
        <v>22</v>
      </c>
      <c r="AH32" s="47">
        <f t="shared" si="2"/>
        <v>26.4</v>
      </c>
      <c r="AI32" s="48">
        <f t="shared" si="3"/>
        <v>20.9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18</v>
      </c>
      <c r="C33" s="45">
        <v>18</v>
      </c>
      <c r="D33" s="45">
        <v>18</v>
      </c>
      <c r="E33" s="45">
        <v>18</v>
      </c>
      <c r="F33" s="45">
        <v>18</v>
      </c>
      <c r="G33" s="45">
        <v>18</v>
      </c>
      <c r="H33" s="45">
        <v>18</v>
      </c>
      <c r="I33" s="45">
        <v>18</v>
      </c>
      <c r="J33" s="45">
        <v>18</v>
      </c>
      <c r="K33" s="45">
        <v>18</v>
      </c>
      <c r="L33" s="45">
        <v>18</v>
      </c>
      <c r="M33" s="45">
        <v>18</v>
      </c>
      <c r="N33" s="45">
        <v>18</v>
      </c>
      <c r="O33" s="45">
        <v>18</v>
      </c>
      <c r="P33" s="45">
        <v>20</v>
      </c>
      <c r="Q33" s="45">
        <v>20</v>
      </c>
      <c r="R33" s="45">
        <v>20</v>
      </c>
      <c r="S33" s="45">
        <v>20</v>
      </c>
      <c r="T33" s="45">
        <v>20</v>
      </c>
      <c r="U33" s="45">
        <v>10</v>
      </c>
      <c r="V33" s="45">
        <v>10</v>
      </c>
      <c r="W33" s="45">
        <v>10</v>
      </c>
      <c r="X33" s="45">
        <v>10</v>
      </c>
      <c r="Y33" s="45">
        <v>10</v>
      </c>
      <c r="Z33" s="45">
        <v>10</v>
      </c>
      <c r="AA33" s="45">
        <v>20</v>
      </c>
      <c r="AB33" s="45">
        <v>20</v>
      </c>
      <c r="AC33" s="45">
        <v>20</v>
      </c>
      <c r="AD33" s="45">
        <v>20</v>
      </c>
      <c r="AE33" s="45">
        <v>20</v>
      </c>
      <c r="AF33" s="45">
        <v>10</v>
      </c>
      <c r="AG33" s="49">
        <v>20</v>
      </c>
      <c r="AH33" s="47">
        <f t="shared" si="2"/>
        <v>20</v>
      </c>
      <c r="AI33" s="48">
        <f t="shared" si="3"/>
        <v>10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18</v>
      </c>
      <c r="C34" s="45">
        <v>18</v>
      </c>
      <c r="D34" s="45">
        <v>18</v>
      </c>
      <c r="E34" s="45">
        <v>18</v>
      </c>
      <c r="F34" s="45">
        <v>18</v>
      </c>
      <c r="G34" s="45">
        <v>18</v>
      </c>
      <c r="H34" s="45">
        <v>18</v>
      </c>
      <c r="I34" s="45">
        <v>18</v>
      </c>
      <c r="J34" s="45">
        <v>18</v>
      </c>
      <c r="K34" s="45">
        <v>18</v>
      </c>
      <c r="L34" s="45">
        <v>18</v>
      </c>
      <c r="M34" s="45">
        <v>18</v>
      </c>
      <c r="N34" s="45">
        <v>18</v>
      </c>
      <c r="O34" s="45">
        <v>12</v>
      </c>
      <c r="P34" s="45">
        <v>10</v>
      </c>
      <c r="Q34" s="45">
        <v>18</v>
      </c>
      <c r="R34" s="45">
        <v>18</v>
      </c>
      <c r="S34" s="45">
        <v>16</v>
      </c>
      <c r="T34" s="45">
        <v>12</v>
      </c>
      <c r="U34" s="45">
        <v>12</v>
      </c>
      <c r="V34" s="45">
        <v>5</v>
      </c>
      <c r="W34" s="45">
        <v>5</v>
      </c>
      <c r="X34" s="45">
        <v>5</v>
      </c>
      <c r="Y34" s="45">
        <v>5</v>
      </c>
      <c r="Z34" s="45">
        <v>18</v>
      </c>
      <c r="AA34" s="45">
        <v>18</v>
      </c>
      <c r="AB34" s="45">
        <v>18</v>
      </c>
      <c r="AC34" s="45">
        <v>18</v>
      </c>
      <c r="AD34" s="45">
        <v>18</v>
      </c>
      <c r="AE34" s="45">
        <v>18</v>
      </c>
      <c r="AF34" s="45">
        <v>9</v>
      </c>
      <c r="AG34" s="49">
        <v>18</v>
      </c>
      <c r="AH34" s="47">
        <f t="shared" si="2"/>
        <v>18</v>
      </c>
      <c r="AI34" s="48">
        <f t="shared" si="3"/>
        <v>5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0</v>
      </c>
      <c r="AG35" s="49">
        <v>14.9</v>
      </c>
      <c r="AH35" s="47">
        <f t="shared" si="2"/>
        <v>15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1.5</v>
      </c>
      <c r="C37" s="45">
        <v>1.5</v>
      </c>
      <c r="D37" s="45">
        <v>1.5</v>
      </c>
      <c r="E37" s="45">
        <v>1.5</v>
      </c>
      <c r="F37" s="45">
        <v>1.5</v>
      </c>
      <c r="G37" s="45">
        <v>1.5</v>
      </c>
      <c r="H37" s="45">
        <v>1.5</v>
      </c>
      <c r="I37" s="45">
        <v>1.5</v>
      </c>
      <c r="J37" s="45">
        <v>1.5</v>
      </c>
      <c r="K37" s="45">
        <v>1.5</v>
      </c>
      <c r="L37" s="45">
        <v>1.5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1.5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12</v>
      </c>
      <c r="C39" s="45">
        <v>12</v>
      </c>
      <c r="D39" s="45">
        <v>12</v>
      </c>
      <c r="E39" s="45">
        <v>12</v>
      </c>
      <c r="F39" s="45">
        <v>12</v>
      </c>
      <c r="G39" s="45">
        <v>12</v>
      </c>
      <c r="H39" s="45">
        <v>12</v>
      </c>
      <c r="I39" s="45">
        <v>12</v>
      </c>
      <c r="J39" s="45">
        <v>12</v>
      </c>
      <c r="K39" s="45">
        <v>12</v>
      </c>
      <c r="L39" s="45">
        <v>12</v>
      </c>
      <c r="M39" s="45">
        <v>12</v>
      </c>
      <c r="N39" s="45">
        <v>12</v>
      </c>
      <c r="O39" s="45">
        <v>12</v>
      </c>
      <c r="P39" s="45">
        <v>12</v>
      </c>
      <c r="Q39" s="45">
        <v>12</v>
      </c>
      <c r="R39" s="45">
        <v>12</v>
      </c>
      <c r="S39" s="45">
        <v>12</v>
      </c>
      <c r="T39" s="45">
        <v>12</v>
      </c>
      <c r="U39" s="45">
        <v>2</v>
      </c>
      <c r="V39" s="45">
        <v>2</v>
      </c>
      <c r="W39" s="45">
        <v>2</v>
      </c>
      <c r="X39" s="45">
        <v>2</v>
      </c>
      <c r="Y39" s="45">
        <v>2</v>
      </c>
      <c r="Z39" s="45">
        <v>2</v>
      </c>
      <c r="AA39" s="45">
        <v>6</v>
      </c>
      <c r="AB39" s="45">
        <v>12</v>
      </c>
      <c r="AC39" s="45">
        <v>12</v>
      </c>
      <c r="AD39" s="45">
        <v>12</v>
      </c>
      <c r="AE39" s="45">
        <v>6</v>
      </c>
      <c r="AF39" s="45">
        <v>3</v>
      </c>
      <c r="AG39" s="49">
        <v>12</v>
      </c>
      <c r="AH39" s="47">
        <f t="shared" si="2"/>
        <v>12</v>
      </c>
      <c r="AI39" s="48">
        <f t="shared" si="3"/>
        <v>2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6</v>
      </c>
      <c r="AF40" s="45">
        <v>3</v>
      </c>
      <c r="AG40" s="49">
        <v>12</v>
      </c>
      <c r="AH40" s="47">
        <f t="shared" si="2"/>
        <v>12</v>
      </c>
      <c r="AI40" s="48">
        <f t="shared" si="3"/>
        <v>0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11</v>
      </c>
      <c r="C41" s="45">
        <v>11</v>
      </c>
      <c r="D41" s="45">
        <v>11</v>
      </c>
      <c r="E41" s="45">
        <v>11</v>
      </c>
      <c r="F41" s="45">
        <v>11</v>
      </c>
      <c r="G41" s="45">
        <v>11</v>
      </c>
      <c r="H41" s="45">
        <v>11</v>
      </c>
      <c r="I41" s="45">
        <v>11</v>
      </c>
      <c r="J41" s="45">
        <v>11</v>
      </c>
      <c r="K41" s="45">
        <v>11</v>
      </c>
      <c r="L41" s="45">
        <v>11</v>
      </c>
      <c r="M41" s="45">
        <v>11</v>
      </c>
      <c r="N41" s="45">
        <v>11</v>
      </c>
      <c r="O41" s="45">
        <v>11</v>
      </c>
      <c r="P41" s="45">
        <v>11</v>
      </c>
      <c r="Q41" s="45">
        <v>11</v>
      </c>
      <c r="R41" s="45">
        <v>11</v>
      </c>
      <c r="S41" s="45">
        <v>11</v>
      </c>
      <c r="T41" s="45">
        <v>11</v>
      </c>
      <c r="U41" s="45">
        <v>11</v>
      </c>
      <c r="V41" s="45">
        <v>11</v>
      </c>
      <c r="W41" s="45">
        <v>11</v>
      </c>
      <c r="X41" s="45">
        <v>11</v>
      </c>
      <c r="Y41" s="45">
        <v>11</v>
      </c>
      <c r="Z41" s="45">
        <v>11</v>
      </c>
      <c r="AA41" s="45">
        <v>11</v>
      </c>
      <c r="AB41" s="45">
        <v>11</v>
      </c>
      <c r="AC41" s="45">
        <v>11</v>
      </c>
      <c r="AD41" s="45">
        <v>11</v>
      </c>
      <c r="AE41" s="45">
        <v>11</v>
      </c>
      <c r="AF41" s="45">
        <v>11</v>
      </c>
      <c r="AG41" s="49">
        <v>12</v>
      </c>
      <c r="AH41" s="47">
        <f t="shared" si="2"/>
        <v>11</v>
      </c>
      <c r="AI41" s="48">
        <f t="shared" si="3"/>
        <v>11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10.199999999999999</v>
      </c>
      <c r="C42" s="45">
        <v>10.199999999999999</v>
      </c>
      <c r="D42" s="45">
        <v>10.199999999999999</v>
      </c>
      <c r="E42" s="45">
        <v>10.199999999999999</v>
      </c>
      <c r="F42" s="45">
        <v>10.199999999999999</v>
      </c>
      <c r="G42" s="45">
        <v>10.199999999999999</v>
      </c>
      <c r="H42" s="45">
        <v>10.199999999999999</v>
      </c>
      <c r="I42" s="45">
        <v>10.199999999999999</v>
      </c>
      <c r="J42" s="45">
        <v>10.199999999999999</v>
      </c>
      <c r="K42" s="45">
        <v>10.199999999999999</v>
      </c>
      <c r="L42" s="45">
        <v>10.199999999999999</v>
      </c>
      <c r="M42" s="45">
        <v>10.199999999999999</v>
      </c>
      <c r="N42" s="45">
        <v>10.199999999999999</v>
      </c>
      <c r="O42" s="45">
        <v>10.199999999999999</v>
      </c>
      <c r="P42" s="45">
        <v>10.199999999999999</v>
      </c>
      <c r="Q42" s="45">
        <v>10.199999999999999</v>
      </c>
      <c r="R42" s="45">
        <v>10.199999999999999</v>
      </c>
      <c r="S42" s="45">
        <v>10.199999999999999</v>
      </c>
      <c r="T42" s="45">
        <v>10.199999999999999</v>
      </c>
      <c r="U42" s="45">
        <v>10.199999999999999</v>
      </c>
      <c r="V42" s="45">
        <v>10.199999999999999</v>
      </c>
      <c r="W42" s="45">
        <v>10.199999999999999</v>
      </c>
      <c r="X42" s="45">
        <v>10.199999999999999</v>
      </c>
      <c r="Y42" s="45">
        <v>10.199999999999999</v>
      </c>
      <c r="Z42" s="45">
        <v>10.199999999999999</v>
      </c>
      <c r="AA42" s="45">
        <v>10.199999999999999</v>
      </c>
      <c r="AB42" s="45">
        <v>10.199999999999999</v>
      </c>
      <c r="AC42" s="45">
        <v>10.199999999999999</v>
      </c>
      <c r="AD42" s="45">
        <v>10.199999999999999</v>
      </c>
      <c r="AE42" s="45">
        <v>10.199999999999999</v>
      </c>
      <c r="AF42" s="45">
        <v>10.199999999999999</v>
      </c>
      <c r="AG42" s="52">
        <v>22</v>
      </c>
      <c r="AH42" s="47">
        <f t="shared" si="2"/>
        <v>10.199999999999999</v>
      </c>
      <c r="AI42" s="48">
        <f t="shared" si="3"/>
        <v>10.199999999999999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10.210000000000001</v>
      </c>
      <c r="C44" s="45">
        <v>10.210000000000001</v>
      </c>
      <c r="D44" s="45">
        <v>10.210000000000001</v>
      </c>
      <c r="E44" s="45">
        <v>10.210000000000001</v>
      </c>
      <c r="F44" s="45">
        <v>10.210000000000001</v>
      </c>
      <c r="G44" s="45">
        <v>10.210000000000001</v>
      </c>
      <c r="H44" s="45">
        <v>10.210000000000001</v>
      </c>
      <c r="I44" s="45">
        <v>10.210000000000001</v>
      </c>
      <c r="J44" s="45">
        <v>10.210000000000001</v>
      </c>
      <c r="K44" s="45">
        <v>10.210000000000001</v>
      </c>
      <c r="L44" s="45">
        <v>10.210000000000001</v>
      </c>
      <c r="M44" s="45">
        <v>10.210000000000001</v>
      </c>
      <c r="N44" s="45">
        <v>10.210000000000001</v>
      </c>
      <c r="O44" s="45">
        <v>10.210000000000001</v>
      </c>
      <c r="P44" s="45">
        <v>10.210000000000001</v>
      </c>
      <c r="Q44" s="45">
        <v>10.210000000000001</v>
      </c>
      <c r="R44" s="45">
        <v>10.210000000000001</v>
      </c>
      <c r="S44" s="45">
        <v>10.210000000000001</v>
      </c>
      <c r="T44" s="45">
        <v>10.210000000000001</v>
      </c>
      <c r="U44" s="45">
        <v>10.210000000000001</v>
      </c>
      <c r="V44" s="45">
        <v>10.210000000000001</v>
      </c>
      <c r="W44" s="45">
        <v>10.210000000000001</v>
      </c>
      <c r="X44" s="45">
        <v>10.210000000000001</v>
      </c>
      <c r="Y44" s="45">
        <v>10.210000000000001</v>
      </c>
      <c r="Z44" s="45">
        <v>10.210000000000001</v>
      </c>
      <c r="AA44" s="45">
        <v>10.210000000000001</v>
      </c>
      <c r="AB44" s="45">
        <v>10.210000000000001</v>
      </c>
      <c r="AC44" s="45">
        <v>10.210000000000001</v>
      </c>
      <c r="AD44" s="45">
        <v>10.210000000000001</v>
      </c>
      <c r="AE44" s="45">
        <v>10.210000000000001</v>
      </c>
      <c r="AF44" s="45">
        <v>10.210000000000001</v>
      </c>
      <c r="AG44" s="54">
        <v>11</v>
      </c>
      <c r="AH44" s="47">
        <f t="shared" si="2"/>
        <v>10.210000000000001</v>
      </c>
      <c r="AI44" s="48">
        <f t="shared" si="3"/>
        <v>10.210000000000001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10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2</v>
      </c>
      <c r="T47" s="45">
        <v>2</v>
      </c>
      <c r="U47" s="45">
        <v>2</v>
      </c>
      <c r="V47" s="45">
        <v>2</v>
      </c>
      <c r="W47" s="45">
        <v>2</v>
      </c>
      <c r="X47" s="45">
        <v>2</v>
      </c>
      <c r="Y47" s="45">
        <v>2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2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v>977.01</v>
      </c>
      <c r="C50" s="59">
        <f t="shared" ref="C50:AF50" si="4">SUM(C11:C48)</f>
        <v>899.41</v>
      </c>
      <c r="D50" s="59">
        <f t="shared" si="4"/>
        <v>891.41</v>
      </c>
      <c r="E50" s="59">
        <f t="shared" si="4"/>
        <v>911.41</v>
      </c>
      <c r="F50" s="59">
        <f t="shared" si="4"/>
        <v>916.41</v>
      </c>
      <c r="G50" s="59">
        <f t="shared" si="4"/>
        <v>884.81</v>
      </c>
      <c r="H50" s="59">
        <f t="shared" si="4"/>
        <v>900.81</v>
      </c>
      <c r="I50" s="59">
        <f t="shared" si="4"/>
        <v>902.81</v>
      </c>
      <c r="J50" s="59">
        <f t="shared" si="4"/>
        <v>902.81</v>
      </c>
      <c r="K50" s="59">
        <f t="shared" si="4"/>
        <v>902.81</v>
      </c>
      <c r="L50" s="59">
        <f t="shared" si="4"/>
        <v>897.41</v>
      </c>
      <c r="M50" s="59">
        <f t="shared" si="4"/>
        <v>916.21</v>
      </c>
      <c r="N50" s="59">
        <f t="shared" si="4"/>
        <v>916.21</v>
      </c>
      <c r="O50" s="59">
        <f t="shared" si="4"/>
        <v>935.70999999999992</v>
      </c>
      <c r="P50" s="59">
        <f t="shared" si="4"/>
        <v>943.20999999999992</v>
      </c>
      <c r="Q50" s="59">
        <f t="shared" si="4"/>
        <v>941.21</v>
      </c>
      <c r="R50" s="59">
        <f t="shared" si="4"/>
        <v>928.21</v>
      </c>
      <c r="S50" s="59">
        <f t="shared" si="4"/>
        <v>928.21</v>
      </c>
      <c r="T50" s="59">
        <f t="shared" si="4"/>
        <v>895.31</v>
      </c>
      <c r="U50" s="59">
        <f t="shared" si="4"/>
        <v>913.51</v>
      </c>
      <c r="V50" s="59">
        <f t="shared" si="4"/>
        <v>925.51</v>
      </c>
      <c r="W50" s="59">
        <f t="shared" si="4"/>
        <v>907.61</v>
      </c>
      <c r="X50" s="59">
        <f t="shared" si="4"/>
        <v>907.61</v>
      </c>
      <c r="Y50" s="59">
        <f t="shared" si="4"/>
        <v>906.61</v>
      </c>
      <c r="Z50" s="59">
        <f>SUM(Z11:Z48)</f>
        <v>903.61</v>
      </c>
      <c r="AA50" s="59">
        <f t="shared" si="4"/>
        <v>955.21</v>
      </c>
      <c r="AB50" s="59">
        <f t="shared" si="4"/>
        <v>988.70999999999992</v>
      </c>
      <c r="AC50" s="59">
        <f t="shared" si="4"/>
        <v>999.70999999999992</v>
      </c>
      <c r="AD50" s="59">
        <f t="shared" si="4"/>
        <v>999.70999999999992</v>
      </c>
      <c r="AE50" s="59">
        <f t="shared" ref="AE50" si="5">SUM(AE11:AE48)</f>
        <v>994.50999999999988</v>
      </c>
      <c r="AF50" s="59">
        <f t="shared" si="4"/>
        <v>890.21</v>
      </c>
      <c r="AG50" s="60">
        <f>SUM(AG13:AG48)</f>
        <v>922.14</v>
      </c>
      <c r="AH50" s="47">
        <f t="shared" si="2"/>
        <v>999.70999999999992</v>
      </c>
      <c r="AI50" s="48">
        <f t="shared" si="3"/>
        <v>884.81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60</v>
      </c>
      <c r="Z52" s="64">
        <v>60</v>
      </c>
      <c r="AA52" s="64">
        <v>60</v>
      </c>
      <c r="AB52" s="64">
        <v>60</v>
      </c>
      <c r="AC52" s="64">
        <v>60</v>
      </c>
      <c r="AD52" s="64">
        <v>60</v>
      </c>
      <c r="AE52" s="64">
        <v>55</v>
      </c>
      <c r="AF52" s="64">
        <v>55</v>
      </c>
      <c r="AG52" s="54">
        <v>60</v>
      </c>
      <c r="AH52" s="47">
        <f t="shared" si="2"/>
        <v>60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22.4</v>
      </c>
      <c r="C53" s="66">
        <v>22.4</v>
      </c>
      <c r="D53" s="66">
        <v>22.4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22.4</v>
      </c>
      <c r="M53" s="66">
        <v>22</v>
      </c>
      <c r="N53" s="66">
        <v>22</v>
      </c>
      <c r="O53" s="66">
        <v>22</v>
      </c>
      <c r="P53" s="66">
        <v>22</v>
      </c>
      <c r="Q53" s="66">
        <v>22</v>
      </c>
      <c r="R53" s="66">
        <v>22</v>
      </c>
      <c r="S53" s="66">
        <v>22</v>
      </c>
      <c r="T53" s="66">
        <v>22</v>
      </c>
      <c r="U53" s="66">
        <v>22</v>
      </c>
      <c r="V53" s="66">
        <v>22</v>
      </c>
      <c r="W53" s="66">
        <v>22</v>
      </c>
      <c r="X53" s="66">
        <v>22</v>
      </c>
      <c r="Y53" s="66">
        <v>22</v>
      </c>
      <c r="Z53" s="66">
        <v>22</v>
      </c>
      <c r="AA53" s="66">
        <v>22</v>
      </c>
      <c r="AB53" s="66">
        <v>22</v>
      </c>
      <c r="AC53" s="66">
        <v>22.5</v>
      </c>
      <c r="AD53" s="66">
        <v>22.5</v>
      </c>
      <c r="AE53" s="66">
        <v>22.4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22</v>
      </c>
      <c r="AK53" s="74"/>
    </row>
    <row r="54" spans="1:41" ht="15.75" thickBot="1" x14ac:dyDescent="0.3">
      <c r="A54" s="68" t="s">
        <v>70</v>
      </c>
      <c r="B54" s="59">
        <v>533.4</v>
      </c>
      <c r="C54" s="59">
        <f t="shared" ref="C54:AG54" si="6">SUM(C51:C53)</f>
        <v>533.4</v>
      </c>
      <c r="D54" s="59">
        <f t="shared" si="6"/>
        <v>533.4</v>
      </c>
      <c r="E54" s="59">
        <f t="shared" si="6"/>
        <v>533.4</v>
      </c>
      <c r="F54" s="59">
        <f t="shared" si="6"/>
        <v>533.4</v>
      </c>
      <c r="G54" s="59">
        <f t="shared" si="6"/>
        <v>533.4</v>
      </c>
      <c r="H54" s="59">
        <f t="shared" si="6"/>
        <v>533.4</v>
      </c>
      <c r="I54" s="59">
        <f t="shared" si="6"/>
        <v>533.4</v>
      </c>
      <c r="J54" s="59">
        <f t="shared" si="6"/>
        <v>533.4</v>
      </c>
      <c r="K54" s="59">
        <f t="shared" si="6"/>
        <v>533.4</v>
      </c>
      <c r="L54" s="59">
        <f t="shared" si="6"/>
        <v>533.4</v>
      </c>
      <c r="M54" s="59">
        <f t="shared" si="6"/>
        <v>533</v>
      </c>
      <c r="N54" s="59">
        <f t="shared" si="6"/>
        <v>533</v>
      </c>
      <c r="O54" s="59">
        <f t="shared" si="6"/>
        <v>533</v>
      </c>
      <c r="P54" s="59">
        <f t="shared" si="6"/>
        <v>533</v>
      </c>
      <c r="Q54" s="59">
        <f t="shared" si="6"/>
        <v>533</v>
      </c>
      <c r="R54" s="59">
        <f t="shared" si="6"/>
        <v>533</v>
      </c>
      <c r="S54" s="59">
        <f t="shared" si="6"/>
        <v>533</v>
      </c>
      <c r="T54" s="59">
        <f t="shared" si="6"/>
        <v>533</v>
      </c>
      <c r="U54" s="59">
        <f t="shared" si="6"/>
        <v>533</v>
      </c>
      <c r="V54" s="59">
        <f t="shared" si="6"/>
        <v>533</v>
      </c>
      <c r="W54" s="59">
        <f t="shared" si="6"/>
        <v>533</v>
      </c>
      <c r="X54" s="59">
        <f t="shared" si="6"/>
        <v>533</v>
      </c>
      <c r="Y54" s="59">
        <f t="shared" si="6"/>
        <v>538</v>
      </c>
      <c r="Z54" s="59">
        <f t="shared" si="6"/>
        <v>538</v>
      </c>
      <c r="AA54" s="59">
        <f t="shared" si="6"/>
        <v>538</v>
      </c>
      <c r="AB54" s="59">
        <f t="shared" si="6"/>
        <v>538</v>
      </c>
      <c r="AC54" s="59">
        <f t="shared" si="6"/>
        <v>538.5</v>
      </c>
      <c r="AD54" s="59">
        <f t="shared" si="6"/>
        <v>538.5</v>
      </c>
      <c r="AE54" s="59">
        <f t="shared" si="6"/>
        <v>533.4</v>
      </c>
      <c r="AF54" s="59">
        <f t="shared" si="6"/>
        <v>533.5</v>
      </c>
      <c r="AG54" s="60">
        <f t="shared" si="6"/>
        <v>538.1</v>
      </c>
      <c r="AH54" s="47">
        <f t="shared" si="2"/>
        <v>538.5</v>
      </c>
      <c r="AI54" s="48">
        <f t="shared" si="3"/>
        <v>533</v>
      </c>
      <c r="AK54" s="74"/>
    </row>
    <row r="55" spans="1:41" x14ac:dyDescent="0.25">
      <c r="A55" s="44" t="s">
        <v>71</v>
      </c>
      <c r="B55" s="45">
        <v>97</v>
      </c>
      <c r="C55" s="45">
        <v>97</v>
      </c>
      <c r="D55" s="45">
        <v>97</v>
      </c>
      <c r="E55" s="45">
        <v>97</v>
      </c>
      <c r="F55" s="45">
        <v>97</v>
      </c>
      <c r="G55" s="45">
        <v>97</v>
      </c>
      <c r="H55" s="45">
        <v>97</v>
      </c>
      <c r="I55" s="45">
        <v>97</v>
      </c>
      <c r="J55" s="45">
        <v>97</v>
      </c>
      <c r="K55" s="45">
        <v>97</v>
      </c>
      <c r="L55" s="45">
        <v>97</v>
      </c>
      <c r="M55" s="45">
        <v>96.1</v>
      </c>
      <c r="N55" s="45">
        <v>96.1</v>
      </c>
      <c r="O55" s="45">
        <v>96.6</v>
      </c>
      <c r="P55" s="45">
        <v>96.6</v>
      </c>
      <c r="Q55" s="45">
        <v>90.5</v>
      </c>
      <c r="R55" s="45">
        <v>91</v>
      </c>
      <c r="S55" s="45">
        <v>91</v>
      </c>
      <c r="T55" s="45">
        <v>91</v>
      </c>
      <c r="U55" s="45">
        <v>96.7</v>
      </c>
      <c r="V55" s="45">
        <v>96.7</v>
      </c>
      <c r="W55" s="45">
        <v>96.7</v>
      </c>
      <c r="X55" s="45">
        <v>96.7</v>
      </c>
      <c r="Y55" s="45">
        <v>96.7</v>
      </c>
      <c r="Z55" s="45">
        <v>96.7</v>
      </c>
      <c r="AA55" s="45">
        <v>97</v>
      </c>
      <c r="AB55" s="45">
        <v>97</v>
      </c>
      <c r="AC55" s="45">
        <v>97.2</v>
      </c>
      <c r="AD55" s="45">
        <v>97.2</v>
      </c>
      <c r="AE55" s="45">
        <v>97</v>
      </c>
      <c r="AF55" s="45">
        <v>96.9</v>
      </c>
      <c r="AG55" s="51">
        <v>144</v>
      </c>
      <c r="AH55" s="47">
        <f t="shared" si="2"/>
        <v>97.2</v>
      </c>
      <c r="AI55" s="48">
        <f t="shared" si="3"/>
        <v>90.5</v>
      </c>
      <c r="AK55" s="74"/>
    </row>
    <row r="56" spans="1:41" x14ac:dyDescent="0.25">
      <c r="A56" s="53" t="s">
        <v>72</v>
      </c>
      <c r="B56" s="64">
        <v>70.8</v>
      </c>
      <c r="C56" s="64">
        <v>70.8</v>
      </c>
      <c r="D56" s="64">
        <v>70.8</v>
      </c>
      <c r="E56" s="64">
        <v>70.8</v>
      </c>
      <c r="F56" s="64">
        <v>70.8</v>
      </c>
      <c r="G56" s="64">
        <v>70.8</v>
      </c>
      <c r="H56" s="64">
        <v>70.8</v>
      </c>
      <c r="I56" s="64">
        <v>70.8</v>
      </c>
      <c r="J56" s="64">
        <v>70.8</v>
      </c>
      <c r="K56" s="64">
        <v>70.8</v>
      </c>
      <c r="L56" s="64">
        <v>70.8</v>
      </c>
      <c r="M56" s="64">
        <v>68.900000000000006</v>
      </c>
      <c r="N56" s="64">
        <v>68.900000000000006</v>
      </c>
      <c r="O56" s="64">
        <v>69.5</v>
      </c>
      <c r="P56" s="64">
        <v>69.5</v>
      </c>
      <c r="Q56" s="64">
        <v>70</v>
      </c>
      <c r="R56" s="64">
        <v>68.5</v>
      </c>
      <c r="S56" s="64">
        <v>68.5</v>
      </c>
      <c r="T56" s="64">
        <v>68.5</v>
      </c>
      <c r="U56" s="64">
        <v>68.5</v>
      </c>
      <c r="V56" s="64">
        <v>68.5</v>
      </c>
      <c r="W56" s="64">
        <v>60</v>
      </c>
      <c r="X56" s="64">
        <v>60</v>
      </c>
      <c r="Y56" s="64">
        <v>70.5</v>
      </c>
      <c r="Z56" s="64">
        <v>70.5</v>
      </c>
      <c r="AA56" s="45">
        <v>71</v>
      </c>
      <c r="AB56" s="45">
        <v>71</v>
      </c>
      <c r="AC56" s="64">
        <v>71</v>
      </c>
      <c r="AD56" s="64">
        <v>71</v>
      </c>
      <c r="AE56" s="45">
        <v>70.7</v>
      </c>
      <c r="AF56" s="45">
        <v>70.7</v>
      </c>
      <c r="AG56" s="54">
        <v>70</v>
      </c>
      <c r="AH56" s="47">
        <f t="shared" si="2"/>
        <v>71</v>
      </c>
      <c r="AI56" s="48">
        <f t="shared" si="3"/>
        <v>60</v>
      </c>
      <c r="AK56" s="74"/>
    </row>
    <row r="57" spans="1:41" x14ac:dyDescent="0.25">
      <c r="A57" s="53" t="s">
        <v>73</v>
      </c>
      <c r="B57" s="64">
        <v>67.3</v>
      </c>
      <c r="C57" s="64">
        <v>67.3</v>
      </c>
      <c r="D57" s="64">
        <v>67.3</v>
      </c>
      <c r="E57" s="64">
        <v>67.3</v>
      </c>
      <c r="F57" s="64">
        <v>67.3</v>
      </c>
      <c r="G57" s="64">
        <v>67.3</v>
      </c>
      <c r="H57" s="64">
        <v>67.3</v>
      </c>
      <c r="I57" s="64">
        <v>67.3</v>
      </c>
      <c r="J57" s="64">
        <v>67.3</v>
      </c>
      <c r="K57" s="64">
        <v>67.3</v>
      </c>
      <c r="L57" s="64">
        <v>67.3</v>
      </c>
      <c r="M57" s="64">
        <v>67.900000000000006</v>
      </c>
      <c r="N57" s="64">
        <v>67.900000000000006</v>
      </c>
      <c r="O57" s="64">
        <v>66.7</v>
      </c>
      <c r="P57" s="64">
        <v>66.7</v>
      </c>
      <c r="Q57" s="64">
        <v>62.5</v>
      </c>
      <c r="R57" s="64">
        <v>68.7</v>
      </c>
      <c r="S57" s="64">
        <v>68.7</v>
      </c>
      <c r="T57" s="64">
        <v>68.7</v>
      </c>
      <c r="U57" s="64">
        <v>68.7</v>
      </c>
      <c r="V57" s="64">
        <v>68.7</v>
      </c>
      <c r="W57" s="64">
        <v>54</v>
      </c>
      <c r="X57" s="64">
        <v>53</v>
      </c>
      <c r="Y57" s="64">
        <v>69</v>
      </c>
      <c r="Z57" s="64">
        <v>69</v>
      </c>
      <c r="AA57" s="45">
        <v>70</v>
      </c>
      <c r="AB57" s="45">
        <v>68.8</v>
      </c>
      <c r="AC57" s="64">
        <v>69</v>
      </c>
      <c r="AD57" s="64">
        <v>69</v>
      </c>
      <c r="AE57" s="45">
        <v>69.5</v>
      </c>
      <c r="AF57" s="45">
        <v>68.900000000000006</v>
      </c>
      <c r="AG57" s="54">
        <v>69</v>
      </c>
      <c r="AH57" s="47">
        <f t="shared" si="2"/>
        <v>70</v>
      </c>
      <c r="AI57" s="48">
        <f t="shared" si="3"/>
        <v>53</v>
      </c>
      <c r="AK57" s="74"/>
    </row>
    <row r="58" spans="1:41" x14ac:dyDescent="0.25">
      <c r="A58" s="53" t="s">
        <v>74</v>
      </c>
      <c r="B58" s="64">
        <v>59</v>
      </c>
      <c r="C58" s="64">
        <v>59</v>
      </c>
      <c r="D58" s="64">
        <v>59</v>
      </c>
      <c r="E58" s="64">
        <v>59</v>
      </c>
      <c r="F58" s="64">
        <v>59</v>
      </c>
      <c r="G58" s="64">
        <v>59</v>
      </c>
      <c r="H58" s="64">
        <v>59</v>
      </c>
      <c r="I58" s="64">
        <v>59</v>
      </c>
      <c r="J58" s="64">
        <v>59</v>
      </c>
      <c r="K58" s="64">
        <v>59</v>
      </c>
      <c r="L58" s="64">
        <v>59</v>
      </c>
      <c r="M58" s="64">
        <v>60.9</v>
      </c>
      <c r="N58" s="64">
        <v>60.9</v>
      </c>
      <c r="O58" s="64">
        <v>0</v>
      </c>
      <c r="P58" s="64">
        <v>0</v>
      </c>
      <c r="Q58" s="64">
        <v>50.9</v>
      </c>
      <c r="R58" s="64">
        <v>60.7</v>
      </c>
      <c r="S58" s="64">
        <v>60.7</v>
      </c>
      <c r="T58" s="64">
        <v>60.7</v>
      </c>
      <c r="U58" s="64">
        <v>60.7</v>
      </c>
      <c r="V58" s="64">
        <v>60.7</v>
      </c>
      <c r="W58" s="64">
        <v>60.7</v>
      </c>
      <c r="X58" s="64">
        <v>60.7</v>
      </c>
      <c r="Y58" s="64">
        <v>60.7</v>
      </c>
      <c r="Z58" s="64">
        <v>60.7</v>
      </c>
      <c r="AA58" s="45">
        <v>60.7</v>
      </c>
      <c r="AB58" s="45">
        <v>60.4</v>
      </c>
      <c r="AC58" s="64">
        <v>60.2</v>
      </c>
      <c r="AD58" s="64">
        <v>60.2</v>
      </c>
      <c r="AE58" s="45">
        <v>60.4</v>
      </c>
      <c r="AF58" s="45">
        <v>60.2</v>
      </c>
      <c r="AG58" s="54">
        <v>60</v>
      </c>
      <c r="AH58" s="47">
        <f t="shared" si="2"/>
        <v>60.9</v>
      </c>
      <c r="AI58" s="48">
        <f t="shared" si="3"/>
        <v>0</v>
      </c>
      <c r="AK58" s="74"/>
    </row>
    <row r="59" spans="1:41" x14ac:dyDescent="0.25">
      <c r="A59" s="53" t="s">
        <v>75</v>
      </c>
      <c r="B59" s="64">
        <v>30</v>
      </c>
      <c r="C59" s="64">
        <v>30</v>
      </c>
      <c r="D59" s="64">
        <v>30</v>
      </c>
      <c r="E59" s="64">
        <v>30</v>
      </c>
      <c r="F59" s="64">
        <v>30</v>
      </c>
      <c r="G59" s="64">
        <v>30</v>
      </c>
      <c r="H59" s="64">
        <v>30</v>
      </c>
      <c r="I59" s="64">
        <v>30</v>
      </c>
      <c r="J59" s="64">
        <v>30</v>
      </c>
      <c r="K59" s="64">
        <v>30</v>
      </c>
      <c r="L59" s="64">
        <v>30</v>
      </c>
      <c r="M59" s="64">
        <v>30</v>
      </c>
      <c r="N59" s="64">
        <v>30</v>
      </c>
      <c r="O59" s="64">
        <v>30</v>
      </c>
      <c r="P59" s="64">
        <v>30</v>
      </c>
      <c r="Q59" s="64">
        <v>30</v>
      </c>
      <c r="R59" s="64">
        <v>30</v>
      </c>
      <c r="S59" s="64">
        <v>30</v>
      </c>
      <c r="T59" s="64">
        <v>30</v>
      </c>
      <c r="U59" s="64">
        <v>30</v>
      </c>
      <c r="V59" s="64">
        <v>30</v>
      </c>
      <c r="W59" s="64">
        <v>30</v>
      </c>
      <c r="X59" s="64">
        <v>30</v>
      </c>
      <c r="Y59" s="64">
        <v>30</v>
      </c>
      <c r="Z59" s="64">
        <v>30</v>
      </c>
      <c r="AA59" s="45">
        <v>30</v>
      </c>
      <c r="AB59" s="45">
        <v>30</v>
      </c>
      <c r="AC59" s="64">
        <v>30</v>
      </c>
      <c r="AD59" s="64">
        <v>30</v>
      </c>
      <c r="AE59" s="45">
        <v>30</v>
      </c>
      <c r="AF59" s="45">
        <v>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3.8</v>
      </c>
      <c r="N60" s="64">
        <v>3.8</v>
      </c>
      <c r="O60" s="64">
        <v>8.4</v>
      </c>
      <c r="P60" s="64">
        <v>12</v>
      </c>
      <c r="Q60" s="64">
        <v>15.7</v>
      </c>
      <c r="R60" s="64">
        <v>9</v>
      </c>
      <c r="S60" s="64">
        <v>15.2</v>
      </c>
      <c r="T60" s="64">
        <v>15.2</v>
      </c>
      <c r="U60" s="64">
        <v>4.0999999999999996</v>
      </c>
      <c r="V60" s="64">
        <v>4.0999999999999996</v>
      </c>
      <c r="W60" s="64">
        <v>1.1000000000000001</v>
      </c>
      <c r="X60" s="64">
        <v>0.5</v>
      </c>
      <c r="Y60" s="64">
        <v>0</v>
      </c>
      <c r="Z60" s="64">
        <v>0</v>
      </c>
      <c r="AA60" s="45">
        <v>0</v>
      </c>
      <c r="AB60" s="45">
        <v>0</v>
      </c>
      <c r="AC60" s="64">
        <v>0</v>
      </c>
      <c r="AD60" s="64">
        <v>0</v>
      </c>
      <c r="AE60" s="45">
        <v>0</v>
      </c>
      <c r="AF60" s="45">
        <v>0</v>
      </c>
      <c r="AG60" s="54">
        <v>25</v>
      </c>
      <c r="AH60" s="47">
        <f t="shared" si="2"/>
        <v>15.7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17</v>
      </c>
      <c r="C61" s="64">
        <v>17</v>
      </c>
      <c r="D61" s="64">
        <v>17</v>
      </c>
      <c r="E61" s="64">
        <v>17</v>
      </c>
      <c r="F61" s="64">
        <v>17</v>
      </c>
      <c r="G61" s="64">
        <v>17</v>
      </c>
      <c r="H61" s="64">
        <v>17</v>
      </c>
      <c r="I61" s="64">
        <v>17</v>
      </c>
      <c r="J61" s="64">
        <v>17</v>
      </c>
      <c r="K61" s="64">
        <v>17</v>
      </c>
      <c r="L61" s="64">
        <v>17</v>
      </c>
      <c r="M61" s="64">
        <v>17</v>
      </c>
      <c r="N61" s="64">
        <v>17</v>
      </c>
      <c r="O61" s="64">
        <v>17</v>
      </c>
      <c r="P61" s="64">
        <v>17</v>
      </c>
      <c r="Q61" s="64">
        <v>15</v>
      </c>
      <c r="R61" s="64">
        <v>14</v>
      </c>
      <c r="S61" s="64">
        <v>14</v>
      </c>
      <c r="T61" s="64">
        <v>14</v>
      </c>
      <c r="U61" s="64">
        <v>14</v>
      </c>
      <c r="V61" s="64">
        <v>14</v>
      </c>
      <c r="W61" s="64">
        <v>14</v>
      </c>
      <c r="X61" s="64">
        <v>14</v>
      </c>
      <c r="Y61" s="64">
        <v>14</v>
      </c>
      <c r="Z61" s="64">
        <v>14</v>
      </c>
      <c r="AA61" s="64">
        <v>18</v>
      </c>
      <c r="AB61" s="64">
        <v>17</v>
      </c>
      <c r="AC61" s="64">
        <v>16</v>
      </c>
      <c r="AD61" s="64">
        <v>16</v>
      </c>
      <c r="AE61" s="64">
        <v>16</v>
      </c>
      <c r="AF61" s="64">
        <v>17</v>
      </c>
      <c r="AG61" s="54">
        <v>24</v>
      </c>
      <c r="AH61" s="47">
        <f t="shared" si="2"/>
        <v>18</v>
      </c>
      <c r="AI61" s="48">
        <f t="shared" si="3"/>
        <v>14</v>
      </c>
      <c r="AK61" s="74"/>
    </row>
    <row r="62" spans="1:41" x14ac:dyDescent="0.25">
      <c r="A62" s="53" t="s">
        <v>78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>
        <v>4</v>
      </c>
      <c r="P62" s="64">
        <v>0</v>
      </c>
      <c r="Q62" s="64">
        <v>0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2"/>
        <v>4</v>
      </c>
      <c r="AI62" s="48">
        <f t="shared" si="3"/>
        <v>0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13.1</v>
      </c>
      <c r="C63" s="64">
        <v>13.1</v>
      </c>
      <c r="D63" s="64">
        <v>13.1</v>
      </c>
      <c r="E63" s="64">
        <v>13.1</v>
      </c>
      <c r="F63" s="64">
        <v>13.1</v>
      </c>
      <c r="G63" s="64">
        <v>13.1</v>
      </c>
      <c r="H63" s="64">
        <v>13.1</v>
      </c>
      <c r="I63" s="64">
        <v>13.1</v>
      </c>
      <c r="J63" s="64">
        <v>13.1</v>
      </c>
      <c r="K63" s="64">
        <v>13.1</v>
      </c>
      <c r="L63" s="64">
        <v>13.1</v>
      </c>
      <c r="M63" s="64">
        <v>13.1</v>
      </c>
      <c r="N63" s="64">
        <v>13.1</v>
      </c>
      <c r="O63" s="64">
        <v>13.1</v>
      </c>
      <c r="P63" s="64">
        <v>13.1</v>
      </c>
      <c r="Q63" s="64">
        <v>11.3</v>
      </c>
      <c r="R63" s="64">
        <v>11</v>
      </c>
      <c r="S63" s="64">
        <v>11</v>
      </c>
      <c r="T63" s="64">
        <v>11</v>
      </c>
      <c r="U63" s="64">
        <v>11</v>
      </c>
      <c r="V63" s="64">
        <v>11</v>
      </c>
      <c r="W63" s="64">
        <v>11</v>
      </c>
      <c r="X63" s="64">
        <v>11</v>
      </c>
      <c r="Y63" s="64">
        <v>13</v>
      </c>
      <c r="Z63" s="64">
        <v>13</v>
      </c>
      <c r="AA63" s="64">
        <v>13</v>
      </c>
      <c r="AB63" s="64">
        <v>12.7</v>
      </c>
      <c r="AC63" s="64">
        <v>12.8</v>
      </c>
      <c r="AD63" s="64">
        <v>12.8</v>
      </c>
      <c r="AE63" s="64">
        <v>13.3</v>
      </c>
      <c r="AF63" s="64">
        <v>13.2</v>
      </c>
      <c r="AG63" s="54">
        <v>14.1</v>
      </c>
      <c r="AH63" s="47">
        <f t="shared" si="2"/>
        <v>13.3</v>
      </c>
      <c r="AI63" s="48">
        <f t="shared" si="3"/>
        <v>11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11.7</v>
      </c>
      <c r="C64" s="64">
        <v>11.7</v>
      </c>
      <c r="D64" s="64">
        <v>11.7</v>
      </c>
      <c r="E64" s="64">
        <v>11.7</v>
      </c>
      <c r="F64" s="64">
        <v>11.7</v>
      </c>
      <c r="G64" s="64">
        <v>11.7</v>
      </c>
      <c r="H64" s="64">
        <v>11.7</v>
      </c>
      <c r="I64" s="64">
        <v>11.7</v>
      </c>
      <c r="J64" s="64">
        <v>11.7</v>
      </c>
      <c r="K64" s="64">
        <v>11.7</v>
      </c>
      <c r="L64" s="64">
        <v>11.7</v>
      </c>
      <c r="M64" s="64">
        <v>11.7</v>
      </c>
      <c r="N64" s="64">
        <v>11.7</v>
      </c>
      <c r="O64" s="64">
        <v>11.7</v>
      </c>
      <c r="P64" s="64">
        <v>11.7</v>
      </c>
      <c r="Q64" s="64">
        <v>10</v>
      </c>
      <c r="R64" s="64">
        <v>10</v>
      </c>
      <c r="S64" s="64">
        <v>10</v>
      </c>
      <c r="T64" s="64">
        <v>10</v>
      </c>
      <c r="U64" s="64">
        <v>10</v>
      </c>
      <c r="V64" s="64">
        <v>10</v>
      </c>
      <c r="W64" s="64">
        <v>10</v>
      </c>
      <c r="X64" s="64">
        <v>10</v>
      </c>
      <c r="Y64" s="64">
        <v>10</v>
      </c>
      <c r="Z64" s="64">
        <v>10</v>
      </c>
      <c r="AA64" s="64">
        <v>10</v>
      </c>
      <c r="AB64" s="64">
        <v>9.9</v>
      </c>
      <c r="AC64" s="64">
        <v>2.2999999999999998</v>
      </c>
      <c r="AD64" s="64">
        <v>2.2999999999999998</v>
      </c>
      <c r="AE64" s="64">
        <v>9.3000000000000007</v>
      </c>
      <c r="AF64" s="64">
        <v>9.1999999999999993</v>
      </c>
      <c r="AG64" s="54">
        <v>14</v>
      </c>
      <c r="AH64" s="47">
        <f t="shared" si="2"/>
        <v>11.7</v>
      </c>
      <c r="AI64" s="48">
        <f t="shared" si="3"/>
        <v>2.2999999999999998</v>
      </c>
      <c r="AK64" s="74"/>
    </row>
    <row r="65" spans="1:40" x14ac:dyDescent="0.25">
      <c r="A65" s="53" t="s">
        <v>81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v>389.14000000000004</v>
      </c>
      <c r="C68" s="59">
        <f t="shared" ref="C68:AG68" si="7">SUM(C55:C67)</f>
        <v>389.14000000000004</v>
      </c>
      <c r="D68" s="59">
        <f t="shared" si="7"/>
        <v>389.14000000000004</v>
      </c>
      <c r="E68" s="59">
        <f t="shared" si="7"/>
        <v>389.14000000000004</v>
      </c>
      <c r="F68" s="59">
        <f t="shared" si="7"/>
        <v>389.14000000000004</v>
      </c>
      <c r="G68" s="59">
        <f t="shared" si="7"/>
        <v>389.14000000000004</v>
      </c>
      <c r="H68" s="59">
        <f t="shared" si="7"/>
        <v>389.14000000000004</v>
      </c>
      <c r="I68" s="59">
        <f t="shared" si="7"/>
        <v>389.14000000000004</v>
      </c>
      <c r="J68" s="59">
        <f t="shared" si="7"/>
        <v>389.14000000000004</v>
      </c>
      <c r="K68" s="59">
        <f t="shared" si="7"/>
        <v>389.14000000000004</v>
      </c>
      <c r="L68" s="59">
        <f t="shared" si="7"/>
        <v>389.14000000000004</v>
      </c>
      <c r="M68" s="59">
        <f t="shared" si="7"/>
        <v>392.64000000000004</v>
      </c>
      <c r="N68" s="59">
        <f t="shared" si="7"/>
        <v>392.64000000000004</v>
      </c>
      <c r="O68" s="59">
        <f t="shared" si="7"/>
        <v>336.24</v>
      </c>
      <c r="P68" s="59">
        <f t="shared" si="7"/>
        <v>335.84000000000003</v>
      </c>
      <c r="Q68" s="59">
        <f t="shared" si="7"/>
        <v>375.14</v>
      </c>
      <c r="R68" s="59">
        <f t="shared" si="7"/>
        <v>386.14</v>
      </c>
      <c r="S68" s="59">
        <f t="shared" si="7"/>
        <v>392.34</v>
      </c>
      <c r="T68" s="59">
        <f t="shared" si="7"/>
        <v>392.34</v>
      </c>
      <c r="U68" s="59">
        <f t="shared" si="7"/>
        <v>386.94</v>
      </c>
      <c r="V68" s="59">
        <f t="shared" si="7"/>
        <v>386.94</v>
      </c>
      <c r="W68" s="59">
        <f t="shared" si="7"/>
        <v>360.74</v>
      </c>
      <c r="X68" s="59">
        <f t="shared" si="7"/>
        <v>359.14</v>
      </c>
      <c r="Y68" s="59">
        <f t="shared" si="7"/>
        <v>387.14</v>
      </c>
      <c r="Z68" s="59">
        <f t="shared" si="7"/>
        <v>387.14</v>
      </c>
      <c r="AA68" s="59">
        <f t="shared" si="7"/>
        <v>392.94</v>
      </c>
      <c r="AB68" s="59">
        <f t="shared" si="7"/>
        <v>390.03999999999996</v>
      </c>
      <c r="AC68" s="59">
        <f t="shared" si="7"/>
        <v>381.74</v>
      </c>
      <c r="AD68" s="59">
        <f t="shared" si="7"/>
        <v>381.74</v>
      </c>
      <c r="AE68" s="59">
        <f t="shared" si="7"/>
        <v>389.44</v>
      </c>
      <c r="AF68" s="59">
        <f t="shared" si="7"/>
        <v>359.34000000000003</v>
      </c>
      <c r="AG68" s="60">
        <f t="shared" si="7"/>
        <v>489.91</v>
      </c>
      <c r="AH68" s="47">
        <f t="shared" si="2"/>
        <v>392.94</v>
      </c>
      <c r="AI68" s="48">
        <f t="shared" si="3"/>
        <v>335.84000000000003</v>
      </c>
      <c r="AK68" s="74"/>
    </row>
    <row r="69" spans="1:40" x14ac:dyDescent="0.25">
      <c r="A69" s="44" t="s">
        <v>85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24.1</v>
      </c>
      <c r="M69" s="45">
        <v>24.1</v>
      </c>
      <c r="N69" s="45">
        <v>14.5</v>
      </c>
      <c r="O69" s="45">
        <v>20.6</v>
      </c>
      <c r="P69" s="45">
        <v>20.6</v>
      </c>
      <c r="Q69" s="45">
        <v>14.3</v>
      </c>
      <c r="R69" s="45">
        <v>13.9</v>
      </c>
      <c r="S69" s="45">
        <v>20</v>
      </c>
      <c r="T69" s="45">
        <v>20</v>
      </c>
      <c r="U69" s="45">
        <v>13.8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24.1</v>
      </c>
      <c r="AI69" s="48">
        <f t="shared" si="3"/>
        <v>0</v>
      </c>
      <c r="AK69" s="74"/>
    </row>
    <row r="70" spans="1:40" x14ac:dyDescent="0.25">
      <c r="A70" s="53" t="s">
        <v>86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12.3</v>
      </c>
      <c r="M70" s="64">
        <v>12.2</v>
      </c>
      <c r="N70" s="64">
        <v>4</v>
      </c>
      <c r="O70" s="64">
        <v>4</v>
      </c>
      <c r="P70" s="64">
        <v>4</v>
      </c>
      <c r="Q70" s="64">
        <v>5.8</v>
      </c>
      <c r="R70" s="64">
        <v>6.2</v>
      </c>
      <c r="S70" s="64">
        <v>5.2</v>
      </c>
      <c r="T70" s="64">
        <v>5.2</v>
      </c>
      <c r="U70" s="64">
        <v>5.3</v>
      </c>
      <c r="V70" s="64">
        <v>4.8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12.3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4.5</v>
      </c>
      <c r="M71" s="66">
        <v>4.5</v>
      </c>
      <c r="N71" s="66">
        <v>1.4</v>
      </c>
      <c r="O71" s="66">
        <v>1.5</v>
      </c>
      <c r="P71" s="66">
        <v>1.5</v>
      </c>
      <c r="Q71" s="66">
        <v>2.1</v>
      </c>
      <c r="R71" s="66">
        <v>2.2999999999999998</v>
      </c>
      <c r="S71" s="66">
        <v>1.9</v>
      </c>
      <c r="T71" s="66">
        <v>1.9</v>
      </c>
      <c r="U71" s="66">
        <v>1.9</v>
      </c>
      <c r="V71" s="66">
        <v>1.8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4.5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40.900000000000006</v>
      </c>
      <c r="M72" s="59">
        <f t="shared" ref="M72:AF72" si="8">M69+M70+M71</f>
        <v>40.799999999999997</v>
      </c>
      <c r="N72" s="59">
        <f t="shared" si="8"/>
        <v>19.899999999999999</v>
      </c>
      <c r="O72" s="59">
        <f t="shared" si="8"/>
        <v>26.1</v>
      </c>
      <c r="P72" s="59">
        <f t="shared" si="8"/>
        <v>26.1</v>
      </c>
      <c r="Q72" s="59">
        <f t="shared" si="8"/>
        <v>22.200000000000003</v>
      </c>
      <c r="R72" s="59">
        <f t="shared" si="8"/>
        <v>22.400000000000002</v>
      </c>
      <c r="S72" s="59">
        <f t="shared" si="8"/>
        <v>27.099999999999998</v>
      </c>
      <c r="T72" s="59">
        <f t="shared" si="8"/>
        <v>27.099999999999998</v>
      </c>
      <c r="U72" s="59">
        <f t="shared" si="8"/>
        <v>21</v>
      </c>
      <c r="V72" s="59">
        <f t="shared" si="8"/>
        <v>6.6</v>
      </c>
      <c r="W72" s="59">
        <f t="shared" si="8"/>
        <v>0</v>
      </c>
      <c r="X72" s="59">
        <f t="shared" si="8"/>
        <v>0</v>
      </c>
      <c r="Y72" s="59">
        <f t="shared" si="8"/>
        <v>0</v>
      </c>
      <c r="Z72" s="59">
        <f t="shared" si="8"/>
        <v>0</v>
      </c>
      <c r="AA72" s="59">
        <f t="shared" si="8"/>
        <v>0</v>
      </c>
      <c r="AB72" s="59">
        <f t="shared" si="8"/>
        <v>0</v>
      </c>
      <c r="AC72" s="59">
        <f t="shared" si="8"/>
        <v>0</v>
      </c>
      <c r="AD72" s="59">
        <f t="shared" si="8"/>
        <v>0</v>
      </c>
      <c r="AE72" s="59">
        <f t="shared" si="8"/>
        <v>0</v>
      </c>
      <c r="AF72" s="59">
        <f t="shared" si="8"/>
        <v>0</v>
      </c>
      <c r="AG72" s="60">
        <f>SUM(AG69:AG71)</f>
        <v>106</v>
      </c>
      <c r="AH72" s="47">
        <f t="shared" si="2"/>
        <v>40.900000000000006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49</v>
      </c>
      <c r="C73" s="45">
        <v>61</v>
      </c>
      <c r="D73" s="45">
        <v>58</v>
      </c>
      <c r="E73" s="45">
        <v>15</v>
      </c>
      <c r="F73" s="45">
        <v>35</v>
      </c>
      <c r="G73" s="45">
        <v>35</v>
      </c>
      <c r="H73" s="45">
        <v>21.6</v>
      </c>
      <c r="I73" s="45">
        <v>21.6</v>
      </c>
      <c r="J73" s="45">
        <v>27</v>
      </c>
      <c r="K73" s="45">
        <v>27</v>
      </c>
      <c r="L73" s="45">
        <v>35</v>
      </c>
      <c r="M73" s="45">
        <v>31</v>
      </c>
      <c r="N73" s="45">
        <v>40.5</v>
      </c>
      <c r="O73" s="45">
        <v>46.8</v>
      </c>
      <c r="P73" s="45">
        <v>26.7</v>
      </c>
      <c r="Q73" s="45">
        <v>31.3</v>
      </c>
      <c r="R73" s="45">
        <v>67.3</v>
      </c>
      <c r="S73" s="45">
        <v>52</v>
      </c>
      <c r="T73" s="45">
        <v>56.7</v>
      </c>
      <c r="U73" s="45">
        <v>36.4</v>
      </c>
      <c r="V73" s="45">
        <v>22.1</v>
      </c>
      <c r="W73" s="45">
        <v>10.9</v>
      </c>
      <c r="X73" s="45">
        <v>11.2</v>
      </c>
      <c r="Y73" s="45">
        <v>32</v>
      </c>
      <c r="Z73" s="45">
        <v>17</v>
      </c>
      <c r="AA73" s="45">
        <v>39.299999999999997</v>
      </c>
      <c r="AB73" s="45">
        <v>46</v>
      </c>
      <c r="AC73" s="45">
        <v>56.5</v>
      </c>
      <c r="AD73" s="45">
        <v>57.3</v>
      </c>
      <c r="AE73" s="45">
        <v>45.6</v>
      </c>
      <c r="AF73" s="45">
        <v>66</v>
      </c>
      <c r="AG73" s="51"/>
      <c r="AH73" s="47">
        <f t="shared" si="2"/>
        <v>67.3</v>
      </c>
      <c r="AI73" s="48">
        <f t="shared" si="3"/>
        <v>10.9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-290</v>
      </c>
      <c r="C75" s="64">
        <v>-300</v>
      </c>
      <c r="D75" s="64">
        <v>-300</v>
      </c>
      <c r="E75" s="64">
        <v>-320</v>
      </c>
      <c r="F75" s="64">
        <v>-340</v>
      </c>
      <c r="G75" s="64">
        <v>-380</v>
      </c>
      <c r="H75" s="64">
        <v>-400</v>
      </c>
      <c r="I75" s="64">
        <v>-380</v>
      </c>
      <c r="J75" s="64">
        <v>-377</v>
      </c>
      <c r="K75" s="64">
        <v>-370</v>
      </c>
      <c r="L75" s="64">
        <v>-365</v>
      </c>
      <c r="M75" s="64">
        <v>-352</v>
      </c>
      <c r="N75" s="64">
        <v>-347.3</v>
      </c>
      <c r="O75" s="64">
        <v>-318.60000000000002</v>
      </c>
      <c r="P75" s="64">
        <v>-342.4</v>
      </c>
      <c r="Q75" s="64">
        <v>-345.6</v>
      </c>
      <c r="R75" s="64">
        <v>-346</v>
      </c>
      <c r="S75" s="64">
        <v>-302</v>
      </c>
      <c r="T75" s="64">
        <v>-328</v>
      </c>
      <c r="U75" s="64">
        <v>-308</v>
      </c>
      <c r="V75" s="64">
        <v>-331</v>
      </c>
      <c r="W75" s="64">
        <v>-364</v>
      </c>
      <c r="X75" s="64">
        <v>-342</v>
      </c>
      <c r="Y75" s="64">
        <v>-319</v>
      </c>
      <c r="Z75" s="64">
        <v>-292</v>
      </c>
      <c r="AA75" s="64">
        <v>-261</v>
      </c>
      <c r="AB75" s="64">
        <v>-264</v>
      </c>
      <c r="AC75" s="64">
        <v>-277</v>
      </c>
      <c r="AD75" s="64">
        <v>-276.3</v>
      </c>
      <c r="AE75" s="64">
        <v>-338</v>
      </c>
      <c r="AF75" s="64">
        <v>-345</v>
      </c>
      <c r="AG75" s="75"/>
      <c r="AH75" s="47">
        <f t="shared" si="2"/>
        <v>-261</v>
      </c>
      <c r="AI75" s="48">
        <f t="shared" si="3"/>
        <v>-400</v>
      </c>
      <c r="AK75" s="74"/>
    </row>
    <row r="76" spans="1:40" x14ac:dyDescent="0.25">
      <c r="A76" s="53" t="s">
        <v>92</v>
      </c>
      <c r="B76" s="64">
        <v>19</v>
      </c>
      <c r="C76" s="64">
        <v>30</v>
      </c>
      <c r="D76" s="64">
        <v>30</v>
      </c>
      <c r="E76" s="64">
        <v>30</v>
      </c>
      <c r="F76" s="64">
        <v>30</v>
      </c>
      <c r="G76" s="64">
        <v>30</v>
      </c>
      <c r="H76" s="64">
        <v>30</v>
      </c>
      <c r="I76" s="64">
        <v>30</v>
      </c>
      <c r="J76" s="64">
        <v>30</v>
      </c>
      <c r="K76" s="64">
        <v>30</v>
      </c>
      <c r="L76" s="64">
        <v>30</v>
      </c>
      <c r="M76" s="76">
        <v>10</v>
      </c>
      <c r="N76" s="76">
        <v>10</v>
      </c>
      <c r="O76" s="76">
        <v>12</v>
      </c>
      <c r="P76" s="76">
        <v>12</v>
      </c>
      <c r="Q76" s="76">
        <v>12</v>
      </c>
      <c r="R76" s="76">
        <v>12</v>
      </c>
      <c r="S76" s="76">
        <v>12</v>
      </c>
      <c r="T76" s="76">
        <v>12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64">
        <v>0</v>
      </c>
      <c r="AE76" s="76">
        <v>0</v>
      </c>
      <c r="AF76" s="76">
        <v>0</v>
      </c>
      <c r="AG76" s="75"/>
      <c r="AH76" s="47">
        <f t="shared" si="2"/>
        <v>30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76">
        <v>0</v>
      </c>
      <c r="AG77" s="75"/>
      <c r="AH77" s="47">
        <f t="shared" ref="AH77:AH120" si="9">MAX(B77:AF77)</f>
        <v>0</v>
      </c>
      <c r="AI77" s="48">
        <f t="shared" ref="AI77:AI120" si="10">MIN(B77:AF77)</f>
        <v>0</v>
      </c>
      <c r="AK77" s="74"/>
    </row>
    <row r="78" spans="1:40" x14ac:dyDescent="0.25">
      <c r="A78" s="53" t="s">
        <v>94</v>
      </c>
      <c r="B78" s="45">
        <v>5</v>
      </c>
      <c r="C78" s="45">
        <v>5</v>
      </c>
      <c r="D78" s="45">
        <v>5</v>
      </c>
      <c r="E78" s="45">
        <v>5</v>
      </c>
      <c r="F78" s="45">
        <v>5</v>
      </c>
      <c r="G78" s="45">
        <v>5</v>
      </c>
      <c r="H78" s="45">
        <v>5</v>
      </c>
      <c r="I78" s="45">
        <v>5</v>
      </c>
      <c r="J78" s="45">
        <v>5</v>
      </c>
      <c r="K78" s="45">
        <v>5</v>
      </c>
      <c r="L78" s="45">
        <v>5</v>
      </c>
      <c r="M78" s="77">
        <v>5</v>
      </c>
      <c r="N78" s="77">
        <v>5</v>
      </c>
      <c r="O78" s="77">
        <v>5</v>
      </c>
      <c r="P78" s="77">
        <v>5</v>
      </c>
      <c r="Q78" s="77">
        <v>5</v>
      </c>
      <c r="R78" s="77">
        <v>5</v>
      </c>
      <c r="S78" s="77">
        <v>5</v>
      </c>
      <c r="T78" s="77">
        <v>5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6">
        <v>0</v>
      </c>
      <c r="AG78" s="75"/>
      <c r="AH78" s="47">
        <f t="shared" si="9"/>
        <v>5</v>
      </c>
      <c r="AI78" s="48">
        <f t="shared" si="10"/>
        <v>0</v>
      </c>
      <c r="AK78" s="74"/>
    </row>
    <row r="79" spans="1:40" ht="15.75" thickBot="1" x14ac:dyDescent="0.3">
      <c r="A79" s="53" t="s">
        <v>95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6">
        <v>0</v>
      </c>
      <c r="AG79" s="75"/>
      <c r="AH79" s="47">
        <f t="shared" si="9"/>
        <v>0</v>
      </c>
      <c r="AI79" s="48">
        <f t="shared" si="10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6">
        <v>0</v>
      </c>
      <c r="AG80" s="75"/>
      <c r="AH80" s="47">
        <f t="shared" si="9"/>
        <v>0</v>
      </c>
      <c r="AI80" s="48">
        <f t="shared" si="10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6">
        <v>0</v>
      </c>
      <c r="AG81" s="75"/>
      <c r="AH81" s="47">
        <f t="shared" si="9"/>
        <v>0</v>
      </c>
      <c r="AI81" s="48">
        <f t="shared" si="10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6">
        <v>0</v>
      </c>
      <c r="AG82" s="85"/>
      <c r="AH82" s="47">
        <f t="shared" si="9"/>
        <v>0</v>
      </c>
      <c r="AI82" s="48">
        <f t="shared" si="10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6">
        <v>0</v>
      </c>
      <c r="AG83" s="85"/>
      <c r="AH83" s="47">
        <f t="shared" si="9"/>
        <v>0</v>
      </c>
      <c r="AI83" s="48">
        <f t="shared" si="10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v>65</v>
      </c>
      <c r="C84" s="59">
        <f t="shared" ref="C84:AF84" si="11">SUMIF(C73:C83,"&gt;0")</f>
        <v>96</v>
      </c>
      <c r="D84" s="59">
        <f t="shared" si="11"/>
        <v>93</v>
      </c>
      <c r="E84" s="59">
        <f t="shared" si="11"/>
        <v>50</v>
      </c>
      <c r="F84" s="59">
        <f t="shared" si="11"/>
        <v>70</v>
      </c>
      <c r="G84" s="59">
        <f t="shared" si="11"/>
        <v>70</v>
      </c>
      <c r="H84" s="59">
        <f t="shared" si="11"/>
        <v>56.6</v>
      </c>
      <c r="I84" s="59">
        <f t="shared" si="11"/>
        <v>56.6</v>
      </c>
      <c r="J84" s="59">
        <f t="shared" si="11"/>
        <v>62</v>
      </c>
      <c r="K84" s="59">
        <f t="shared" si="11"/>
        <v>62</v>
      </c>
      <c r="L84" s="59">
        <f t="shared" si="11"/>
        <v>70</v>
      </c>
      <c r="M84" s="59">
        <f t="shared" si="11"/>
        <v>46</v>
      </c>
      <c r="N84" s="59">
        <f t="shared" si="11"/>
        <v>55.5</v>
      </c>
      <c r="O84" s="59">
        <f t="shared" si="11"/>
        <v>63.8</v>
      </c>
      <c r="P84" s="59">
        <f t="shared" si="11"/>
        <v>43.7</v>
      </c>
      <c r="Q84" s="59">
        <f t="shared" si="11"/>
        <v>48.3</v>
      </c>
      <c r="R84" s="59">
        <f t="shared" si="11"/>
        <v>84.3</v>
      </c>
      <c r="S84" s="59">
        <f t="shared" si="11"/>
        <v>69</v>
      </c>
      <c r="T84" s="59">
        <f t="shared" si="11"/>
        <v>73.7</v>
      </c>
      <c r="U84" s="59">
        <f t="shared" si="11"/>
        <v>36.4</v>
      </c>
      <c r="V84" s="59">
        <f t="shared" si="11"/>
        <v>22.1</v>
      </c>
      <c r="W84" s="59">
        <f t="shared" si="11"/>
        <v>10.9</v>
      </c>
      <c r="X84" s="59">
        <f t="shared" si="11"/>
        <v>11.2</v>
      </c>
      <c r="Y84" s="59">
        <f t="shared" si="11"/>
        <v>32</v>
      </c>
      <c r="Z84" s="59">
        <f t="shared" si="11"/>
        <v>17</v>
      </c>
      <c r="AA84" s="59">
        <f t="shared" si="11"/>
        <v>39.299999999999997</v>
      </c>
      <c r="AB84" s="59">
        <f t="shared" si="11"/>
        <v>46</v>
      </c>
      <c r="AC84" s="59">
        <f t="shared" si="11"/>
        <v>56.5</v>
      </c>
      <c r="AD84" s="59">
        <f t="shared" si="11"/>
        <v>57.3</v>
      </c>
      <c r="AE84" s="59">
        <f t="shared" si="11"/>
        <v>45.6</v>
      </c>
      <c r="AF84" s="59">
        <f t="shared" si="11"/>
        <v>66</v>
      </c>
      <c r="AG84" s="88">
        <f>SUM(AG73:AG83)</f>
        <v>0</v>
      </c>
      <c r="AH84" s="47">
        <f t="shared" si="9"/>
        <v>96</v>
      </c>
      <c r="AI84" s="48">
        <f t="shared" si="10"/>
        <v>10.9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9"/>
        <v>0</v>
      </c>
      <c r="AI85" s="48">
        <f t="shared" si="10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9"/>
        <v>0</v>
      </c>
      <c r="AI86" s="48">
        <f t="shared" si="10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9"/>
        <v>0</v>
      </c>
      <c r="AI87" s="48">
        <f t="shared" si="10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9"/>
        <v>0</v>
      </c>
      <c r="AI88" s="48">
        <f t="shared" si="10"/>
        <v>0</v>
      </c>
    </row>
    <row r="89" spans="1:40" ht="15.75" thickBot="1" x14ac:dyDescent="0.3">
      <c r="A89" s="73" t="s">
        <v>108</v>
      </c>
      <c r="B89" s="95">
        <v>1964.55</v>
      </c>
      <c r="C89" s="95">
        <f t="shared" ref="C89:AG89" si="12">C50+C54+C72+C68+C84+C88</f>
        <v>1917.95</v>
      </c>
      <c r="D89" s="95">
        <f t="shared" si="12"/>
        <v>1906.95</v>
      </c>
      <c r="E89" s="95">
        <f t="shared" si="12"/>
        <v>1883.95</v>
      </c>
      <c r="F89" s="95">
        <f t="shared" si="12"/>
        <v>1908.95</v>
      </c>
      <c r="G89" s="95">
        <f t="shared" si="12"/>
        <v>1877.3500000000001</v>
      </c>
      <c r="H89" s="95">
        <f t="shared" si="12"/>
        <v>1879.95</v>
      </c>
      <c r="I89" s="95">
        <f t="shared" si="12"/>
        <v>1881.95</v>
      </c>
      <c r="J89" s="95">
        <f t="shared" si="12"/>
        <v>1887.3500000000001</v>
      </c>
      <c r="K89" s="95">
        <f t="shared" si="12"/>
        <v>1887.3500000000001</v>
      </c>
      <c r="L89" s="95">
        <f t="shared" si="12"/>
        <v>1930.8500000000001</v>
      </c>
      <c r="M89" s="95">
        <f t="shared" si="12"/>
        <v>1928.65</v>
      </c>
      <c r="N89" s="95">
        <f t="shared" si="12"/>
        <v>1917.2500000000002</v>
      </c>
      <c r="O89" s="95">
        <f t="shared" si="12"/>
        <v>1894.85</v>
      </c>
      <c r="P89" s="95">
        <f t="shared" si="12"/>
        <v>1881.8500000000001</v>
      </c>
      <c r="Q89" s="95">
        <f t="shared" si="12"/>
        <v>1919.8500000000001</v>
      </c>
      <c r="R89" s="95">
        <f t="shared" si="12"/>
        <v>1954.05</v>
      </c>
      <c r="S89" s="95">
        <f t="shared" si="12"/>
        <v>1949.6499999999999</v>
      </c>
      <c r="T89" s="95">
        <f t="shared" si="12"/>
        <v>1921.4499999999998</v>
      </c>
      <c r="U89" s="95">
        <f t="shared" si="12"/>
        <v>1890.8500000000001</v>
      </c>
      <c r="V89" s="95">
        <f t="shared" si="12"/>
        <v>1874.1499999999999</v>
      </c>
      <c r="W89" s="95">
        <f t="shared" si="12"/>
        <v>1812.2500000000002</v>
      </c>
      <c r="X89" s="95">
        <f t="shared" si="12"/>
        <v>1810.95</v>
      </c>
      <c r="Y89" s="95">
        <f t="shared" si="12"/>
        <v>1863.75</v>
      </c>
      <c r="Z89" s="95">
        <f t="shared" si="12"/>
        <v>1845.75</v>
      </c>
      <c r="AA89" s="95">
        <f t="shared" si="12"/>
        <v>1925.45</v>
      </c>
      <c r="AB89" s="95">
        <f t="shared" si="12"/>
        <v>1962.75</v>
      </c>
      <c r="AC89" s="95">
        <f t="shared" si="12"/>
        <v>1976.45</v>
      </c>
      <c r="AD89" s="95">
        <f t="shared" si="12"/>
        <v>1977.25</v>
      </c>
      <c r="AE89" s="95">
        <f t="shared" si="12"/>
        <v>1962.9499999999998</v>
      </c>
      <c r="AF89" s="95">
        <f t="shared" si="12"/>
        <v>1849.0500000000002</v>
      </c>
      <c r="AG89" s="60">
        <f t="shared" si="12"/>
        <v>2111.5500000000002</v>
      </c>
      <c r="AH89" s="47">
        <f t="shared" si="9"/>
        <v>1977.25</v>
      </c>
      <c r="AI89" s="48">
        <f t="shared" si="10"/>
        <v>1810.95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>
        <v>50</v>
      </c>
      <c r="AG90" s="88"/>
      <c r="AH90" s="47">
        <f t="shared" si="9"/>
        <v>50</v>
      </c>
      <c r="AI90" s="48">
        <f t="shared" si="10"/>
        <v>50</v>
      </c>
    </row>
    <row r="91" spans="1:40" ht="15.75" thickBot="1" x14ac:dyDescent="0.3">
      <c r="A91" s="73" t="s">
        <v>110</v>
      </c>
      <c r="B91" s="95">
        <v>1964.55</v>
      </c>
      <c r="C91" s="95">
        <f t="shared" ref="C91:AF91" si="13">C89+C90</f>
        <v>1917.95</v>
      </c>
      <c r="D91" s="95">
        <f t="shared" si="13"/>
        <v>1906.95</v>
      </c>
      <c r="E91" s="95">
        <f t="shared" si="13"/>
        <v>1883.95</v>
      </c>
      <c r="F91" s="95">
        <f t="shared" si="13"/>
        <v>1908.95</v>
      </c>
      <c r="G91" s="95">
        <f t="shared" si="13"/>
        <v>1877.3500000000001</v>
      </c>
      <c r="H91" s="95">
        <f t="shared" si="13"/>
        <v>1879.95</v>
      </c>
      <c r="I91" s="95">
        <f t="shared" si="13"/>
        <v>1881.95</v>
      </c>
      <c r="J91" s="95">
        <f t="shared" si="13"/>
        <v>1887.3500000000001</v>
      </c>
      <c r="K91" s="95">
        <f t="shared" si="13"/>
        <v>1887.3500000000001</v>
      </c>
      <c r="L91" s="95">
        <f t="shared" si="13"/>
        <v>1930.8500000000001</v>
      </c>
      <c r="M91" s="95">
        <f t="shared" si="13"/>
        <v>1928.65</v>
      </c>
      <c r="N91" s="95">
        <f t="shared" si="13"/>
        <v>1917.2500000000002</v>
      </c>
      <c r="O91" s="95">
        <f t="shared" si="13"/>
        <v>1894.85</v>
      </c>
      <c r="P91" s="95">
        <f t="shared" si="13"/>
        <v>1881.8500000000001</v>
      </c>
      <c r="Q91" s="95">
        <f t="shared" si="13"/>
        <v>1919.8500000000001</v>
      </c>
      <c r="R91" s="95">
        <f t="shared" si="13"/>
        <v>1954.05</v>
      </c>
      <c r="S91" s="95">
        <f t="shared" si="13"/>
        <v>1949.6499999999999</v>
      </c>
      <c r="T91" s="95">
        <f t="shared" si="13"/>
        <v>1921.4499999999998</v>
      </c>
      <c r="U91" s="95">
        <f t="shared" si="13"/>
        <v>1890.8500000000001</v>
      </c>
      <c r="V91" s="95">
        <f t="shared" si="13"/>
        <v>1874.1499999999999</v>
      </c>
      <c r="W91" s="95">
        <f t="shared" si="13"/>
        <v>1812.2500000000002</v>
      </c>
      <c r="X91" s="95">
        <f t="shared" si="13"/>
        <v>1810.95</v>
      </c>
      <c r="Y91" s="95">
        <f t="shared" si="13"/>
        <v>1863.75</v>
      </c>
      <c r="Z91" s="95">
        <f t="shared" si="13"/>
        <v>1845.75</v>
      </c>
      <c r="AA91" s="95">
        <f t="shared" si="13"/>
        <v>1925.45</v>
      </c>
      <c r="AB91" s="95">
        <f t="shared" si="13"/>
        <v>1962.75</v>
      </c>
      <c r="AC91" s="95">
        <f t="shared" si="13"/>
        <v>1976.45</v>
      </c>
      <c r="AD91" s="95">
        <f t="shared" si="13"/>
        <v>1977.25</v>
      </c>
      <c r="AE91" s="95">
        <f t="shared" si="13"/>
        <v>1962.9499999999998</v>
      </c>
      <c r="AF91" s="95">
        <f t="shared" si="13"/>
        <v>1899.0500000000002</v>
      </c>
      <c r="AG91" s="88">
        <f>AG88+AG84+AG72+AG68+AG50+AG90</f>
        <v>1573.45</v>
      </c>
      <c r="AH91" s="47">
        <f t="shared" si="9"/>
        <v>1977.25</v>
      </c>
      <c r="AI91" s="48">
        <f t="shared" si="10"/>
        <v>1810.95</v>
      </c>
    </row>
    <row r="92" spans="1:40" ht="15.75" thickBot="1" x14ac:dyDescent="0.3">
      <c r="A92" s="73" t="s">
        <v>111</v>
      </c>
      <c r="B92" s="95">
        <v>1964.55</v>
      </c>
      <c r="C92" s="95">
        <f t="shared" ref="C92:AF92" si="14">C91-C99</f>
        <v>1917.95</v>
      </c>
      <c r="D92" s="95">
        <f t="shared" si="14"/>
        <v>1906.95</v>
      </c>
      <c r="E92" s="95">
        <f t="shared" si="14"/>
        <v>1883.95</v>
      </c>
      <c r="F92" s="95">
        <f t="shared" si="14"/>
        <v>1908.95</v>
      </c>
      <c r="G92" s="95">
        <f t="shared" si="14"/>
        <v>1877.3500000000001</v>
      </c>
      <c r="H92" s="95">
        <f t="shared" si="14"/>
        <v>1879.95</v>
      </c>
      <c r="I92" s="95">
        <f t="shared" si="14"/>
        <v>1881.95</v>
      </c>
      <c r="J92" s="95">
        <f t="shared" si="14"/>
        <v>1887.3500000000001</v>
      </c>
      <c r="K92" s="95">
        <f t="shared" si="14"/>
        <v>1887.3500000000001</v>
      </c>
      <c r="L92" s="95">
        <f t="shared" si="14"/>
        <v>1930.8500000000001</v>
      </c>
      <c r="M92" s="95">
        <f t="shared" si="14"/>
        <v>1928.65</v>
      </c>
      <c r="N92" s="95">
        <f t="shared" si="14"/>
        <v>1917.2500000000002</v>
      </c>
      <c r="O92" s="95">
        <f t="shared" si="14"/>
        <v>1894.85</v>
      </c>
      <c r="P92" s="95">
        <f t="shared" si="14"/>
        <v>1881.8500000000001</v>
      </c>
      <c r="Q92" s="95">
        <f t="shared" si="14"/>
        <v>1919.8500000000001</v>
      </c>
      <c r="R92" s="95">
        <f t="shared" si="14"/>
        <v>1954.05</v>
      </c>
      <c r="S92" s="95">
        <f t="shared" si="14"/>
        <v>1949.6499999999999</v>
      </c>
      <c r="T92" s="95">
        <f t="shared" si="14"/>
        <v>1921.4499999999998</v>
      </c>
      <c r="U92" s="95">
        <f t="shared" si="14"/>
        <v>1890.8500000000001</v>
      </c>
      <c r="V92" s="95">
        <f t="shared" si="14"/>
        <v>1874.1499999999999</v>
      </c>
      <c r="W92" s="95">
        <f t="shared" si="14"/>
        <v>1812.2500000000002</v>
      </c>
      <c r="X92" s="95">
        <f t="shared" si="14"/>
        <v>1810.95</v>
      </c>
      <c r="Y92" s="95">
        <f t="shared" si="14"/>
        <v>1863.75</v>
      </c>
      <c r="Z92" s="95">
        <f t="shared" si="14"/>
        <v>1845.75</v>
      </c>
      <c r="AA92" s="95">
        <f t="shared" si="14"/>
        <v>1925.45</v>
      </c>
      <c r="AB92" s="95">
        <f t="shared" si="14"/>
        <v>1962.75</v>
      </c>
      <c r="AC92" s="95">
        <f t="shared" si="14"/>
        <v>1976.45</v>
      </c>
      <c r="AD92" s="95">
        <f t="shared" si="14"/>
        <v>1977.25</v>
      </c>
      <c r="AE92" s="95">
        <f t="shared" si="14"/>
        <v>1962.9499999999998</v>
      </c>
      <c r="AF92" s="95">
        <f t="shared" si="14"/>
        <v>1899.0500000000002</v>
      </c>
      <c r="AG92" s="88"/>
      <c r="AH92" s="47">
        <f t="shared" si="9"/>
        <v>1977.25</v>
      </c>
      <c r="AI92" s="48">
        <f t="shared" si="10"/>
        <v>1810.95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9"/>
        <v>0</v>
      </c>
      <c r="AI93" s="48">
        <f t="shared" si="10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9"/>
        <v>0</v>
      </c>
      <c r="AI94" s="48">
        <f t="shared" si="10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9"/>
        <v>0</v>
      </c>
      <c r="AI95" s="48">
        <f t="shared" si="10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9"/>
        <v>0</v>
      </c>
      <c r="AI96" s="48">
        <f t="shared" si="10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9"/>
        <v>0</v>
      </c>
      <c r="AI97" s="48">
        <f t="shared" si="10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9"/>
        <v>0</v>
      </c>
      <c r="AI98" s="48">
        <f t="shared" si="10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9"/>
        <v>0</v>
      </c>
      <c r="AI99" s="48">
        <f t="shared" si="10"/>
        <v>0</v>
      </c>
      <c r="AK99" s="74"/>
    </row>
    <row r="100" spans="1:37" ht="15.75" thickBot="1" x14ac:dyDescent="0.3">
      <c r="A100" s="73" t="s">
        <v>116</v>
      </c>
      <c r="B100" s="59">
        <v>65</v>
      </c>
      <c r="C100" s="59">
        <f t="shared" ref="C100:AF100" si="15">C84-C99</f>
        <v>96</v>
      </c>
      <c r="D100" s="59">
        <f t="shared" si="15"/>
        <v>93</v>
      </c>
      <c r="E100" s="59">
        <f t="shared" si="15"/>
        <v>50</v>
      </c>
      <c r="F100" s="59">
        <f t="shared" si="15"/>
        <v>70</v>
      </c>
      <c r="G100" s="59">
        <f t="shared" si="15"/>
        <v>70</v>
      </c>
      <c r="H100" s="59">
        <f t="shared" si="15"/>
        <v>56.6</v>
      </c>
      <c r="I100" s="59">
        <f t="shared" si="15"/>
        <v>56.6</v>
      </c>
      <c r="J100" s="59">
        <f t="shared" si="15"/>
        <v>62</v>
      </c>
      <c r="K100" s="59">
        <f t="shared" si="15"/>
        <v>62</v>
      </c>
      <c r="L100" s="59">
        <f t="shared" si="15"/>
        <v>70</v>
      </c>
      <c r="M100" s="59">
        <f t="shared" si="15"/>
        <v>46</v>
      </c>
      <c r="N100" s="59">
        <f t="shared" si="15"/>
        <v>55.5</v>
      </c>
      <c r="O100" s="59">
        <f t="shared" si="15"/>
        <v>63.8</v>
      </c>
      <c r="P100" s="59">
        <f t="shared" si="15"/>
        <v>43.7</v>
      </c>
      <c r="Q100" s="59">
        <f t="shared" si="15"/>
        <v>48.3</v>
      </c>
      <c r="R100" s="59">
        <f t="shared" si="15"/>
        <v>84.3</v>
      </c>
      <c r="S100" s="59">
        <f t="shared" si="15"/>
        <v>69</v>
      </c>
      <c r="T100" s="59">
        <f t="shared" si="15"/>
        <v>73.7</v>
      </c>
      <c r="U100" s="59">
        <f t="shared" si="15"/>
        <v>36.4</v>
      </c>
      <c r="V100" s="59">
        <f t="shared" si="15"/>
        <v>22.1</v>
      </c>
      <c r="W100" s="59">
        <f t="shared" si="15"/>
        <v>10.9</v>
      </c>
      <c r="X100" s="59">
        <f t="shared" si="15"/>
        <v>11.2</v>
      </c>
      <c r="Y100" s="59">
        <f t="shared" si="15"/>
        <v>32</v>
      </c>
      <c r="Z100" s="59">
        <f t="shared" si="15"/>
        <v>17</v>
      </c>
      <c r="AA100" s="59">
        <f t="shared" si="15"/>
        <v>39.299999999999997</v>
      </c>
      <c r="AB100" s="59">
        <f t="shared" si="15"/>
        <v>46</v>
      </c>
      <c r="AC100" s="59">
        <f t="shared" si="15"/>
        <v>56.5</v>
      </c>
      <c r="AD100" s="59">
        <f t="shared" si="15"/>
        <v>57.3</v>
      </c>
      <c r="AE100" s="59">
        <f t="shared" si="15"/>
        <v>45.6</v>
      </c>
      <c r="AF100" s="59">
        <f t="shared" si="15"/>
        <v>66</v>
      </c>
      <c r="AG100" s="88"/>
      <c r="AH100" s="47">
        <f t="shared" si="9"/>
        <v>96</v>
      </c>
      <c r="AI100" s="48">
        <f t="shared" si="10"/>
        <v>10.9</v>
      </c>
    </row>
    <row r="101" spans="1:37" x14ac:dyDescent="0.25">
      <c r="A101" s="100" t="s">
        <v>117</v>
      </c>
      <c r="B101" s="101">
        <v>50.03</v>
      </c>
      <c r="C101" s="101">
        <v>50.02</v>
      </c>
      <c r="D101" s="101">
        <v>50.02</v>
      </c>
      <c r="E101" s="101">
        <v>50.02</v>
      </c>
      <c r="F101" s="101">
        <v>50.02</v>
      </c>
      <c r="G101" s="101">
        <v>49.92</v>
      </c>
      <c r="H101" s="101">
        <v>49.95</v>
      </c>
      <c r="I101" s="101">
        <v>49.96</v>
      </c>
      <c r="J101" s="101">
        <v>50.02</v>
      </c>
      <c r="K101" s="101">
        <v>49.96</v>
      </c>
      <c r="L101" s="101">
        <v>50.02</v>
      </c>
      <c r="M101" s="101">
        <v>50.036000000000001</v>
      </c>
      <c r="N101" s="101">
        <v>49.984000000000002</v>
      </c>
      <c r="O101" s="101">
        <v>50.034999999999997</v>
      </c>
      <c r="P101" s="101">
        <v>50.183999999999997</v>
      </c>
      <c r="Q101" s="101">
        <v>50.015000000000001</v>
      </c>
      <c r="R101" s="101">
        <v>50.2</v>
      </c>
      <c r="S101" s="101">
        <v>50.030999999999999</v>
      </c>
      <c r="T101" s="101">
        <v>49.887</v>
      </c>
      <c r="U101" s="101">
        <v>49.898000000000003</v>
      </c>
      <c r="V101" s="101">
        <v>49.984999999999999</v>
      </c>
      <c r="W101" s="101">
        <v>49.92</v>
      </c>
      <c r="X101" s="101">
        <v>49.96</v>
      </c>
      <c r="Y101" s="101">
        <v>50.02</v>
      </c>
      <c r="Z101" s="101">
        <v>49.926499999999997</v>
      </c>
      <c r="AA101" s="101">
        <v>49.985999999999997</v>
      </c>
      <c r="AB101" s="101">
        <v>49.99</v>
      </c>
      <c r="AC101" s="101">
        <v>50.006999999999998</v>
      </c>
      <c r="AD101" s="101">
        <v>49.984000000000002</v>
      </c>
      <c r="AE101" s="101">
        <v>50.01</v>
      </c>
      <c r="AF101" s="101">
        <v>49.89</v>
      </c>
      <c r="AG101" s="102"/>
      <c r="AH101" s="47">
        <f t="shared" si="9"/>
        <v>50.2</v>
      </c>
      <c r="AI101" s="48">
        <f t="shared" si="10"/>
        <v>49.887</v>
      </c>
    </row>
    <row r="102" spans="1:37" x14ac:dyDescent="0.25">
      <c r="A102" s="103" t="s">
        <v>118</v>
      </c>
      <c r="B102" s="64">
        <v>120</v>
      </c>
      <c r="C102" s="64">
        <v>122</v>
      </c>
      <c r="D102" s="64">
        <v>123</v>
      </c>
      <c r="E102" s="64">
        <v>123</v>
      </c>
      <c r="F102" s="64">
        <v>123</v>
      </c>
      <c r="G102" s="64">
        <v>123.5</v>
      </c>
      <c r="H102" s="64">
        <v>123.5</v>
      </c>
      <c r="I102" s="64">
        <v>122</v>
      </c>
      <c r="J102" s="64">
        <v>121.6</v>
      </c>
      <c r="K102" s="64">
        <v>123.9</v>
      </c>
      <c r="L102" s="64">
        <v>124.5</v>
      </c>
      <c r="M102" s="64">
        <v>122.9</v>
      </c>
      <c r="N102" s="64">
        <v>119.9</v>
      </c>
      <c r="O102" s="64">
        <v>120.7</v>
      </c>
      <c r="P102" s="64">
        <v>122.5</v>
      </c>
      <c r="Q102" s="64">
        <v>121.8</v>
      </c>
      <c r="R102" s="64">
        <v>1423.6</v>
      </c>
      <c r="S102" s="64">
        <v>123.5</v>
      </c>
      <c r="T102" s="64">
        <v>124.2</v>
      </c>
      <c r="U102" s="64">
        <v>122</v>
      </c>
      <c r="V102" s="64">
        <v>124</v>
      </c>
      <c r="W102" s="64">
        <v>124.7</v>
      </c>
      <c r="X102" s="64">
        <v>125</v>
      </c>
      <c r="Y102" s="64">
        <v>125.3</v>
      </c>
      <c r="Z102" s="64">
        <v>124.6</v>
      </c>
      <c r="AA102" s="64">
        <v>122.8</v>
      </c>
      <c r="AB102" s="64">
        <v>123.7</v>
      </c>
      <c r="AC102" s="64">
        <v>123.4</v>
      </c>
      <c r="AD102" s="64">
        <v>123.8</v>
      </c>
      <c r="AE102" s="64">
        <v>123.8</v>
      </c>
      <c r="AF102" s="64">
        <v>122.4</v>
      </c>
      <c r="AG102" s="104"/>
      <c r="AH102" s="47">
        <f t="shared" si="9"/>
        <v>1423.6</v>
      </c>
      <c r="AI102" s="48">
        <f t="shared" si="10"/>
        <v>119.9</v>
      </c>
    </row>
    <row r="103" spans="1:37" x14ac:dyDescent="0.25">
      <c r="A103" s="103" t="s">
        <v>119</v>
      </c>
      <c r="B103" s="64">
        <v>128</v>
      </c>
      <c r="C103" s="64">
        <v>128</v>
      </c>
      <c r="D103" s="64">
        <v>129</v>
      </c>
      <c r="E103" s="64">
        <v>129</v>
      </c>
      <c r="F103" s="64">
        <v>129</v>
      </c>
      <c r="G103" s="64">
        <v>129</v>
      </c>
      <c r="H103" s="64">
        <v>128.69999999999999</v>
      </c>
      <c r="I103" s="64">
        <v>126</v>
      </c>
      <c r="J103" s="64">
        <v>127.3</v>
      </c>
      <c r="K103" s="64">
        <v>128.69999999999999</v>
      </c>
      <c r="L103" s="64">
        <v>128</v>
      </c>
      <c r="M103" s="64">
        <v>127.4</v>
      </c>
      <c r="N103" s="64">
        <v>123.7</v>
      </c>
      <c r="O103" s="64">
        <v>124.4</v>
      </c>
      <c r="P103" s="64">
        <v>126.3</v>
      </c>
      <c r="Q103" s="64">
        <v>126.1</v>
      </c>
      <c r="R103" s="64">
        <v>127</v>
      </c>
      <c r="S103" s="64">
        <v>126.9</v>
      </c>
      <c r="T103" s="64">
        <v>127.6</v>
      </c>
      <c r="U103" s="64">
        <v>125.9</v>
      </c>
      <c r="V103" s="64">
        <v>127.8</v>
      </c>
      <c r="W103" s="64">
        <v>128.5</v>
      </c>
      <c r="X103" s="64">
        <v>129</v>
      </c>
      <c r="Y103" s="64">
        <v>129</v>
      </c>
      <c r="Z103" s="64">
        <v>128.30000000000001</v>
      </c>
      <c r="AA103" s="64">
        <v>126.6</v>
      </c>
      <c r="AB103" s="64">
        <v>127.6</v>
      </c>
      <c r="AC103" s="64">
        <v>127.6</v>
      </c>
      <c r="AD103" s="64">
        <v>128.19999999999999</v>
      </c>
      <c r="AE103" s="64">
        <v>128.19999999999999</v>
      </c>
      <c r="AF103" s="64">
        <v>128.5</v>
      </c>
      <c r="AG103" s="104"/>
      <c r="AH103" s="47">
        <f t="shared" si="9"/>
        <v>129</v>
      </c>
      <c r="AI103" s="48">
        <f t="shared" si="10"/>
        <v>123.7</v>
      </c>
    </row>
    <row r="104" spans="1:37" x14ac:dyDescent="0.25">
      <c r="A104" s="103" t="s">
        <v>120</v>
      </c>
      <c r="B104" s="64">
        <v>129</v>
      </c>
      <c r="C104" s="64">
        <v>132</v>
      </c>
      <c r="D104" s="64">
        <v>130</v>
      </c>
      <c r="E104" s="64">
        <v>130</v>
      </c>
      <c r="F104" s="64">
        <v>130</v>
      </c>
      <c r="G104" s="64">
        <v>133.69999999999999</v>
      </c>
      <c r="H104" s="64">
        <v>130.30000000000001</v>
      </c>
      <c r="I104" s="64">
        <v>128.1</v>
      </c>
      <c r="J104" s="64">
        <v>127.8</v>
      </c>
      <c r="K104" s="64">
        <v>129.4</v>
      </c>
      <c r="L104" s="64">
        <v>132.5</v>
      </c>
      <c r="M104" s="64">
        <v>128.80000000000001</v>
      </c>
      <c r="N104" s="64">
        <v>127.6</v>
      </c>
      <c r="O104" s="64">
        <v>129.4</v>
      </c>
      <c r="P104" s="64">
        <v>130</v>
      </c>
      <c r="Q104" s="64">
        <v>130.9</v>
      </c>
      <c r="R104" s="64">
        <v>131</v>
      </c>
      <c r="S104" s="64">
        <v>127.7</v>
      </c>
      <c r="T104" s="64">
        <v>131.6</v>
      </c>
      <c r="U104" s="64">
        <v>127.8</v>
      </c>
      <c r="V104" s="64">
        <v>130.6</v>
      </c>
      <c r="W104" s="64">
        <v>128.5</v>
      </c>
      <c r="X104" s="64">
        <v>128.19999999999999</v>
      </c>
      <c r="Y104" s="64">
        <v>131</v>
      </c>
      <c r="Z104" s="64">
        <v>128.19999999999999</v>
      </c>
      <c r="AA104" s="64">
        <v>125.9</v>
      </c>
      <c r="AB104" s="64">
        <v>127.1</v>
      </c>
      <c r="AC104" s="64">
        <v>129.19999999999999</v>
      </c>
      <c r="AD104" s="64">
        <v>128.5</v>
      </c>
      <c r="AE104" s="64">
        <v>128.5</v>
      </c>
      <c r="AF104" s="64">
        <v>130.30000000000001</v>
      </c>
      <c r="AG104" s="104"/>
      <c r="AH104" s="47">
        <f t="shared" si="9"/>
        <v>133.69999999999999</v>
      </c>
      <c r="AI104" s="48">
        <f t="shared" si="10"/>
        <v>125.9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9"/>
        <v>0</v>
      </c>
      <c r="AI105" s="48">
        <f t="shared" si="10"/>
        <v>0</v>
      </c>
    </row>
    <row r="106" spans="1:37" x14ac:dyDescent="0.25">
      <c r="A106" s="105" t="s">
        <v>122</v>
      </c>
      <c r="B106" s="106">
        <v>131.69999999999999</v>
      </c>
      <c r="C106" s="106">
        <v>131</v>
      </c>
      <c r="D106" s="106">
        <v>133</v>
      </c>
      <c r="E106" s="106">
        <v>133</v>
      </c>
      <c r="F106" s="106">
        <v>133</v>
      </c>
      <c r="G106" s="106">
        <v>129</v>
      </c>
      <c r="H106" s="106">
        <v>130.69999999999999</v>
      </c>
      <c r="I106" s="106">
        <v>126.3</v>
      </c>
      <c r="J106" s="106">
        <v>129.4</v>
      </c>
      <c r="K106" s="106">
        <v>132</v>
      </c>
      <c r="L106" s="106">
        <v>130.80000000000001</v>
      </c>
      <c r="M106" s="106">
        <v>129.80000000000001</v>
      </c>
      <c r="N106" s="106">
        <v>130.69999999999999</v>
      </c>
      <c r="O106" s="106">
        <v>130.69999999999999</v>
      </c>
      <c r="P106" s="106">
        <v>130.80000000000001</v>
      </c>
      <c r="Q106" s="106">
        <v>131.19999999999999</v>
      </c>
      <c r="R106" s="106">
        <v>129</v>
      </c>
      <c r="S106" s="106">
        <v>129.69999999999999</v>
      </c>
      <c r="T106" s="106">
        <v>133.30000000000001</v>
      </c>
      <c r="U106" s="106">
        <v>128.19999999999999</v>
      </c>
      <c r="V106" s="106">
        <v>130</v>
      </c>
      <c r="W106" s="106">
        <v>135.69999999999999</v>
      </c>
      <c r="X106" s="106">
        <v>132.1</v>
      </c>
      <c r="Y106" s="106">
        <v>133.1</v>
      </c>
      <c r="Z106" s="106">
        <v>135.1</v>
      </c>
      <c r="AA106" s="106">
        <v>132.6</v>
      </c>
      <c r="AB106" s="106">
        <v>131.69999999999999</v>
      </c>
      <c r="AC106" s="106">
        <v>133.6</v>
      </c>
      <c r="AD106" s="106">
        <v>131.1</v>
      </c>
      <c r="AE106" s="106">
        <v>131.1</v>
      </c>
      <c r="AF106" s="106">
        <v>130.9</v>
      </c>
      <c r="AG106" s="107"/>
      <c r="AH106" s="47">
        <f t="shared" si="9"/>
        <v>135.69999999999999</v>
      </c>
      <c r="AI106" s="48">
        <f t="shared" si="10"/>
        <v>126.3</v>
      </c>
    </row>
    <row r="107" spans="1:37" x14ac:dyDescent="0.25">
      <c r="A107" s="103" t="s">
        <v>123</v>
      </c>
      <c r="B107" s="64">
        <v>123.5</v>
      </c>
      <c r="C107" s="64">
        <v>126</v>
      </c>
      <c r="D107" s="64">
        <v>132</v>
      </c>
      <c r="E107" s="64">
        <v>132</v>
      </c>
      <c r="F107" s="64">
        <v>132</v>
      </c>
      <c r="G107" s="64">
        <v>132</v>
      </c>
      <c r="H107" s="64">
        <v>129.80000000000001</v>
      </c>
      <c r="I107" s="64">
        <v>125.7</v>
      </c>
      <c r="J107" s="64">
        <v>132</v>
      </c>
      <c r="K107" s="64">
        <v>134</v>
      </c>
      <c r="L107" s="64">
        <v>136</v>
      </c>
      <c r="M107" s="64">
        <v>125.8</v>
      </c>
      <c r="N107" s="64">
        <v>127.9</v>
      </c>
      <c r="O107" s="64">
        <v>124</v>
      </c>
      <c r="P107" s="64">
        <v>125.7</v>
      </c>
      <c r="Q107" s="64">
        <v>122.3</v>
      </c>
      <c r="R107" s="64">
        <v>128</v>
      </c>
      <c r="S107" s="64">
        <v>130.6</v>
      </c>
      <c r="T107" s="64">
        <v>132.4</v>
      </c>
      <c r="U107" s="64">
        <v>131.19999999999999</v>
      </c>
      <c r="V107" s="64">
        <v>130.1</v>
      </c>
      <c r="W107" s="64">
        <v>138.9</v>
      </c>
      <c r="X107" s="64">
        <v>134.19999999999999</v>
      </c>
      <c r="Y107" s="64">
        <v>137</v>
      </c>
      <c r="Z107" s="64">
        <v>125.8</v>
      </c>
      <c r="AA107" s="64">
        <v>131.1</v>
      </c>
      <c r="AB107" s="64">
        <v>122.2</v>
      </c>
      <c r="AC107" s="64">
        <v>125.3</v>
      </c>
      <c r="AD107" s="64">
        <v>127</v>
      </c>
      <c r="AE107" s="64">
        <v>127</v>
      </c>
      <c r="AF107" s="64">
        <v>130.80000000000001</v>
      </c>
      <c r="AG107" s="104"/>
      <c r="AH107" s="47">
        <f t="shared" si="9"/>
        <v>138.9</v>
      </c>
      <c r="AI107" s="48">
        <f t="shared" si="10"/>
        <v>122.2</v>
      </c>
    </row>
    <row r="108" spans="1:37" ht="15.75" thickBot="1" x14ac:dyDescent="0.3">
      <c r="A108" s="103" t="s">
        <v>124</v>
      </c>
      <c r="B108" s="92">
        <v>64</v>
      </c>
      <c r="C108" s="92">
        <v>64.7</v>
      </c>
      <c r="D108" s="92">
        <v>65</v>
      </c>
      <c r="E108" s="92">
        <v>65</v>
      </c>
      <c r="F108" s="92">
        <v>65</v>
      </c>
      <c r="G108" s="92">
        <v>65</v>
      </c>
      <c r="H108" s="92">
        <v>64.8</v>
      </c>
      <c r="I108" s="92">
        <v>63.4</v>
      </c>
      <c r="J108" s="92">
        <v>64.2</v>
      </c>
      <c r="K108" s="92">
        <v>65</v>
      </c>
      <c r="L108" s="92">
        <v>64.2</v>
      </c>
      <c r="M108" s="92">
        <v>63.8</v>
      </c>
      <c r="N108" s="92">
        <v>62.3</v>
      </c>
      <c r="O108" s="92">
        <v>62.6</v>
      </c>
      <c r="P108" s="92">
        <v>63.3</v>
      </c>
      <c r="Q108" s="92">
        <v>63</v>
      </c>
      <c r="R108" s="92">
        <v>63.8</v>
      </c>
      <c r="S108" s="92">
        <v>63.7</v>
      </c>
      <c r="T108" s="92">
        <v>64</v>
      </c>
      <c r="U108" s="92">
        <v>63.2</v>
      </c>
      <c r="V108" s="92">
        <v>64</v>
      </c>
      <c r="W108" s="92">
        <v>64.3</v>
      </c>
      <c r="X108" s="92">
        <v>64.599999999999994</v>
      </c>
      <c r="Y108" s="92">
        <v>64.7</v>
      </c>
      <c r="Z108" s="92">
        <v>64.400000000000006</v>
      </c>
      <c r="AA108" s="92">
        <v>63.6</v>
      </c>
      <c r="AB108" s="92">
        <v>64.2</v>
      </c>
      <c r="AC108" s="92">
        <v>63.9</v>
      </c>
      <c r="AD108" s="92">
        <v>64.5</v>
      </c>
      <c r="AE108" s="92">
        <v>64.5</v>
      </c>
      <c r="AF108" s="92">
        <v>64.7</v>
      </c>
      <c r="AG108" s="108"/>
      <c r="AH108" s="47">
        <f t="shared" si="9"/>
        <v>65</v>
      </c>
      <c r="AI108" s="48">
        <f t="shared" si="10"/>
        <v>62.3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9"/>
        <v>0</v>
      </c>
      <c r="AI109" s="48">
        <f t="shared" si="10"/>
        <v>0</v>
      </c>
    </row>
    <row r="110" spans="1:37" ht="15.75" thickBot="1" x14ac:dyDescent="0.3">
      <c r="A110" s="110" t="s">
        <v>126</v>
      </c>
      <c r="B110" s="111">
        <v>137.19999999999999</v>
      </c>
      <c r="C110" s="111">
        <f t="shared" ref="C110:O110" si="16">SUM(C20,C26,C29:C30,C58,C60:C61,C63,C65,C111:C115,C138,C144,C150,C159,C161,C173,C180,C183:C184,C191,C193,C195,C199:C201,C203:C205,C210,C216:C217,C219:C221,C229,C234)</f>
        <v>56.44</v>
      </c>
      <c r="D110" s="111">
        <f t="shared" si="16"/>
        <v>49.539999999999992</v>
      </c>
      <c r="E110" s="111">
        <f t="shared" si="16"/>
        <v>49.539999999999992</v>
      </c>
      <c r="F110" s="111">
        <f t="shared" si="16"/>
        <v>44.539999999999992</v>
      </c>
      <c r="G110" s="111">
        <f t="shared" si="16"/>
        <v>86.239999999999981</v>
      </c>
      <c r="H110" s="111">
        <f t="shared" si="16"/>
        <v>88.639999999999972</v>
      </c>
      <c r="I110" s="111">
        <f t="shared" si="16"/>
        <v>107.83999999999997</v>
      </c>
      <c r="J110" s="111">
        <f t="shared" si="16"/>
        <v>124.14</v>
      </c>
      <c r="K110" s="111">
        <f t="shared" si="16"/>
        <v>132.44</v>
      </c>
      <c r="L110" s="111">
        <f t="shared" si="16"/>
        <v>144.34</v>
      </c>
      <c r="M110" s="111">
        <f t="shared" si="16"/>
        <v>158.04000000000002</v>
      </c>
      <c r="N110" s="111">
        <f t="shared" si="16"/>
        <v>231.14</v>
      </c>
      <c r="O110" s="111">
        <f t="shared" si="16"/>
        <v>178.94</v>
      </c>
      <c r="P110" s="111">
        <v>42</v>
      </c>
      <c r="Q110" s="111">
        <f t="shared" ref="Q110:AF110" si="17">SUM(Q20,Q26,Q29:Q30,Q58,Q60:Q61,Q63,Q65,Q111:Q115,Q138,Q144,Q150,Q159,Q161,Q173,Q180,Q183:Q184,Q191,Q193,Q195,Q199:Q201,Q203:Q205,Q210,Q216:Q217,Q219:Q221,Q229,Q234)</f>
        <v>162.70000000000002</v>
      </c>
      <c r="R110" s="111">
        <f t="shared" si="17"/>
        <v>166.7</v>
      </c>
      <c r="S110" s="111">
        <f t="shared" si="17"/>
        <v>192.5</v>
      </c>
      <c r="T110" s="111">
        <f t="shared" si="17"/>
        <v>240.70000000000002</v>
      </c>
      <c r="U110" s="111">
        <f t="shared" si="17"/>
        <v>207.9</v>
      </c>
      <c r="V110" s="111">
        <f t="shared" si="17"/>
        <v>174.3</v>
      </c>
      <c r="W110" s="111">
        <f t="shared" si="17"/>
        <v>154.70000000000002</v>
      </c>
      <c r="X110" s="111">
        <f t="shared" si="17"/>
        <v>152.89999999999998</v>
      </c>
      <c r="Y110" s="111">
        <f t="shared" si="17"/>
        <v>184.6</v>
      </c>
      <c r="Z110" s="111">
        <f t="shared" si="17"/>
        <v>213.6</v>
      </c>
      <c r="AA110" s="111">
        <f t="shared" si="17"/>
        <v>257.2</v>
      </c>
      <c r="AB110" s="111">
        <f t="shared" si="17"/>
        <v>232.89999999999998</v>
      </c>
      <c r="AC110" s="111">
        <f t="shared" si="17"/>
        <v>229</v>
      </c>
      <c r="AD110" s="111"/>
      <c r="AE110" s="111">
        <f t="shared" si="17"/>
        <v>85.400000000000034</v>
      </c>
      <c r="AF110" s="111">
        <f t="shared" si="17"/>
        <v>62.299999999999976</v>
      </c>
      <c r="AG110" s="112"/>
      <c r="AH110" s="47">
        <f t="shared" si="9"/>
        <v>257.2</v>
      </c>
      <c r="AI110" s="48">
        <f t="shared" si="10"/>
        <v>42</v>
      </c>
    </row>
    <row r="111" spans="1:37" x14ac:dyDescent="0.25">
      <c r="A111" s="100" t="s">
        <v>127</v>
      </c>
      <c r="B111" s="113">
        <v>49</v>
      </c>
      <c r="C111" s="113">
        <v>58</v>
      </c>
      <c r="D111" s="113">
        <v>44</v>
      </c>
      <c r="E111" s="113">
        <v>44</v>
      </c>
      <c r="F111" s="113">
        <v>44</v>
      </c>
      <c r="G111" s="113">
        <v>38</v>
      </c>
      <c r="H111" s="113">
        <v>40.6</v>
      </c>
      <c r="I111" s="113">
        <v>43.1</v>
      </c>
      <c r="J111" s="113">
        <v>37.799999999999997</v>
      </c>
      <c r="K111" s="113">
        <v>34.299999999999997</v>
      </c>
      <c r="L111" s="113">
        <v>34</v>
      </c>
      <c r="M111" s="113">
        <v>34.6</v>
      </c>
      <c r="N111" s="113">
        <v>35.299999999999997</v>
      </c>
      <c r="O111" s="113">
        <v>31</v>
      </c>
      <c r="P111" s="113">
        <v>23.1</v>
      </c>
      <c r="Q111" s="113">
        <v>21.5</v>
      </c>
      <c r="R111" s="113">
        <v>13.8</v>
      </c>
      <c r="S111" s="113">
        <v>30.9</v>
      </c>
      <c r="T111" s="113">
        <v>34.700000000000003</v>
      </c>
      <c r="U111" s="113">
        <v>38</v>
      </c>
      <c r="V111" s="113">
        <v>27</v>
      </c>
      <c r="W111" s="113">
        <v>33</v>
      </c>
      <c r="X111" s="113">
        <v>30.9</v>
      </c>
      <c r="Y111" s="113">
        <v>35</v>
      </c>
      <c r="Z111" s="113">
        <v>32</v>
      </c>
      <c r="AA111" s="113">
        <v>42</v>
      </c>
      <c r="AB111" s="113">
        <v>49</v>
      </c>
      <c r="AC111" s="113">
        <v>48.6</v>
      </c>
      <c r="AD111" s="113">
        <v>44.4</v>
      </c>
      <c r="AE111" s="113">
        <v>32</v>
      </c>
      <c r="AF111" s="113">
        <v>23.5</v>
      </c>
      <c r="AG111" s="114">
        <v>75</v>
      </c>
      <c r="AH111" s="47">
        <f t="shared" si="9"/>
        <v>58</v>
      </c>
      <c r="AI111" s="48">
        <f t="shared" si="10"/>
        <v>13.8</v>
      </c>
    </row>
    <row r="112" spans="1:37" x14ac:dyDescent="0.25">
      <c r="A112" s="103" t="s">
        <v>128</v>
      </c>
      <c r="B112" s="115">
        <v>27</v>
      </c>
      <c r="C112" s="115">
        <v>33.9</v>
      </c>
      <c r="D112" s="115">
        <v>23</v>
      </c>
      <c r="E112" s="115">
        <v>23</v>
      </c>
      <c r="F112" s="115">
        <v>23</v>
      </c>
      <c r="G112" s="115">
        <v>58.9</v>
      </c>
      <c r="H112" s="115">
        <v>63.3</v>
      </c>
      <c r="I112" s="115">
        <v>65.599999999999994</v>
      </c>
      <c r="J112" s="115">
        <v>58</v>
      </c>
      <c r="K112" s="115">
        <v>52.7</v>
      </c>
      <c r="L112" s="115">
        <v>52.7</v>
      </c>
      <c r="M112" s="115">
        <v>51.2</v>
      </c>
      <c r="N112" s="115">
        <v>52.1</v>
      </c>
      <c r="O112" s="115">
        <v>44.5</v>
      </c>
      <c r="P112" s="115">
        <v>34.299999999999997</v>
      </c>
      <c r="Q112" s="115">
        <v>30.2</v>
      </c>
      <c r="R112" s="115">
        <v>23.6</v>
      </c>
      <c r="S112" s="115">
        <v>50</v>
      </c>
      <c r="T112" s="115">
        <v>50</v>
      </c>
      <c r="U112" s="115">
        <v>54.6</v>
      </c>
      <c r="V112" s="115">
        <v>42</v>
      </c>
      <c r="W112" s="115">
        <v>47.4</v>
      </c>
      <c r="X112" s="115">
        <v>44.3</v>
      </c>
      <c r="Y112" s="115">
        <v>49</v>
      </c>
      <c r="Z112" s="115">
        <v>45.4</v>
      </c>
      <c r="AA112" s="115">
        <v>60</v>
      </c>
      <c r="AB112" s="115">
        <v>74.3</v>
      </c>
      <c r="AC112" s="115">
        <v>71.7</v>
      </c>
      <c r="AD112" s="115">
        <v>71.7</v>
      </c>
      <c r="AE112" s="115">
        <v>51</v>
      </c>
      <c r="AF112" s="115">
        <v>39.1</v>
      </c>
      <c r="AG112" s="114">
        <v>240</v>
      </c>
      <c r="AH112" s="47">
        <f t="shared" si="9"/>
        <v>74.3</v>
      </c>
      <c r="AI112" s="48">
        <f t="shared" si="10"/>
        <v>23</v>
      </c>
    </row>
    <row r="113" spans="1:37" x14ac:dyDescent="0.25">
      <c r="A113" s="103" t="s">
        <v>129</v>
      </c>
      <c r="B113" s="115">
        <v>-160</v>
      </c>
      <c r="C113" s="115">
        <v>-185</v>
      </c>
      <c r="D113" s="115">
        <v>-185</v>
      </c>
      <c r="E113" s="115">
        <v>-185</v>
      </c>
      <c r="F113" s="115">
        <v>-185</v>
      </c>
      <c r="G113" s="115">
        <f>-74.7-80.4</f>
        <v>-155.10000000000002</v>
      </c>
      <c r="H113" s="115">
        <f>-77.7-82.8</f>
        <v>-160.5</v>
      </c>
      <c r="I113" s="115">
        <f>-73.2-77.7</f>
        <v>-150.9</v>
      </c>
      <c r="J113" s="115">
        <f>-58.1-62.3</f>
        <v>-120.4</v>
      </c>
      <c r="K113" s="115">
        <f>-60.8-60.2</f>
        <v>-121</v>
      </c>
      <c r="L113" s="115">
        <f>-59.9-51</f>
        <v>-110.9</v>
      </c>
      <c r="M113" s="115">
        <v>-104</v>
      </c>
      <c r="N113" s="115">
        <v>-80.7</v>
      </c>
      <c r="O113" s="115">
        <v>-80</v>
      </c>
      <c r="P113" s="115">
        <v>-110</v>
      </c>
      <c r="Q113" s="115">
        <v>-119</v>
      </c>
      <c r="R113" s="115">
        <v>-102</v>
      </c>
      <c r="S113" s="115">
        <v>-120</v>
      </c>
      <c r="T113" s="115">
        <v>-96</v>
      </c>
      <c r="U113" s="115">
        <v>-110</v>
      </c>
      <c r="V113" s="115">
        <v>-106</v>
      </c>
      <c r="W113" s="115">
        <v>-119</v>
      </c>
      <c r="X113" s="115">
        <v>-115</v>
      </c>
      <c r="Y113" s="115">
        <v>-110</v>
      </c>
      <c r="Z113" s="115">
        <v>-97</v>
      </c>
      <c r="AA113" s="115">
        <v>-96</v>
      </c>
      <c r="AB113" s="115">
        <f>-60.5-63.3</f>
        <v>-123.8</v>
      </c>
      <c r="AC113" s="115">
        <v>-131</v>
      </c>
      <c r="AD113" s="115">
        <v>-154</v>
      </c>
      <c r="AE113" s="115">
        <f>-78.1-76.8</f>
        <v>-154.89999999999998</v>
      </c>
      <c r="AF113" s="115">
        <f>-73.1-76.4</f>
        <v>-149.5</v>
      </c>
      <c r="AG113" s="114">
        <v>240</v>
      </c>
      <c r="AH113" s="47">
        <f t="shared" si="9"/>
        <v>-80</v>
      </c>
      <c r="AI113" s="48">
        <f t="shared" si="10"/>
        <v>-185</v>
      </c>
    </row>
    <row r="114" spans="1:37" x14ac:dyDescent="0.25">
      <c r="A114" s="103" t="s">
        <v>130</v>
      </c>
      <c r="B114" s="115">
        <v>-9</v>
      </c>
      <c r="C114" s="115">
        <v>-20</v>
      </c>
      <c r="D114" s="115">
        <v>-2</v>
      </c>
      <c r="E114" s="115">
        <v>-2</v>
      </c>
      <c r="F114" s="115">
        <v>-2</v>
      </c>
      <c r="G114" s="115">
        <v>-14.7</v>
      </c>
      <c r="H114" s="115">
        <v>-14</v>
      </c>
      <c r="I114" s="115">
        <v>-8.8000000000000007</v>
      </c>
      <c r="J114" s="115">
        <v>-10.4</v>
      </c>
      <c r="K114" s="115">
        <v>6.5</v>
      </c>
      <c r="L114" s="115">
        <v>14.2</v>
      </c>
      <c r="M114" s="115">
        <v>16.3</v>
      </c>
      <c r="N114" s="115">
        <v>9.6999999999999993</v>
      </c>
      <c r="O114" s="115">
        <v>11.8</v>
      </c>
      <c r="P114" s="115">
        <v>-3.1</v>
      </c>
      <c r="Q114" s="115">
        <v>1.1000000000000001</v>
      </c>
      <c r="R114" s="115">
        <v>0.4</v>
      </c>
      <c r="S114" s="115">
        <v>3.7</v>
      </c>
      <c r="T114" s="115">
        <v>7.6</v>
      </c>
      <c r="U114" s="115">
        <v>4</v>
      </c>
      <c r="V114" s="115">
        <v>-4</v>
      </c>
      <c r="W114" s="115">
        <v>-3</v>
      </c>
      <c r="X114" s="115">
        <v>-1</v>
      </c>
      <c r="Y114" s="115">
        <v>3</v>
      </c>
      <c r="Z114" s="115">
        <v>8</v>
      </c>
      <c r="AA114" s="115">
        <v>7</v>
      </c>
      <c r="AB114" s="115">
        <v>3.8</v>
      </c>
      <c r="AC114" s="115">
        <v>0</v>
      </c>
      <c r="AD114" s="115">
        <v>-6.1</v>
      </c>
      <c r="AE114" s="115">
        <v>-8.9</v>
      </c>
      <c r="AF114" s="115">
        <v>-12.1</v>
      </c>
      <c r="AG114" s="114">
        <v>60</v>
      </c>
      <c r="AH114" s="47">
        <f t="shared" si="9"/>
        <v>16.3</v>
      </c>
      <c r="AI114" s="48">
        <f t="shared" si="10"/>
        <v>-20</v>
      </c>
    </row>
    <row r="115" spans="1:37" x14ac:dyDescent="0.25">
      <c r="A115" s="116" t="s">
        <v>131</v>
      </c>
      <c r="B115" s="117">
        <v>19</v>
      </c>
      <c r="C115" s="117">
        <v>19</v>
      </c>
      <c r="D115" s="117">
        <v>19</v>
      </c>
      <c r="E115" s="117">
        <v>19</v>
      </c>
      <c r="F115" s="117">
        <v>19</v>
      </c>
      <c r="G115" s="117">
        <v>18.2</v>
      </c>
      <c r="H115" s="117">
        <v>18.3</v>
      </c>
      <c r="I115" s="117">
        <v>17.899999999999999</v>
      </c>
      <c r="J115" s="117">
        <v>18.2</v>
      </c>
      <c r="K115" s="117">
        <v>19</v>
      </c>
      <c r="L115" s="117">
        <v>18.8</v>
      </c>
      <c r="M115" s="117">
        <v>18.7</v>
      </c>
      <c r="N115" s="117">
        <v>73.5</v>
      </c>
      <c r="O115" s="117">
        <v>86.7</v>
      </c>
      <c r="P115" s="117">
        <v>75.3</v>
      </c>
      <c r="Q115" s="117">
        <v>78</v>
      </c>
      <c r="R115" s="117">
        <v>78.2</v>
      </c>
      <c r="S115" s="117">
        <v>69</v>
      </c>
      <c r="T115" s="117">
        <v>88</v>
      </c>
      <c r="U115" s="117">
        <v>81</v>
      </c>
      <c r="V115" s="117">
        <v>70</v>
      </c>
      <c r="W115" s="117">
        <v>59</v>
      </c>
      <c r="X115" s="117">
        <v>57</v>
      </c>
      <c r="Y115" s="117">
        <v>69.400000000000006</v>
      </c>
      <c r="Z115" s="117">
        <v>87</v>
      </c>
      <c r="AA115" s="117">
        <v>92</v>
      </c>
      <c r="AB115" s="117">
        <v>64</v>
      </c>
      <c r="AC115" s="117">
        <v>64.2</v>
      </c>
      <c r="AD115" s="117">
        <v>46.4</v>
      </c>
      <c r="AE115" s="117">
        <v>5</v>
      </c>
      <c r="AF115" s="117">
        <v>5</v>
      </c>
      <c r="AG115" s="118">
        <v>120</v>
      </c>
      <c r="AH115" s="47">
        <f t="shared" si="9"/>
        <v>92</v>
      </c>
      <c r="AI115" s="48">
        <f t="shared" si="10"/>
        <v>5</v>
      </c>
    </row>
    <row r="116" spans="1:37" x14ac:dyDescent="0.25">
      <c r="A116" s="116" t="s">
        <v>132</v>
      </c>
      <c r="B116" s="117">
        <v>78</v>
      </c>
      <c r="C116" s="117">
        <v>70</v>
      </c>
      <c r="D116" s="117">
        <v>60</v>
      </c>
      <c r="E116" s="117">
        <v>60</v>
      </c>
      <c r="F116" s="117">
        <v>60</v>
      </c>
      <c r="G116" s="117">
        <v>56.5</v>
      </c>
      <c r="H116" s="117">
        <v>51.1</v>
      </c>
      <c r="I116" s="117">
        <v>67.400000000000006</v>
      </c>
      <c r="J116" s="117">
        <v>78.599999999999994</v>
      </c>
      <c r="K116" s="117">
        <v>74</v>
      </c>
      <c r="L116" s="117">
        <v>70.5</v>
      </c>
      <c r="M116" s="117">
        <v>80.099999999999994</v>
      </c>
      <c r="N116" s="117">
        <v>76.8</v>
      </c>
      <c r="O116" s="117">
        <v>88.1</v>
      </c>
      <c r="P116" s="117">
        <v>73.8</v>
      </c>
      <c r="Q116" s="117">
        <v>80.7</v>
      </c>
      <c r="R116" s="117">
        <v>78</v>
      </c>
      <c r="S116" s="117">
        <v>71</v>
      </c>
      <c r="T116" s="117">
        <v>71</v>
      </c>
      <c r="U116" s="117">
        <v>67</v>
      </c>
      <c r="V116" s="117">
        <v>66</v>
      </c>
      <c r="W116" s="117">
        <v>59</v>
      </c>
      <c r="X116" s="117">
        <v>51</v>
      </c>
      <c r="Y116" s="117">
        <v>49</v>
      </c>
      <c r="Z116" s="117">
        <v>64</v>
      </c>
      <c r="AA116" s="117">
        <v>65</v>
      </c>
      <c r="AB116" s="117">
        <v>55.1</v>
      </c>
      <c r="AC116" s="117">
        <v>58.2</v>
      </c>
      <c r="AD116" s="117">
        <v>51.3</v>
      </c>
      <c r="AE116" s="117">
        <v>68.099999999999994</v>
      </c>
      <c r="AF116" s="117">
        <v>72.5</v>
      </c>
      <c r="AG116" s="118"/>
      <c r="AH116" s="47">
        <f t="shared" si="9"/>
        <v>88.1</v>
      </c>
      <c r="AI116" s="48">
        <f t="shared" si="10"/>
        <v>49</v>
      </c>
    </row>
    <row r="117" spans="1:37" x14ac:dyDescent="0.25">
      <c r="A117" s="116" t="s">
        <v>133</v>
      </c>
      <c r="B117" s="117">
        <v>58</v>
      </c>
      <c r="C117" s="117">
        <v>70</v>
      </c>
      <c r="D117" s="117">
        <v>55</v>
      </c>
      <c r="E117" s="117">
        <v>84</v>
      </c>
      <c r="F117" s="117">
        <v>52</v>
      </c>
      <c r="G117" s="117">
        <v>50.9</v>
      </c>
      <c r="H117" s="117">
        <v>45.4</v>
      </c>
      <c r="I117" s="117">
        <v>50.6</v>
      </c>
      <c r="J117" s="117">
        <v>50.6</v>
      </c>
      <c r="K117" s="117">
        <v>56.2</v>
      </c>
      <c r="L117" s="117">
        <v>52.4</v>
      </c>
      <c r="M117" s="117">
        <v>50.6</v>
      </c>
      <c r="N117" s="117">
        <v>15.6</v>
      </c>
      <c r="O117" s="117">
        <v>32</v>
      </c>
      <c r="P117" s="117">
        <v>55.8</v>
      </c>
      <c r="Q117" s="117">
        <v>47.9</v>
      </c>
      <c r="R117" s="117">
        <v>49.6</v>
      </c>
      <c r="S117" s="117">
        <v>51</v>
      </c>
      <c r="T117" s="117">
        <v>37</v>
      </c>
      <c r="U117" s="117">
        <v>22</v>
      </c>
      <c r="V117" s="117">
        <v>43</v>
      </c>
      <c r="W117" s="117">
        <v>22</v>
      </c>
      <c r="X117" s="117">
        <v>25</v>
      </c>
      <c r="Y117" s="117">
        <v>32</v>
      </c>
      <c r="Z117" s="117">
        <v>40</v>
      </c>
      <c r="AA117" s="117">
        <v>38</v>
      </c>
      <c r="AB117" s="117">
        <v>43</v>
      </c>
      <c r="AC117" s="117">
        <v>44.4</v>
      </c>
      <c r="AD117" s="117">
        <v>45.1</v>
      </c>
      <c r="AE117" s="117">
        <v>48.5</v>
      </c>
      <c r="AF117" s="117">
        <v>49.1</v>
      </c>
      <c r="AG117" s="119"/>
      <c r="AH117" s="47">
        <f t="shared" si="9"/>
        <v>84</v>
      </c>
      <c r="AI117" s="48">
        <f t="shared" si="10"/>
        <v>15.6</v>
      </c>
    </row>
    <row r="118" spans="1:37" x14ac:dyDescent="0.25">
      <c r="A118" s="120" t="s">
        <v>134</v>
      </c>
      <c r="B118" s="106">
        <v>47</v>
      </c>
      <c r="C118" s="106">
        <v>55</v>
      </c>
      <c r="D118" s="106">
        <v>46</v>
      </c>
      <c r="E118" s="106">
        <v>45</v>
      </c>
      <c r="F118" s="106">
        <v>24</v>
      </c>
      <c r="G118" s="106">
        <v>14.04</v>
      </c>
      <c r="H118" s="106">
        <v>15.8</v>
      </c>
      <c r="I118" s="106">
        <v>25.5</v>
      </c>
      <c r="J118" s="106">
        <v>25.5</v>
      </c>
      <c r="K118" s="106">
        <v>25.7</v>
      </c>
      <c r="L118" s="106">
        <v>25.8</v>
      </c>
      <c r="M118" s="106">
        <v>31.2</v>
      </c>
      <c r="N118" s="106">
        <v>34.799999999999997</v>
      </c>
      <c r="O118" s="106">
        <v>34.5</v>
      </c>
      <c r="P118" s="106">
        <v>40.200000000000003</v>
      </c>
      <c r="Q118" s="106">
        <v>45</v>
      </c>
      <c r="R118" s="106">
        <v>43</v>
      </c>
      <c r="S118" s="106">
        <v>36</v>
      </c>
      <c r="T118" s="106">
        <v>33</v>
      </c>
      <c r="U118" s="106">
        <v>34</v>
      </c>
      <c r="V118" s="106">
        <v>34</v>
      </c>
      <c r="W118" s="106">
        <v>31</v>
      </c>
      <c r="X118" s="106">
        <v>35</v>
      </c>
      <c r="Y118" s="106">
        <v>19</v>
      </c>
      <c r="Z118" s="106">
        <v>12</v>
      </c>
      <c r="AA118" s="106">
        <v>21</v>
      </c>
      <c r="AB118" s="106">
        <v>19.8</v>
      </c>
      <c r="AC118" s="106">
        <v>29.7</v>
      </c>
      <c r="AD118" s="106">
        <v>29.7</v>
      </c>
      <c r="AE118" s="106">
        <v>45.5</v>
      </c>
      <c r="AF118" s="106">
        <v>45.8</v>
      </c>
      <c r="AG118" s="119"/>
      <c r="AH118" s="47">
        <f t="shared" si="9"/>
        <v>55</v>
      </c>
      <c r="AI118" s="48">
        <f t="shared" si="10"/>
        <v>12</v>
      </c>
    </row>
    <row r="119" spans="1:37" x14ac:dyDescent="0.25">
      <c r="A119" s="121" t="s">
        <v>135</v>
      </c>
      <c r="B119" s="106">
        <v>65</v>
      </c>
      <c r="C119" s="106">
        <v>85</v>
      </c>
      <c r="D119" s="106">
        <v>90</v>
      </c>
      <c r="E119" s="106">
        <v>90</v>
      </c>
      <c r="F119" s="106">
        <v>90</v>
      </c>
      <c r="G119" s="106">
        <v>90</v>
      </c>
      <c r="H119" s="106">
        <v>75.5</v>
      </c>
      <c r="I119" s="106">
        <v>67.2</v>
      </c>
      <c r="J119" s="106">
        <v>67.2</v>
      </c>
      <c r="K119" s="106">
        <v>52.9</v>
      </c>
      <c r="L119" s="106">
        <v>0</v>
      </c>
      <c r="M119" s="106">
        <v>0</v>
      </c>
      <c r="N119" s="106">
        <v>0</v>
      </c>
      <c r="O119" s="106">
        <v>0</v>
      </c>
      <c r="P119" s="106">
        <v>0</v>
      </c>
      <c r="Q119" s="106">
        <v>0</v>
      </c>
      <c r="R119" s="106">
        <v>0</v>
      </c>
      <c r="S119" s="106">
        <v>95</v>
      </c>
      <c r="T119" s="106">
        <v>74</v>
      </c>
      <c r="U119" s="106">
        <v>82</v>
      </c>
      <c r="V119" s="106">
        <v>83</v>
      </c>
      <c r="W119" s="106">
        <v>91</v>
      </c>
      <c r="X119" s="106">
        <v>87</v>
      </c>
      <c r="Y119" s="106">
        <v>45</v>
      </c>
      <c r="Z119" s="106">
        <v>40</v>
      </c>
      <c r="AA119" s="106">
        <v>38</v>
      </c>
      <c r="AB119" s="106">
        <v>54.1</v>
      </c>
      <c r="AC119" s="106">
        <v>50</v>
      </c>
      <c r="AD119" s="106">
        <v>68.400000000000006</v>
      </c>
      <c r="AE119" s="106">
        <v>73.8</v>
      </c>
      <c r="AF119" s="106">
        <v>75.099999999999994</v>
      </c>
      <c r="AG119" s="119"/>
      <c r="AH119" s="47">
        <f t="shared" si="9"/>
        <v>95</v>
      </c>
      <c r="AI119" s="48">
        <f t="shared" si="10"/>
        <v>0</v>
      </c>
    </row>
    <row r="120" spans="1:37" ht="15.75" thickBot="1" x14ac:dyDescent="0.3">
      <c r="A120" s="120" t="s">
        <v>136</v>
      </c>
      <c r="B120" s="106">
        <v>44</v>
      </c>
      <c r="C120" s="106">
        <v>28</v>
      </c>
      <c r="D120" s="106">
        <v>58</v>
      </c>
      <c r="E120" s="106">
        <v>59</v>
      </c>
      <c r="F120" s="106">
        <v>62</v>
      </c>
      <c r="G120" s="106">
        <v>7.1</v>
      </c>
      <c r="H120" s="106">
        <v>4.5</v>
      </c>
      <c r="I120" s="106">
        <v>25.5</v>
      </c>
      <c r="J120" s="106">
        <v>25.5</v>
      </c>
      <c r="K120" s="106">
        <v>10.4</v>
      </c>
      <c r="L120" s="106">
        <v>1.6</v>
      </c>
      <c r="M120" s="106">
        <v>8.3000000000000007</v>
      </c>
      <c r="N120" s="106">
        <v>0.2</v>
      </c>
      <c r="O120" s="106">
        <v>2.8</v>
      </c>
      <c r="P120" s="106">
        <v>2.4</v>
      </c>
      <c r="Q120" s="106">
        <v>1.2</v>
      </c>
      <c r="R120" s="106">
        <v>-8.6</v>
      </c>
      <c r="S120" s="106">
        <v>41</v>
      </c>
      <c r="T120" s="106">
        <v>11</v>
      </c>
      <c r="U120" s="106">
        <v>26</v>
      </c>
      <c r="V120" s="106">
        <v>25</v>
      </c>
      <c r="W120" s="106">
        <v>20</v>
      </c>
      <c r="X120" s="106">
        <v>29</v>
      </c>
      <c r="Y120" s="106">
        <v>25</v>
      </c>
      <c r="Z120" s="106">
        <v>29</v>
      </c>
      <c r="AA120" s="106">
        <v>36</v>
      </c>
      <c r="AB120" s="106">
        <v>37.299999999999997</v>
      </c>
      <c r="AC120" s="106">
        <v>47</v>
      </c>
      <c r="AD120" s="106">
        <v>29.8</v>
      </c>
      <c r="AE120" s="106">
        <v>31.5</v>
      </c>
      <c r="AF120" s="106">
        <v>32.4</v>
      </c>
      <c r="AG120" s="119"/>
      <c r="AH120" s="47">
        <f t="shared" si="9"/>
        <v>62</v>
      </c>
      <c r="AI120" s="48">
        <f t="shared" si="10"/>
        <v>-8.6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18">SUM(B122:B226)</f>
        <v>0</v>
      </c>
      <c r="C227" s="137">
        <f t="shared" si="18"/>
        <v>0</v>
      </c>
      <c r="D227" s="137">
        <f t="shared" si="18"/>
        <v>0</v>
      </c>
      <c r="E227" s="137">
        <f t="shared" si="18"/>
        <v>0</v>
      </c>
      <c r="F227" s="137">
        <f t="shared" si="18"/>
        <v>0</v>
      </c>
      <c r="G227" s="137">
        <f t="shared" si="18"/>
        <v>0</v>
      </c>
      <c r="H227" s="137">
        <f t="shared" si="18"/>
        <v>0</v>
      </c>
      <c r="I227" s="137">
        <f t="shared" si="18"/>
        <v>0</v>
      </c>
      <c r="J227" s="137">
        <f t="shared" si="18"/>
        <v>0</v>
      </c>
      <c r="K227" s="137">
        <f t="shared" si="18"/>
        <v>0</v>
      </c>
      <c r="L227" s="137">
        <f t="shared" si="18"/>
        <v>0</v>
      </c>
      <c r="M227" s="137">
        <f t="shared" si="18"/>
        <v>0</v>
      </c>
      <c r="N227" s="137">
        <f t="shared" si="18"/>
        <v>0</v>
      </c>
      <c r="O227" s="137">
        <f t="shared" si="18"/>
        <v>0</v>
      </c>
      <c r="P227" s="137">
        <f t="shared" si="18"/>
        <v>0</v>
      </c>
      <c r="Q227" s="137">
        <f t="shared" si="18"/>
        <v>0</v>
      </c>
      <c r="R227" s="137">
        <f t="shared" si="18"/>
        <v>0</v>
      </c>
      <c r="S227" s="137">
        <f t="shared" si="18"/>
        <v>0</v>
      </c>
      <c r="T227" s="137">
        <f t="shared" si="18"/>
        <v>0</v>
      </c>
      <c r="U227" s="137">
        <f t="shared" si="18"/>
        <v>0</v>
      </c>
      <c r="V227" s="137">
        <f t="shared" si="18"/>
        <v>0</v>
      </c>
      <c r="W227" s="137">
        <f t="shared" si="18"/>
        <v>0</v>
      </c>
      <c r="X227" s="137">
        <f t="shared" si="18"/>
        <v>0</v>
      </c>
      <c r="Y227" s="137">
        <f t="shared" si="18"/>
        <v>0</v>
      </c>
      <c r="Z227" s="137">
        <f t="shared" si="18"/>
        <v>0</v>
      </c>
      <c r="AA227" s="137">
        <f t="shared" si="18"/>
        <v>0</v>
      </c>
      <c r="AB227" s="137">
        <f t="shared" si="18"/>
        <v>0</v>
      </c>
      <c r="AC227" s="137">
        <f t="shared" si="18"/>
        <v>0</v>
      </c>
      <c r="AD227" s="137">
        <f t="shared" si="18"/>
        <v>0</v>
      </c>
      <c r="AE227" s="137">
        <f t="shared" si="18"/>
        <v>0</v>
      </c>
      <c r="AF227" s="138">
        <f t="shared" si="18"/>
        <v>0</v>
      </c>
      <c r="AG227" s="139">
        <f t="shared" si="18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19">AF229</f>
        <v>0</v>
      </c>
      <c r="C229" s="141">
        <v>0.3</v>
      </c>
      <c r="D229" s="141">
        <f t="shared" ref="D229:P234" si="20">C229</f>
        <v>0.3</v>
      </c>
      <c r="E229" s="141">
        <f t="shared" si="20"/>
        <v>0.3</v>
      </c>
      <c r="F229" s="141">
        <f t="shared" si="20"/>
        <v>0.3</v>
      </c>
      <c r="G229" s="141">
        <f t="shared" si="20"/>
        <v>0.3</v>
      </c>
      <c r="H229" s="141">
        <f t="shared" si="20"/>
        <v>0.3</v>
      </c>
      <c r="I229" s="141">
        <f t="shared" si="20"/>
        <v>0.3</v>
      </c>
      <c r="J229" s="141">
        <f t="shared" si="20"/>
        <v>0.3</v>
      </c>
      <c r="K229" s="141">
        <f t="shared" si="20"/>
        <v>0.3</v>
      </c>
      <c r="L229" s="141">
        <f t="shared" si="20"/>
        <v>0.3</v>
      </c>
      <c r="M229" s="141">
        <f t="shared" si="20"/>
        <v>0.3</v>
      </c>
      <c r="N229" s="141">
        <f t="shared" si="20"/>
        <v>0.3</v>
      </c>
      <c r="O229" s="141">
        <f t="shared" si="20"/>
        <v>0.3</v>
      </c>
      <c r="P229" s="141">
        <f t="shared" si="20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19"/>
        <v>0</v>
      </c>
      <c r="C230" s="129">
        <v>0.4</v>
      </c>
      <c r="D230" s="129">
        <f t="shared" si="20"/>
        <v>0.4</v>
      </c>
      <c r="E230" s="129">
        <f t="shared" si="20"/>
        <v>0.4</v>
      </c>
      <c r="F230" s="129">
        <f t="shared" si="20"/>
        <v>0.4</v>
      </c>
      <c r="G230" s="129">
        <f t="shared" si="20"/>
        <v>0.4</v>
      </c>
      <c r="H230" s="129">
        <f t="shared" si="20"/>
        <v>0.4</v>
      </c>
      <c r="I230" s="129">
        <f t="shared" si="20"/>
        <v>0.4</v>
      </c>
      <c r="J230" s="129">
        <f t="shared" si="20"/>
        <v>0.4</v>
      </c>
      <c r="K230" s="129">
        <f t="shared" si="20"/>
        <v>0.4</v>
      </c>
      <c r="L230" s="129">
        <f t="shared" si="20"/>
        <v>0.4</v>
      </c>
      <c r="M230" s="129">
        <f t="shared" si="20"/>
        <v>0.4</v>
      </c>
      <c r="N230" s="129">
        <f t="shared" si="20"/>
        <v>0.4</v>
      </c>
      <c r="O230" s="129">
        <f t="shared" si="20"/>
        <v>0.4</v>
      </c>
      <c r="P230" s="129">
        <f t="shared" si="20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19"/>
        <v>0</v>
      </c>
      <c r="C231" s="129">
        <v>1.5</v>
      </c>
      <c r="D231" s="129">
        <f t="shared" si="20"/>
        <v>1.5</v>
      </c>
      <c r="E231" s="129">
        <f t="shared" si="20"/>
        <v>1.5</v>
      </c>
      <c r="F231" s="129">
        <f t="shared" si="20"/>
        <v>1.5</v>
      </c>
      <c r="G231" s="129">
        <f t="shared" si="20"/>
        <v>1.5</v>
      </c>
      <c r="H231" s="129">
        <f t="shared" si="20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20"/>
        <v>123.21900000000009</v>
      </c>
      <c r="K231" s="129">
        <f t="shared" ca="1" si="20"/>
        <v>123.21900000000009</v>
      </c>
      <c r="L231" s="129">
        <f t="shared" ca="1" si="20"/>
        <v>123.21900000000009</v>
      </c>
      <c r="M231" s="129">
        <f t="shared" ca="1" si="20"/>
        <v>119.19900000000008</v>
      </c>
      <c r="N231" s="129">
        <f t="shared" ca="1" si="20"/>
        <v>119.19900000000008</v>
      </c>
      <c r="O231" s="129">
        <f t="shared" ca="1" si="20"/>
        <v>119.19900000000008</v>
      </c>
      <c r="P231" s="129">
        <f t="shared" ca="1" si="20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19"/>
        <v>0</v>
      </c>
      <c r="C232" s="129">
        <v>0.3</v>
      </c>
      <c r="D232" s="129">
        <f t="shared" si="20"/>
        <v>0.3</v>
      </c>
      <c r="E232" s="129">
        <f t="shared" si="20"/>
        <v>0.3</v>
      </c>
      <c r="F232" s="129">
        <f t="shared" si="20"/>
        <v>0.3</v>
      </c>
      <c r="G232" s="129">
        <f t="shared" si="20"/>
        <v>0.3</v>
      </c>
      <c r="H232" s="129">
        <f t="shared" si="20"/>
        <v>0.3</v>
      </c>
      <c r="I232" s="129">
        <f t="shared" si="20"/>
        <v>0.3</v>
      </c>
      <c r="J232" s="129">
        <f t="shared" si="20"/>
        <v>0.3</v>
      </c>
      <c r="K232" s="129">
        <f t="shared" si="20"/>
        <v>0.3</v>
      </c>
      <c r="L232" s="129">
        <f t="shared" si="20"/>
        <v>0.3</v>
      </c>
      <c r="M232" s="129">
        <f t="shared" si="20"/>
        <v>0.3</v>
      </c>
      <c r="N232" s="129">
        <f t="shared" si="20"/>
        <v>0.3</v>
      </c>
      <c r="O232" s="129">
        <f t="shared" si="20"/>
        <v>0.3</v>
      </c>
      <c r="P232" s="129">
        <f t="shared" si="20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19"/>
        <v>0</v>
      </c>
      <c r="C233" s="129">
        <v>0.4</v>
      </c>
      <c r="D233" s="129">
        <f t="shared" si="20"/>
        <v>0.4</v>
      </c>
      <c r="E233" s="129">
        <f t="shared" si="20"/>
        <v>0.4</v>
      </c>
      <c r="F233" s="129">
        <f t="shared" si="20"/>
        <v>0.4</v>
      </c>
      <c r="G233" s="129">
        <f t="shared" si="20"/>
        <v>0.4</v>
      </c>
      <c r="H233" s="129">
        <f t="shared" si="20"/>
        <v>0.4</v>
      </c>
      <c r="I233" s="129">
        <f t="shared" si="20"/>
        <v>0.4</v>
      </c>
      <c r="J233" s="129">
        <f t="shared" si="20"/>
        <v>0.4</v>
      </c>
      <c r="K233" s="129">
        <f t="shared" si="20"/>
        <v>0.4</v>
      </c>
      <c r="L233" s="129">
        <f t="shared" si="20"/>
        <v>0.4</v>
      </c>
      <c r="M233" s="129">
        <f t="shared" si="20"/>
        <v>0.4</v>
      </c>
      <c r="N233" s="129">
        <f t="shared" si="20"/>
        <v>0.4</v>
      </c>
      <c r="O233" s="129">
        <f t="shared" si="20"/>
        <v>0.4</v>
      </c>
      <c r="P233" s="129">
        <f t="shared" si="20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19"/>
        <v>0</v>
      </c>
      <c r="C234" s="133">
        <v>0.64</v>
      </c>
      <c r="D234" s="133">
        <f t="shared" si="20"/>
        <v>0.64</v>
      </c>
      <c r="E234" s="133">
        <f t="shared" si="20"/>
        <v>0.64</v>
      </c>
      <c r="F234" s="133">
        <f t="shared" si="20"/>
        <v>0.64</v>
      </c>
      <c r="G234" s="133">
        <f t="shared" si="20"/>
        <v>0.64</v>
      </c>
      <c r="H234" s="133">
        <f t="shared" si="20"/>
        <v>0.64</v>
      </c>
      <c r="I234" s="133">
        <f t="shared" si="20"/>
        <v>0.64</v>
      </c>
      <c r="J234" s="133">
        <f t="shared" si="20"/>
        <v>0.64</v>
      </c>
      <c r="K234" s="133">
        <f t="shared" si="20"/>
        <v>0.64</v>
      </c>
      <c r="L234" s="133">
        <f t="shared" si="20"/>
        <v>0.64</v>
      </c>
      <c r="M234" s="133">
        <f t="shared" si="20"/>
        <v>0.64</v>
      </c>
      <c r="N234" s="133">
        <f t="shared" si="20"/>
        <v>0.64</v>
      </c>
      <c r="O234" s="133">
        <f t="shared" si="20"/>
        <v>0.64</v>
      </c>
      <c r="P234" s="133">
        <f t="shared" si="20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1">SUM(B229:B234)</f>
        <v>0</v>
      </c>
      <c r="C235" s="137">
        <f t="shared" si="21"/>
        <v>3.54</v>
      </c>
      <c r="D235" s="137">
        <f t="shared" si="21"/>
        <v>3.54</v>
      </c>
      <c r="E235" s="137">
        <f t="shared" si="21"/>
        <v>3.54</v>
      </c>
      <c r="F235" s="137">
        <f t="shared" si="21"/>
        <v>3.54</v>
      </c>
      <c r="G235" s="137">
        <f t="shared" si="21"/>
        <v>3.54</v>
      </c>
      <c r="H235" s="137">
        <f t="shared" si="21"/>
        <v>3.54</v>
      </c>
      <c r="I235" s="137">
        <f t="shared" ca="1" si="21"/>
        <v>121.23900000000009</v>
      </c>
      <c r="J235" s="137">
        <f t="shared" ca="1" si="21"/>
        <v>121.23900000000009</v>
      </c>
      <c r="K235" s="137">
        <f t="shared" ca="1" si="21"/>
        <v>121.23900000000009</v>
      </c>
      <c r="L235" s="137">
        <f t="shared" ca="1" si="21"/>
        <v>125.2590000000001</v>
      </c>
      <c r="M235" s="137">
        <f t="shared" ca="1" si="21"/>
        <v>121.23900000000009</v>
      </c>
      <c r="N235" s="137">
        <f t="shared" ca="1" si="21"/>
        <v>121.23900000000009</v>
      </c>
      <c r="O235" s="137">
        <f t="shared" ca="1" si="21"/>
        <v>121.23900000000009</v>
      </c>
      <c r="P235" s="137">
        <f t="shared" ca="1" si="21"/>
        <v>121.23900000000009</v>
      </c>
      <c r="Q235" s="137">
        <f t="shared" si="21"/>
        <v>0</v>
      </c>
      <c r="R235" s="137">
        <f t="shared" si="21"/>
        <v>0</v>
      </c>
      <c r="S235" s="137">
        <f t="shared" si="21"/>
        <v>0</v>
      </c>
      <c r="T235" s="137">
        <f t="shared" si="21"/>
        <v>0</v>
      </c>
      <c r="U235" s="137">
        <f t="shared" si="21"/>
        <v>0</v>
      </c>
      <c r="V235" s="137">
        <f t="shared" si="21"/>
        <v>0</v>
      </c>
      <c r="W235" s="137">
        <f t="shared" si="21"/>
        <v>0</v>
      </c>
      <c r="X235" s="137">
        <f t="shared" si="21"/>
        <v>0</v>
      </c>
      <c r="Y235" s="137">
        <f t="shared" si="21"/>
        <v>0</v>
      </c>
      <c r="Z235" s="137">
        <f t="shared" si="21"/>
        <v>0</v>
      </c>
      <c r="AA235" s="137">
        <f t="shared" si="21"/>
        <v>0</v>
      </c>
      <c r="AB235" s="137">
        <f t="shared" si="21"/>
        <v>0</v>
      </c>
      <c r="AC235" s="137">
        <f t="shared" si="21"/>
        <v>0</v>
      </c>
      <c r="AD235" s="137">
        <f t="shared" si="21"/>
        <v>0</v>
      </c>
      <c r="AE235" s="137">
        <f t="shared" si="21"/>
        <v>0</v>
      </c>
      <c r="AF235" s="137">
        <f t="shared" si="21"/>
        <v>0</v>
      </c>
      <c r="AG235" s="146">
        <f t="shared" si="21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1930.8500000000001</v>
      </c>
      <c r="C244" s="162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14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2080/03/14)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2080/03/14)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2">B91</f>
        <v>1964.55</v>
      </c>
      <c r="U249" s="171">
        <f t="shared" si="22"/>
        <v>1917.95</v>
      </c>
      <c r="V249" s="171">
        <f t="shared" si="22"/>
        <v>1906.95</v>
      </c>
      <c r="W249" s="171">
        <f t="shared" si="22"/>
        <v>1883.95</v>
      </c>
      <c r="X249" s="171">
        <f t="shared" si="22"/>
        <v>1908.95</v>
      </c>
      <c r="Y249" s="171">
        <f t="shared" si="22"/>
        <v>1877.3500000000001</v>
      </c>
      <c r="Z249" s="171">
        <f t="shared" si="22"/>
        <v>1879.95</v>
      </c>
      <c r="AA249" s="171">
        <f t="shared" si="22"/>
        <v>1881.95</v>
      </c>
      <c r="AB249" s="171">
        <f t="shared" si="22"/>
        <v>1887.3500000000001</v>
      </c>
      <c r="AC249" s="171">
        <f t="shared" si="22"/>
        <v>1887.3500000000001</v>
      </c>
      <c r="AD249" s="171">
        <f t="shared" si="22"/>
        <v>1930.8500000000001</v>
      </c>
      <c r="AE249" s="171">
        <f t="shared" si="22"/>
        <v>1928.65</v>
      </c>
      <c r="AF249" s="171">
        <f t="shared" si="22"/>
        <v>1917.2500000000002</v>
      </c>
      <c r="AG249" s="171">
        <f t="shared" si="22"/>
        <v>1894.85</v>
      </c>
      <c r="AH249" s="171">
        <f t="shared" si="22"/>
        <v>1881.8500000000001</v>
      </c>
      <c r="AI249" s="171">
        <f t="shared" si="22"/>
        <v>1919.8500000000001</v>
      </c>
      <c r="AJ249" s="171">
        <f t="shared" si="22"/>
        <v>1954.05</v>
      </c>
      <c r="AK249" s="171">
        <f t="shared" si="22"/>
        <v>1949.6499999999999</v>
      </c>
      <c r="AL249" s="171">
        <f t="shared" si="22"/>
        <v>1921.4499999999998</v>
      </c>
      <c r="AM249" s="171">
        <f t="shared" si="22"/>
        <v>1890.8500000000001</v>
      </c>
      <c r="AN249" s="171">
        <f t="shared" si="22"/>
        <v>1874.1499999999999</v>
      </c>
      <c r="AO249" s="171">
        <f t="shared" si="22"/>
        <v>1812.2500000000002</v>
      </c>
      <c r="AP249" s="171">
        <f t="shared" si="22"/>
        <v>1810.95</v>
      </c>
      <c r="AQ249" s="171">
        <f t="shared" si="22"/>
        <v>1863.75</v>
      </c>
      <c r="AR249" s="171">
        <f t="shared" si="22"/>
        <v>1845.75</v>
      </c>
      <c r="AS249" s="171">
        <f t="shared" si="22"/>
        <v>1925.45</v>
      </c>
      <c r="AT249" s="171">
        <f t="shared" si="22"/>
        <v>1962.75</v>
      </c>
      <c r="AU249" s="171">
        <f t="shared" si="22"/>
        <v>1976.45</v>
      </c>
      <c r="AV249" s="171">
        <f t="shared" si="22"/>
        <v>1977.25</v>
      </c>
      <c r="AW249" s="171">
        <f t="shared" si="22"/>
        <v>1962.9499999999998</v>
      </c>
      <c r="AX249" s="171">
        <f t="shared" si="22"/>
        <v>1899.0500000000002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23">C234</f>
        <v>0.64</v>
      </c>
      <c r="C270" s="174">
        <f t="shared" si="23"/>
        <v>0.64</v>
      </c>
      <c r="D270" s="174">
        <f t="shared" si="23"/>
        <v>0.64</v>
      </c>
      <c r="E270" s="174">
        <f t="shared" si="23"/>
        <v>0.64</v>
      </c>
      <c r="F270" s="174">
        <f t="shared" si="23"/>
        <v>0.64</v>
      </c>
      <c r="G270" s="174">
        <f t="shared" si="23"/>
        <v>0.64</v>
      </c>
      <c r="H270" s="174">
        <f t="shared" si="23"/>
        <v>0.64</v>
      </c>
      <c r="I270" s="174">
        <f t="shared" si="23"/>
        <v>0.64</v>
      </c>
      <c r="J270" s="174">
        <f t="shared" si="23"/>
        <v>0.64</v>
      </c>
      <c r="K270" s="174">
        <f t="shared" si="23"/>
        <v>0.64</v>
      </c>
      <c r="L270" s="174">
        <f t="shared" si="23"/>
        <v>0.64</v>
      </c>
      <c r="M270" s="174">
        <f t="shared" si="23"/>
        <v>0.64</v>
      </c>
      <c r="N270" s="174">
        <f t="shared" si="23"/>
        <v>0.64</v>
      </c>
      <c r="O270" s="174">
        <f t="shared" si="23"/>
        <v>0.64</v>
      </c>
      <c r="P270" s="174">
        <f t="shared" si="23"/>
        <v>0</v>
      </c>
      <c r="Q270" s="174">
        <f t="shared" si="23"/>
        <v>0</v>
      </c>
      <c r="R270" s="174">
        <f t="shared" si="23"/>
        <v>0</v>
      </c>
      <c r="S270" s="174">
        <f t="shared" si="23"/>
        <v>0</v>
      </c>
      <c r="T270" s="174">
        <f t="shared" si="23"/>
        <v>0</v>
      </c>
      <c r="U270" s="174">
        <f t="shared" si="23"/>
        <v>0</v>
      </c>
      <c r="V270" s="174">
        <f t="shared" si="23"/>
        <v>0</v>
      </c>
      <c r="W270" s="174">
        <f t="shared" si="23"/>
        <v>0</v>
      </c>
      <c r="X270" s="174">
        <f t="shared" si="23"/>
        <v>0</v>
      </c>
      <c r="Y270" s="174">
        <f t="shared" si="23"/>
        <v>0</v>
      </c>
      <c r="Z270" s="174">
        <f t="shared" si="23"/>
        <v>0</v>
      </c>
      <c r="AA270" s="174">
        <f t="shared" si="23"/>
        <v>0</v>
      </c>
      <c r="AB270" s="174">
        <f t="shared" si="23"/>
        <v>0</v>
      </c>
      <c r="AC270" s="174">
        <f t="shared" si="23"/>
        <v>0</v>
      </c>
      <c r="AD270" s="174">
        <f t="shared" si="23"/>
        <v>0</v>
      </c>
      <c r="AE270" s="174">
        <f t="shared" si="23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24">IF(B238&lt;100,"",B238-520)</f>
        <v/>
      </c>
      <c r="C271" s="175" t="str">
        <f t="shared" si="24"/>
        <v/>
      </c>
      <c r="D271" s="175" t="str">
        <f t="shared" si="24"/>
        <v/>
      </c>
      <c r="E271" s="175" t="str">
        <f t="shared" si="24"/>
        <v/>
      </c>
      <c r="F271" s="175" t="str">
        <f t="shared" si="24"/>
        <v/>
      </c>
      <c r="G271" s="175" t="str">
        <f t="shared" si="24"/>
        <v/>
      </c>
      <c r="H271" s="175" t="str">
        <f t="shared" si="24"/>
        <v/>
      </c>
      <c r="I271" s="175" t="str">
        <f t="shared" si="24"/>
        <v/>
      </c>
      <c r="J271" s="175" t="str">
        <f t="shared" si="24"/>
        <v/>
      </c>
      <c r="K271" s="175" t="str">
        <f t="shared" si="24"/>
        <v/>
      </c>
      <c r="L271" s="175" t="str">
        <f t="shared" si="24"/>
        <v/>
      </c>
      <c r="M271" s="175" t="str">
        <f t="shared" si="24"/>
        <v/>
      </c>
      <c r="N271" s="175" t="str">
        <f t="shared" si="24"/>
        <v/>
      </c>
      <c r="O271" s="175" t="str">
        <f t="shared" si="24"/>
        <v/>
      </c>
      <c r="P271" s="175" t="str">
        <f t="shared" si="24"/>
        <v/>
      </c>
      <c r="Q271" s="175" t="str">
        <f t="shared" si="24"/>
        <v/>
      </c>
      <c r="R271" s="175" t="str">
        <f t="shared" si="24"/>
        <v/>
      </c>
      <c r="S271" s="175" t="str">
        <f t="shared" si="24"/>
        <v/>
      </c>
      <c r="T271" s="175" t="str">
        <f t="shared" si="24"/>
        <v/>
      </c>
      <c r="U271" s="175" t="str">
        <f t="shared" si="24"/>
        <v/>
      </c>
      <c r="V271" s="175" t="str">
        <f t="shared" si="24"/>
        <v/>
      </c>
      <c r="W271" s="175" t="str">
        <f t="shared" si="24"/>
        <v/>
      </c>
      <c r="X271" s="175" t="str">
        <f t="shared" si="24"/>
        <v/>
      </c>
      <c r="Y271" s="175" t="str">
        <f t="shared" si="24"/>
        <v/>
      </c>
      <c r="Z271" s="175" t="str">
        <f t="shared" si="24"/>
        <v/>
      </c>
      <c r="AA271" s="175" t="str">
        <f t="shared" si="24"/>
        <v/>
      </c>
      <c r="AB271" s="175" t="str">
        <f t="shared" si="24"/>
        <v/>
      </c>
      <c r="AC271" s="175" t="str">
        <f t="shared" si="24"/>
        <v/>
      </c>
      <c r="AD271" s="175" t="str">
        <f t="shared" si="24"/>
        <v/>
      </c>
      <c r="AE271" s="175" t="str">
        <f t="shared" si="24"/>
        <v/>
      </c>
      <c r="AF271" s="175" t="str">
        <f t="shared" si="24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25">IF(B239&lt;100,"",B239-620)</f>
        <v/>
      </c>
      <c r="C272" s="175" t="str">
        <f t="shared" si="25"/>
        <v/>
      </c>
      <c r="D272" s="175" t="str">
        <f t="shared" si="25"/>
        <v/>
      </c>
      <c r="E272" s="175" t="str">
        <f t="shared" si="25"/>
        <v/>
      </c>
      <c r="F272" s="175" t="str">
        <f t="shared" si="25"/>
        <v/>
      </c>
      <c r="G272" s="175" t="str">
        <f t="shared" si="25"/>
        <v/>
      </c>
      <c r="H272" s="175" t="str">
        <f t="shared" si="25"/>
        <v/>
      </c>
      <c r="I272" s="175" t="str">
        <f t="shared" si="25"/>
        <v/>
      </c>
      <c r="J272" s="175" t="str">
        <f t="shared" si="25"/>
        <v/>
      </c>
      <c r="K272" s="175" t="str">
        <f t="shared" si="25"/>
        <v/>
      </c>
      <c r="L272" s="175" t="str">
        <f t="shared" si="25"/>
        <v/>
      </c>
      <c r="M272" s="175" t="str">
        <f t="shared" si="25"/>
        <v/>
      </c>
      <c r="N272" s="175" t="str">
        <f t="shared" si="25"/>
        <v/>
      </c>
      <c r="O272" s="175" t="str">
        <f t="shared" si="25"/>
        <v/>
      </c>
      <c r="P272" s="175" t="str">
        <f t="shared" si="25"/>
        <v/>
      </c>
      <c r="Q272" s="175" t="str">
        <f t="shared" si="25"/>
        <v/>
      </c>
      <c r="R272" s="175" t="str">
        <f t="shared" si="25"/>
        <v/>
      </c>
      <c r="S272" s="175" t="str">
        <f t="shared" si="25"/>
        <v/>
      </c>
      <c r="T272" s="175" t="str">
        <f t="shared" si="25"/>
        <v/>
      </c>
      <c r="U272" s="175" t="str">
        <f t="shared" si="25"/>
        <v/>
      </c>
      <c r="V272" s="175" t="str">
        <f t="shared" si="25"/>
        <v/>
      </c>
      <c r="W272" s="175" t="str">
        <f t="shared" si="25"/>
        <v/>
      </c>
      <c r="X272" s="175" t="str">
        <f t="shared" si="25"/>
        <v/>
      </c>
      <c r="Y272" s="175" t="str">
        <f t="shared" si="25"/>
        <v/>
      </c>
      <c r="Z272" s="175" t="str">
        <f t="shared" si="25"/>
        <v/>
      </c>
      <c r="AA272" s="175" t="str">
        <f t="shared" si="25"/>
        <v/>
      </c>
      <c r="AB272" s="175" t="str">
        <f t="shared" si="25"/>
        <v/>
      </c>
      <c r="AC272" s="175" t="str">
        <f t="shared" si="25"/>
        <v/>
      </c>
      <c r="AD272" s="175" t="str">
        <f t="shared" si="25"/>
        <v/>
      </c>
      <c r="AE272" s="175" t="str">
        <f t="shared" si="25"/>
        <v/>
      </c>
      <c r="AF272" s="175" t="str">
        <f t="shared" si="25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26">IF(B240&lt;100,"",B240-330)</f>
        <v/>
      </c>
      <c r="C273" s="175" t="str">
        <f t="shared" si="26"/>
        <v/>
      </c>
      <c r="D273" s="175" t="str">
        <f t="shared" si="26"/>
        <v/>
      </c>
      <c r="E273" s="175" t="str">
        <f t="shared" si="26"/>
        <v/>
      </c>
      <c r="F273" s="175" t="str">
        <f t="shared" si="26"/>
        <v/>
      </c>
      <c r="G273" s="175" t="str">
        <f t="shared" si="26"/>
        <v/>
      </c>
      <c r="H273" s="175" t="str">
        <f t="shared" si="26"/>
        <v/>
      </c>
      <c r="I273" s="175" t="str">
        <f t="shared" si="26"/>
        <v/>
      </c>
      <c r="J273" s="175" t="str">
        <f t="shared" si="26"/>
        <v/>
      </c>
      <c r="K273" s="175" t="str">
        <f t="shared" si="26"/>
        <v/>
      </c>
      <c r="L273" s="175" t="str">
        <f t="shared" si="26"/>
        <v/>
      </c>
      <c r="M273" s="175" t="str">
        <f t="shared" si="26"/>
        <v/>
      </c>
      <c r="N273" s="175" t="str">
        <f t="shared" si="26"/>
        <v/>
      </c>
      <c r="O273" s="175" t="str">
        <f t="shared" si="26"/>
        <v/>
      </c>
      <c r="P273" s="175" t="str">
        <f t="shared" si="26"/>
        <v/>
      </c>
      <c r="Q273" s="175" t="str">
        <f t="shared" si="26"/>
        <v/>
      </c>
      <c r="R273" s="175" t="str">
        <f t="shared" si="26"/>
        <v/>
      </c>
      <c r="S273" s="175" t="str">
        <f t="shared" si="26"/>
        <v/>
      </c>
      <c r="T273" s="175" t="str">
        <f t="shared" si="26"/>
        <v/>
      </c>
      <c r="U273" s="175" t="str">
        <f t="shared" si="26"/>
        <v/>
      </c>
      <c r="V273" s="175" t="str">
        <f t="shared" si="26"/>
        <v/>
      </c>
      <c r="W273" s="175" t="str">
        <f t="shared" si="26"/>
        <v/>
      </c>
      <c r="X273" s="175" t="str">
        <f t="shared" si="26"/>
        <v/>
      </c>
      <c r="Y273" s="175" t="str">
        <f t="shared" si="26"/>
        <v/>
      </c>
      <c r="Z273" s="175" t="str">
        <f t="shared" si="26"/>
        <v/>
      </c>
      <c r="AA273" s="175" t="str">
        <f t="shared" si="26"/>
        <v/>
      </c>
      <c r="AB273" s="175" t="str">
        <f t="shared" si="26"/>
        <v/>
      </c>
      <c r="AC273" s="175" t="str">
        <f t="shared" si="26"/>
        <v/>
      </c>
      <c r="AD273" s="175" t="str">
        <f t="shared" si="26"/>
        <v/>
      </c>
      <c r="AE273" s="175" t="str">
        <f t="shared" si="26"/>
        <v/>
      </c>
      <c r="AF273" s="175" t="str">
        <f t="shared" si="26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27">IF(B241&lt;100,"",B241-1500)</f>
        <v/>
      </c>
      <c r="C274" s="175" t="str">
        <f t="shared" si="27"/>
        <v/>
      </c>
      <c r="D274" s="175" t="str">
        <f t="shared" si="27"/>
        <v/>
      </c>
      <c r="E274" s="175" t="str">
        <f t="shared" si="27"/>
        <v/>
      </c>
      <c r="F274" s="175" t="str">
        <f t="shared" si="27"/>
        <v/>
      </c>
      <c r="G274" s="175" t="str">
        <f t="shared" si="27"/>
        <v/>
      </c>
      <c r="H274" s="175" t="str">
        <f t="shared" si="27"/>
        <v/>
      </c>
      <c r="I274" s="175" t="str">
        <f t="shared" si="27"/>
        <v/>
      </c>
      <c r="J274" s="175" t="str">
        <f t="shared" si="27"/>
        <v/>
      </c>
      <c r="K274" s="175" t="str">
        <f t="shared" si="27"/>
        <v/>
      </c>
      <c r="L274" s="175" t="str">
        <f t="shared" si="27"/>
        <v/>
      </c>
      <c r="M274" s="175" t="str">
        <f t="shared" si="27"/>
        <v/>
      </c>
      <c r="N274" s="175" t="str">
        <f t="shared" si="27"/>
        <v/>
      </c>
      <c r="O274" s="175" t="str">
        <f t="shared" si="27"/>
        <v/>
      </c>
      <c r="P274" s="175" t="str">
        <f t="shared" si="27"/>
        <v/>
      </c>
      <c r="Q274" s="175" t="str">
        <f t="shared" si="27"/>
        <v/>
      </c>
      <c r="R274" s="175" t="str">
        <f t="shared" si="27"/>
        <v/>
      </c>
      <c r="S274" s="175" t="str">
        <f t="shared" si="27"/>
        <v/>
      </c>
      <c r="T274" s="175" t="str">
        <f t="shared" si="27"/>
        <v/>
      </c>
      <c r="U274" s="175" t="str">
        <f t="shared" si="27"/>
        <v/>
      </c>
      <c r="V274" s="175" t="str">
        <f t="shared" si="27"/>
        <v/>
      </c>
      <c r="W274" s="175" t="str">
        <f t="shared" si="27"/>
        <v/>
      </c>
      <c r="X274" s="175" t="str">
        <f t="shared" si="27"/>
        <v/>
      </c>
      <c r="Y274" s="175" t="str">
        <f t="shared" si="27"/>
        <v/>
      </c>
      <c r="Z274" s="175" t="str">
        <f t="shared" si="27"/>
        <v/>
      </c>
      <c r="AA274" s="175" t="str">
        <f t="shared" si="27"/>
        <v/>
      </c>
      <c r="AB274" s="175" t="str">
        <f t="shared" si="27"/>
        <v/>
      </c>
      <c r="AC274" s="175" t="str">
        <f t="shared" si="27"/>
        <v/>
      </c>
      <c r="AD274" s="175" t="str">
        <f t="shared" si="27"/>
        <v/>
      </c>
      <c r="AE274" s="175" t="str">
        <f t="shared" si="27"/>
        <v/>
      </c>
      <c r="AF274" s="175" t="str">
        <f t="shared" si="27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1274" priority="156">
      <formula>$AH11=0</formula>
    </cfRule>
  </conditionalFormatting>
  <conditionalFormatting sqref="B8 M8 S8 AB8">
    <cfRule type="expression" dxfId="1273" priority="410">
      <formula>C$9&lt;8/24</formula>
    </cfRule>
    <cfRule type="expression" dxfId="1272" priority="408">
      <formula>AND(C$9&gt;=14/24,C$9&lt;20/24)</formula>
    </cfRule>
    <cfRule type="expression" dxfId="1271" priority="409">
      <formula>AND(C$9&gt;=8/24,C$9&lt;14/24)</formula>
    </cfRule>
  </conditionalFormatting>
  <conditionalFormatting sqref="B55:L59">
    <cfRule type="expression" dxfId="1270" priority="127">
      <formula>B$9&gt;=20/24</formula>
    </cfRule>
    <cfRule type="expression" dxfId="1269" priority="128">
      <formula>AND(B$9&gt;=14/24,B$9&lt;20/24)</formula>
    </cfRule>
    <cfRule type="expression" dxfId="1268" priority="129">
      <formula>AND(B$9&gt;=8/24,B$9&lt;14/24)</formula>
    </cfRule>
    <cfRule type="expression" dxfId="1267" priority="130">
      <formula>B$9&lt;8/24</formula>
    </cfRule>
  </conditionalFormatting>
  <conditionalFormatting sqref="B73:L83">
    <cfRule type="expression" dxfId="1266" priority="89">
      <formula>B$9&lt;8/24</formula>
    </cfRule>
  </conditionalFormatting>
  <conditionalFormatting sqref="B74:L83">
    <cfRule type="expression" dxfId="1265" priority="87">
      <formula>AND(B$9&gt;=14/24,B$9&lt;20/24)</formula>
    </cfRule>
    <cfRule type="expression" dxfId="1264" priority="88">
      <formula>AND(B$9&gt;=8/24,B$9&lt;14/24)</formula>
    </cfRule>
    <cfRule type="expression" dxfId="1263" priority="86">
      <formula>B$9&gt;=20/24</formula>
    </cfRule>
  </conditionalFormatting>
  <conditionalFormatting sqref="B73:AE73">
    <cfRule type="expression" dxfId="1262" priority="13">
      <formula>B$9&gt;=20/24</formula>
    </cfRule>
    <cfRule type="expression" dxfId="1261" priority="14">
      <formula>AND(B$9&gt;=14/24,B$9&lt;20/24)</formula>
    </cfRule>
    <cfRule type="expression" dxfId="1260" priority="15">
      <formula>AND(B$9&gt;=8/24,B$9&lt;14/24)</formula>
    </cfRule>
  </conditionalFormatting>
  <conditionalFormatting sqref="B9:AF45">
    <cfRule type="expression" dxfId="1259" priority="38">
      <formula>AND(B$9&gt;=14/24,B$9&lt;20/24)</formula>
    </cfRule>
    <cfRule type="expression" dxfId="1258" priority="39">
      <formula>AND(B$9&gt;=8/24,B$9&lt;14/24)</formula>
    </cfRule>
    <cfRule type="expression" dxfId="1257" priority="40">
      <formula>B$9&lt;8/24</formula>
    </cfRule>
    <cfRule type="expression" dxfId="1256" priority="37">
      <formula>B$9&gt;=20/24</formula>
    </cfRule>
  </conditionalFormatting>
  <conditionalFormatting sqref="B11:AF46">
    <cfRule type="expression" dxfId="1255" priority="35">
      <formula>B11&gt;$AG11</formula>
    </cfRule>
  </conditionalFormatting>
  <conditionalFormatting sqref="B46:AF46">
    <cfRule type="expression" dxfId="1254" priority="31">
      <formula>B$9&gt;=20/24</formula>
    </cfRule>
    <cfRule type="expression" dxfId="1253" priority="32">
      <formula>AND(B$9&gt;=14/24,B$9&lt;20/24)</formula>
    </cfRule>
    <cfRule type="expression" dxfId="1252" priority="33">
      <formula>AND(B$9&gt;=8/24,B$9&lt;14/24)</formula>
    </cfRule>
    <cfRule type="expression" dxfId="1251" priority="34">
      <formula>B$9&lt;8/24</formula>
    </cfRule>
  </conditionalFormatting>
  <conditionalFormatting sqref="B47:AF47">
    <cfRule type="expression" dxfId="1250" priority="66">
      <formula>B47&gt;$AG47</formula>
    </cfRule>
  </conditionalFormatting>
  <conditionalFormatting sqref="B47:AF49">
    <cfRule type="expression" dxfId="1249" priority="56">
      <formula>B$9&lt;8/24</formula>
    </cfRule>
    <cfRule type="expression" dxfId="1248" priority="55">
      <formula>AND(B$9&gt;=8/24,B$9&lt;14/24)</formula>
    </cfRule>
    <cfRule type="expression" dxfId="1247" priority="53">
      <formula>B$9&gt;=20/24</formula>
    </cfRule>
    <cfRule type="expression" dxfId="1246" priority="54">
      <formula>AND(B$9&gt;=14/24,B$9&lt;20/24)</formula>
    </cfRule>
  </conditionalFormatting>
  <conditionalFormatting sqref="B48:AF53">
    <cfRule type="expression" dxfId="1245" priority="51">
      <formula>B48&gt;$AG48</formula>
    </cfRule>
  </conditionalFormatting>
  <conditionalFormatting sqref="B51:AF53">
    <cfRule type="expression" dxfId="1244" priority="107">
      <formula>B$9&lt;8/24</formula>
    </cfRule>
    <cfRule type="expression" dxfId="1243" priority="105">
      <formula>AND(B$9&gt;=14/24,B$9&lt;20/24)</formula>
    </cfRule>
    <cfRule type="expression" dxfId="1242" priority="106">
      <formula>AND(B$9&gt;=8/24,B$9&lt;14/24)</formula>
    </cfRule>
    <cfRule type="expression" dxfId="1241" priority="104">
      <formula>B$9&gt;=20/24</formula>
    </cfRule>
  </conditionalFormatting>
  <conditionalFormatting sqref="B55:AF66">
    <cfRule type="expression" dxfId="1240" priority="17">
      <formula>B55&gt;$AG55</formula>
    </cfRule>
  </conditionalFormatting>
  <conditionalFormatting sqref="B69:AF71">
    <cfRule type="expression" dxfId="1239" priority="125">
      <formula>B$9&lt;8/24</formula>
    </cfRule>
    <cfRule type="expression" dxfId="1238" priority="121">
      <formula>B69&gt;$AG69</formula>
    </cfRule>
    <cfRule type="expression" dxfId="1237" priority="122">
      <formula>B$9&gt;=20/24</formula>
    </cfRule>
    <cfRule type="expression" dxfId="1236" priority="123">
      <formula>AND(B$9&gt;=14/24,B$9&lt;20/24)</formula>
    </cfRule>
    <cfRule type="expression" dxfId="1235" priority="124">
      <formula>AND(B$9&gt;=8/24,B$9&lt;14/24)</formula>
    </cfRule>
  </conditionalFormatting>
  <conditionalFormatting sqref="B84:AF91">
    <cfRule type="expression" dxfId="1234" priority="77">
      <formula>B$9&gt;=20/24</formula>
    </cfRule>
    <cfRule type="expression" dxfId="1233" priority="78">
      <formula>AND(B$9&gt;=14/24,B$9&lt;20/24)</formula>
    </cfRule>
    <cfRule type="expression" dxfId="1232" priority="79">
      <formula>AND(B$9&gt;=8/24,B$9&lt;14/24)</formula>
    </cfRule>
    <cfRule type="expression" dxfId="1231" priority="80">
      <formula>B$9&lt;8/24</formula>
    </cfRule>
  </conditionalFormatting>
  <conditionalFormatting sqref="B111:AF120">
    <cfRule type="expression" dxfId="1230" priority="30">
      <formula>B$9&lt;8/24</formula>
    </cfRule>
    <cfRule type="expression" dxfId="1229" priority="29">
      <formula>AND(B$9&gt;=8/24,B$9&lt;14/24)</formula>
    </cfRule>
    <cfRule type="expression" dxfId="1228" priority="28">
      <formula>AND(B$9&gt;=14/24,B$9&lt;20/24)</formula>
    </cfRule>
    <cfRule type="expression" dxfId="1227" priority="27">
      <formula>B$9&gt;=20/24</formula>
    </cfRule>
  </conditionalFormatting>
  <conditionalFormatting sqref="B227:AF227 D229:AF230 B229:B235 D231:H231 J231:AF231 D232:AF235 U248:AF248">
    <cfRule type="expression" dxfId="1226" priority="404">
      <formula>B$9&lt;8/24</formula>
    </cfRule>
    <cfRule type="expression" dxfId="1225" priority="403">
      <formula>AND(B$9&gt;=8/24,B$9&lt;14/24)</formula>
    </cfRule>
    <cfRule type="expression" dxfId="1224" priority="401">
      <formula>B$9&gt;=20/24</formula>
    </cfRule>
    <cfRule type="expression" dxfId="1223" priority="402">
      <formula>AND(B$9&gt;=14/24,B$9&lt;20/24)</formula>
    </cfRule>
  </conditionalFormatting>
  <conditionalFormatting sqref="B54:AG54">
    <cfRule type="expression" dxfId="1222" priority="72">
      <formula>B54&gt;$AG54</formula>
    </cfRule>
    <cfRule type="expression" dxfId="1221" priority="73">
      <formula>B$9&gt;=20/24</formula>
    </cfRule>
    <cfRule type="expression" dxfId="1220" priority="74">
      <formula>AND(B$9&gt;=14/24,B$9&lt;20/24)</formula>
    </cfRule>
    <cfRule type="expression" dxfId="1219" priority="75">
      <formula>AND(B$9&gt;=8/24,B$9&lt;14/24)</formula>
    </cfRule>
    <cfRule type="expression" dxfId="1218" priority="76">
      <formula>B$9&lt;8/24</formula>
    </cfRule>
  </conditionalFormatting>
  <conditionalFormatting sqref="B67:AG68 B72:AG72">
    <cfRule type="expression" dxfId="1217" priority="81">
      <formula>B67&gt;$AG67</formula>
    </cfRule>
  </conditionalFormatting>
  <conditionalFormatting sqref="B72:AG72 B93:AF109">
    <cfRule type="expression" dxfId="1216" priority="84">
      <formula>AND(B$9&gt;=8/24,B$9&lt;14/24)</formula>
    </cfRule>
    <cfRule type="expression" dxfId="1215" priority="83">
      <formula>AND(B$9&gt;=14/24,B$9&lt;20/24)</formula>
    </cfRule>
    <cfRule type="expression" dxfId="1214" priority="85">
      <formula>B$9&lt;8/24</formula>
    </cfRule>
    <cfRule type="expression" dxfId="1213" priority="82">
      <formula>B$9&gt;=20/24</formula>
    </cfRule>
  </conditionalFormatting>
  <conditionalFormatting sqref="M56:Q59">
    <cfRule type="expression" dxfId="1212" priority="131">
      <formula>M$9&gt;=20/24</formula>
    </cfRule>
    <cfRule type="expression" dxfId="1211" priority="132">
      <formula>AND(M$9&gt;=14/24,M$9&lt;20/24)</formula>
    </cfRule>
    <cfRule type="expression" dxfId="1210" priority="133">
      <formula>AND(M$9&gt;=8/24,M$9&lt;14/24)</formula>
    </cfRule>
    <cfRule type="expression" dxfId="1209" priority="134">
      <formula>M$9&lt;8/24</formula>
    </cfRule>
  </conditionalFormatting>
  <conditionalFormatting sqref="M55:Z55">
    <cfRule type="expression" dxfId="1208" priority="369">
      <formula>AND(M$9&gt;=8/24,M$9&lt;14/24)</formula>
    </cfRule>
    <cfRule type="expression" dxfId="1207" priority="370">
      <formula>M$9&lt;8/24</formula>
    </cfRule>
    <cfRule type="expression" dxfId="1206" priority="367">
      <formula>M$9&gt;=20/24</formula>
    </cfRule>
    <cfRule type="expression" dxfId="1205" priority="368">
      <formula>AND(M$9&gt;=14/24,M$9&lt;20/24)</formula>
    </cfRule>
  </conditionalFormatting>
  <conditionalFormatting sqref="M73:AE73">
    <cfRule type="expression" dxfId="1204" priority="16">
      <formula>M$9&lt;8/24</formula>
    </cfRule>
  </conditionalFormatting>
  <conditionalFormatting sqref="M79:AE83">
    <cfRule type="expression" dxfId="1203" priority="2">
      <formula>AND(M$9&gt;=14/24,M$9&lt;20/24)</formula>
    </cfRule>
    <cfRule type="expression" dxfId="1202" priority="3">
      <formula>AND(M$9&gt;=8/24,M$9&lt;14/24)</formula>
    </cfRule>
    <cfRule type="expression" dxfId="1201" priority="4">
      <formula>M$9&lt;8/24</formula>
    </cfRule>
    <cfRule type="expression" dxfId="1200" priority="1">
      <formula>M$9&gt;=20/24</formula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R56:Z66 B60:Q66">
    <cfRule type="expression" dxfId="1199" priority="71">
      <formula>B$9&lt;8/24</formula>
    </cfRule>
    <cfRule type="expression" dxfId="1198" priority="70">
      <formula>AND(B$9&gt;=8/24,B$9&lt;14/24)</formula>
    </cfRule>
    <cfRule type="expression" dxfId="1197" priority="69">
      <formula>AND(B$9&gt;=14/24,B$9&lt;20/24)</formula>
    </cfRule>
    <cfRule type="expression" dxfId="1196" priority="68">
      <formula>B$9&gt;=20/24</formula>
    </cfRule>
  </conditionalFormatting>
  <conditionalFormatting sqref="S8 AB8 B8 M8">
    <cfRule type="expression" dxfId="1195" priority="407">
      <formula>C$9&gt;=20/24</formula>
    </cfRule>
  </conditionalFormatting>
  <conditionalFormatting sqref="S8">
    <cfRule type="expression" dxfId="1194" priority="383">
      <formula>U$9&lt;8/24</formula>
    </cfRule>
    <cfRule type="expression" dxfId="1193" priority="380">
      <formula>U$9&gt;=20/24</formula>
    </cfRule>
    <cfRule type="expression" dxfId="1192" priority="381">
      <formula>AND(U$9&gt;=14/24,U$9&lt;20/24)</formula>
    </cfRule>
    <cfRule type="expression" dxfId="1191" priority="382">
      <formula>AND(U$9&gt;=8/24,U$9&lt;14/24)</formula>
    </cfRule>
  </conditionalFormatting>
  <conditionalFormatting sqref="T248">
    <cfRule type="expression" dxfId="1190" priority="423">
      <formula>AX$9&lt;8/24</formula>
    </cfRule>
    <cfRule type="expression" dxfId="1189" priority="422">
      <formula>AND(AX$9&gt;=8/24,AX$9&lt;14/24)</formula>
    </cfRule>
    <cfRule type="expression" dxfId="1188" priority="421">
      <formula>AND(AX$9&gt;=14/24,AX$9&lt;20/24)</formula>
    </cfRule>
    <cfRule type="expression" dxfId="1187" priority="420">
      <formula>AX$9&gt;=20/24</formula>
    </cfRule>
  </conditionalFormatting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AA76:AC76 M76:Z78">
    <cfRule type="expression" dxfId="1186" priority="273">
      <formula>AND(M$9&gt;=8/24,M$9&lt;14/24)</formula>
    </cfRule>
    <cfRule type="expression" dxfId="1185" priority="274">
      <formula>M$9&lt;8/24</formula>
    </cfRule>
    <cfRule type="expression" dxfId="1184" priority="271">
      <formula>M$9&gt;=20/24</formula>
    </cfRule>
    <cfRule type="expression" dxfId="1183" priority="272">
      <formula>AND(M$9&gt;=14/24,M$9&lt;20/24)</formula>
    </cfRule>
  </conditionalFormatting>
  <conditionalFormatting sqref="AA55:AF66">
    <cfRule type="expression" dxfId="1182" priority="19">
      <formula>AND(AA$9&gt;=14/24,AA$9&lt;20/24)</formula>
    </cfRule>
    <cfRule type="expression" dxfId="1181" priority="18">
      <formula>AA$9&gt;=20/24</formula>
    </cfRule>
    <cfRule type="expression" dxfId="1180" priority="21">
      <formula>AA$9&lt;8/24</formula>
    </cfRule>
    <cfRule type="expression" dxfId="1179" priority="20">
      <formula>AND(AA$9&gt;=8/24,AA$9&lt;14/24)</formula>
    </cfRule>
  </conditionalFormatting>
  <conditionalFormatting sqref="AB8">
    <cfRule type="expression" dxfId="1178" priority="377">
      <formula>AND(AD$9&gt;=14/24,AD$9&lt;20/24)</formula>
    </cfRule>
    <cfRule type="expression" dxfId="1177" priority="379">
      <formula>AD$9&lt;8/24</formula>
    </cfRule>
    <cfRule type="expression" dxfId="1176" priority="378">
      <formula>AND(AD$9&gt;=8/24,AD$9&lt;14/24)</formula>
    </cfRule>
    <cfRule type="expression" dxfId="1175" priority="376">
      <formula>AD$9&gt;=20/24</formula>
    </cfRule>
  </conditionalFormatting>
  <conditionalFormatting sqref="AE74:AE75">
    <cfRule type="expression" dxfId="1174" priority="9">
      <formula>AE$9&gt;=20/24</formula>
    </cfRule>
    <cfRule type="expression" dxfId="1173" priority="10">
      <formula>AND(AE$9&gt;=14/24,AE$9&lt;20/24)</formula>
    </cfRule>
    <cfRule type="expression" dxfId="1172" priority="11">
      <formula>AND(AE$9&gt;=8/24,AE$9&lt;14/24)</formula>
    </cfRule>
    <cfRule type="expression" dxfId="1171" priority="12">
      <formula>AE$9&lt;8/24</formula>
    </cfRule>
  </conditionalFormatting>
  <conditionalFormatting sqref="AE76:AF76 AA77:AE78 AF77:AF83">
    <cfRule type="expression" dxfId="1170" priority="5">
      <formula>AA$9&gt;=20/24</formula>
    </cfRule>
    <cfRule type="expression" dxfId="1169" priority="8">
      <formula>AA$9&lt;8/24</formula>
    </cfRule>
    <cfRule type="expression" dxfId="1168" priority="7">
      <formula>AND(AA$9&gt;=8/24,AA$9&lt;14/24)</formula>
    </cfRule>
    <cfRule type="expression" dxfId="1167" priority="6">
      <formula>AND(AA$9&gt;=14/24,AA$9&lt;20/24)</formula>
    </cfRule>
  </conditionalFormatting>
  <conditionalFormatting sqref="AF73:AF75 M74:AC75 AD74:AD76">
    <cfRule type="expression" dxfId="1166" priority="364">
      <formula>AND(M$9&gt;=8/24,M$9&lt;14/24)</formula>
    </cfRule>
    <cfRule type="expression" dxfId="1165" priority="365">
      <formula>M$9&lt;8/24</formula>
    </cfRule>
    <cfRule type="expression" dxfId="1164" priority="362">
      <formula>M$9&gt;=20/24</formula>
    </cfRule>
    <cfRule type="expression" dxfId="1163" priority="363">
      <formula>AND(M$9&gt;=14/24,M$9&lt;20/24)</formula>
    </cfRule>
  </conditionalFormatting>
  <conditionalFormatting sqref="AG50">
    <cfRule type="expression" dxfId="1162" priority="333">
      <formula>AG50&gt;$AG50</formula>
    </cfRule>
  </conditionalFormatting>
  <conditionalFormatting sqref="AG89">
    <cfRule type="expression" dxfId="1161" priority="336">
      <formula>AND(AG$9&gt;=8/24,AG$9&lt;14/24)</formula>
    </cfRule>
    <cfRule type="expression" dxfId="1160" priority="335">
      <formula>AND(AG$9&gt;=14/24,AG$9&lt;20/24)</formula>
    </cfRule>
    <cfRule type="expression" dxfId="1159" priority="334">
      <formula>AG$9&gt;=20/24</formula>
    </cfRule>
    <cfRule type="expression" dxfId="1158" priority="337">
      <formula>AG$9&lt;8/24</formula>
    </cfRule>
  </conditionalFormatting>
  <conditionalFormatting sqref="AG248">
    <cfRule type="expression" dxfId="1157" priority="415">
      <formula>B$9&lt;8/24</formula>
    </cfRule>
    <cfRule type="expression" dxfId="1156" priority="414">
      <formula>AND(B$9&gt;=8/24,B$9&lt;14/24)</formula>
    </cfRule>
    <cfRule type="expression" dxfId="1155" priority="413">
      <formula>AND(B$9&gt;=14/24,B$9&lt;20/24)</formula>
    </cfRule>
    <cfRule type="expression" dxfId="1154" priority="412">
      <formula>B$9&gt;=20/24</formula>
    </cfRule>
  </conditionalFormatting>
  <conditionalFormatting sqref="AH248:AX248">
    <cfRule type="expression" dxfId="1153" priority="418">
      <formula>AND(AG$9&gt;=8/24,AG$9&lt;14/24)</formula>
    </cfRule>
    <cfRule type="expression" dxfId="1152" priority="417">
      <formula>AND(AG$9&gt;=14/24,AG$9&lt;20/24)</formula>
    </cfRule>
    <cfRule type="expression" dxfId="1151" priority="416">
      <formula>AG$9&gt;=20/24</formula>
    </cfRule>
    <cfRule type="expression" dxfId="1150" priority="419">
      <formula>AG$9&lt;8/24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149" priority="428">
      <formula>AJ$9&lt;8/24</formula>
    </cfRule>
    <cfRule type="expression" dxfId="1148" priority="425">
      <formula>AJ$9&gt;=20/24</formula>
    </cfRule>
    <cfRule type="expression" dxfId="1147" priority="426">
      <formula>AND(AJ$9&gt;=14/24,AJ$9&lt;20/24)</formula>
    </cfRule>
    <cfRule type="expression" dxfId="1146" priority="427">
      <formula>AND(AJ$9&gt;=8/24,AJ$9&lt;14/24)</formula>
    </cfRule>
  </conditionalFormatting>
  <conditionalFormatting sqref="AL80:AN80 AL86:AN86">
    <cfRule type="expression" dxfId="1145" priority="225">
      <formula>AL$9&gt;=20/24</formula>
    </cfRule>
    <cfRule type="expression" dxfId="1144" priority="226">
      <formula>AND(AL$9&gt;=14/24,AL$9&lt;20/24)</formula>
    </cfRule>
    <cfRule type="expression" dxfId="1143" priority="227">
      <formula>AND(AL$9&gt;=8/24,AL$9&lt;14/24)</formula>
    </cfRule>
    <cfRule type="expression" dxfId="1142" priority="228">
      <formula>AL$9&lt;8/24</formula>
    </cfRule>
  </conditionalFormatting>
  <conditionalFormatting sqref="AN81:AN84">
    <cfRule type="expression" dxfId="1141" priority="222">
      <formula>AND(AN$9&gt;=14/24,AN$9&lt;20/24)</formula>
    </cfRule>
    <cfRule type="expression" dxfId="1140" priority="223">
      <formula>AND(AN$9&gt;=8/24,AN$9&lt;14/24)</formula>
    </cfRule>
    <cfRule type="expression" dxfId="1139" priority="224">
      <formula>AN$9&lt;8/24</formula>
    </cfRule>
    <cfRule type="expression" dxfId="1138" priority="221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17D7-748D-49E7-BC49-EA932C59F327}">
  <dimension ref="A1:CJ281"/>
  <sheetViews>
    <sheetView zoomScale="90" zoomScaleNormal="90" workbookViewId="0">
      <pane xSplit="1" ySplit="10" topLeftCell="B54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T75" sqref="T7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8" style="1" customWidth="1"/>
    <col min="12" max="15" width="7.140625" style="1" bestFit="1" customWidth="1"/>
    <col min="16" max="16" width="6.7109375" style="1" customWidth="1"/>
    <col min="17" max="17" width="7.140625" style="1" customWidth="1"/>
    <col min="18" max="18" width="6.7109375" style="1" bestFit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2080/03/15</v>
      </c>
      <c r="C4" s="187"/>
      <c r="D4" s="187"/>
      <c r="E4" s="188" t="str">
        <f ca="1">"2079/"&amp;"12/"&amp;INT(MID(CELL("filename",G6),FIND("]",CELL("filename",G6))+1,200))</f>
        <v>2079/12/15</v>
      </c>
      <c r="F4" s="188"/>
      <c r="G4" s="188"/>
      <c r="H4" s="188" t="str">
        <f ca="1">TEXT(E4,"dddd")</f>
        <v>Friday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2.1</v>
      </c>
      <c r="C5" s="30">
        <f t="shared" si="0"/>
        <v>1</v>
      </c>
      <c r="D5" s="30">
        <f t="shared" si="0"/>
        <v>0.9</v>
      </c>
      <c r="E5" s="30">
        <f t="shared" si="0"/>
        <v>6.6</v>
      </c>
      <c r="F5" s="30">
        <f t="shared" si="0"/>
        <v>4</v>
      </c>
      <c r="G5" s="30">
        <f t="shared" si="0"/>
        <v>11.5</v>
      </c>
      <c r="H5" s="30">
        <f t="shared" si="0"/>
        <v>5.6</v>
      </c>
      <c r="I5" s="30">
        <f t="shared" si="0"/>
        <v>26</v>
      </c>
      <c r="J5" s="30">
        <f t="shared" si="0"/>
        <v>28.1</v>
      </c>
      <c r="K5" s="30">
        <f t="shared" si="0"/>
        <v>30</v>
      </c>
      <c r="L5" s="30">
        <f t="shared" si="0"/>
        <v>35</v>
      </c>
      <c r="M5" s="30">
        <f t="shared" si="0"/>
        <v>30</v>
      </c>
      <c r="N5" s="30">
        <f t="shared" si="0"/>
        <v>42</v>
      </c>
      <c r="O5" s="30">
        <f t="shared" si="0"/>
        <v>48.5</v>
      </c>
      <c r="P5" s="30">
        <f t="shared" si="0"/>
        <v>17</v>
      </c>
      <c r="Q5" s="30">
        <f t="shared" si="0"/>
        <v>64</v>
      </c>
      <c r="R5" s="30">
        <f t="shared" si="0"/>
        <v>68.2</v>
      </c>
      <c r="S5" s="30">
        <f t="shared" si="0"/>
        <v>33.700000000000003</v>
      </c>
      <c r="T5" s="30">
        <f t="shared" si="0"/>
        <v>18.5</v>
      </c>
      <c r="U5" s="30">
        <f t="shared" si="0"/>
        <v>20</v>
      </c>
      <c r="V5" s="30">
        <f t="shared" si="0"/>
        <v>38.6</v>
      </c>
      <c r="W5" s="30">
        <f t="shared" si="0"/>
        <v>38.6</v>
      </c>
      <c r="X5" s="30">
        <f t="shared" si="0"/>
        <v>15</v>
      </c>
      <c r="Y5" s="30">
        <f t="shared" si="0"/>
        <v>21.7</v>
      </c>
      <c r="Z5" s="30">
        <f t="shared" si="0"/>
        <v>35</v>
      </c>
      <c r="AA5" s="30">
        <f t="shared" si="0"/>
        <v>44</v>
      </c>
      <c r="AB5" s="30">
        <f t="shared" si="0"/>
        <v>26.2</v>
      </c>
      <c r="AC5" s="30">
        <f t="shared" si="0"/>
        <v>44.3</v>
      </c>
      <c r="AD5" s="30">
        <f t="shared" si="0"/>
        <v>42.6</v>
      </c>
      <c r="AE5" s="30">
        <f t="shared" si="0"/>
        <v>34</v>
      </c>
      <c r="AF5" s="30">
        <f>B84</f>
        <v>18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1906MW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Load=1108</v>
      </c>
      <c r="B7" s="35">
        <f t="shared" ref="B7:AF7" si="1">B91</f>
        <v>1825.25</v>
      </c>
      <c r="C7" s="35">
        <f t="shared" si="1"/>
        <v>1814.8500000000001</v>
      </c>
      <c r="D7" s="35">
        <f t="shared" si="1"/>
        <v>1803.55</v>
      </c>
      <c r="E7" s="35">
        <f t="shared" si="1"/>
        <v>1798.45</v>
      </c>
      <c r="F7" s="35">
        <f t="shared" si="1"/>
        <v>1762.0499999999997</v>
      </c>
      <c r="G7" s="35">
        <f t="shared" si="1"/>
        <v>1819.4499999999998</v>
      </c>
      <c r="H7" s="35">
        <f t="shared" si="1"/>
        <v>1796.75</v>
      </c>
      <c r="I7" s="35">
        <f t="shared" si="1"/>
        <v>1802.5499999999997</v>
      </c>
      <c r="J7" s="35">
        <f t="shared" si="1"/>
        <v>1822.9499999999998</v>
      </c>
      <c r="K7" s="35">
        <f t="shared" si="1"/>
        <v>1904.4499999999998</v>
      </c>
      <c r="L7" s="35">
        <f t="shared" si="1"/>
        <v>1906.35</v>
      </c>
      <c r="M7" s="35">
        <f t="shared" si="1"/>
        <v>1108.04</v>
      </c>
      <c r="N7" s="35">
        <f>N91</f>
        <v>1801.5500000000002</v>
      </c>
      <c r="O7" s="35">
        <f t="shared" si="1"/>
        <v>1837.25</v>
      </c>
      <c r="P7" s="35">
        <f t="shared" si="1"/>
        <v>1844.75</v>
      </c>
      <c r="Q7" s="35">
        <f t="shared" si="1"/>
        <v>1876.0500000000002</v>
      </c>
      <c r="R7" s="35">
        <f t="shared" si="1"/>
        <v>1847.7500000000002</v>
      </c>
      <c r="S7" s="35">
        <f t="shared" si="1"/>
        <v>1976.0500000000002</v>
      </c>
      <c r="T7" s="35">
        <f t="shared" si="1"/>
        <v>1969.1499999999999</v>
      </c>
      <c r="U7" s="35">
        <f t="shared" si="1"/>
        <v>1921.1499999999999</v>
      </c>
      <c r="V7" s="35">
        <f t="shared" si="1"/>
        <v>1867.25</v>
      </c>
      <c r="W7" s="35">
        <f t="shared" si="1"/>
        <v>1871.3500000000001</v>
      </c>
      <c r="X7" s="35">
        <f t="shared" si="1"/>
        <v>1886.15</v>
      </c>
      <c r="Y7" s="35">
        <f t="shared" si="1"/>
        <v>1845.0500000000002</v>
      </c>
      <c r="Z7" s="35">
        <f t="shared" si="1"/>
        <v>1837.3500000000001</v>
      </c>
      <c r="AA7" s="35">
        <f t="shared" si="1"/>
        <v>1926.85</v>
      </c>
      <c r="AB7" s="35">
        <f t="shared" si="1"/>
        <v>1939.4499999999998</v>
      </c>
      <c r="AC7" s="35">
        <f t="shared" si="1"/>
        <v>1906.6499999999999</v>
      </c>
      <c r="AD7" s="35">
        <f t="shared" si="1"/>
        <v>1849.55</v>
      </c>
      <c r="AE7" s="35">
        <f t="shared" si="1"/>
        <v>1833.95</v>
      </c>
      <c r="AF7" s="35">
        <f t="shared" si="1"/>
        <v>1845.3500000000001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60.7</v>
      </c>
      <c r="C11" s="45">
        <v>60.7</v>
      </c>
      <c r="D11" s="45">
        <v>60.7</v>
      </c>
      <c r="E11" s="45">
        <v>60.7</v>
      </c>
      <c r="F11" s="45">
        <v>60.7</v>
      </c>
      <c r="G11" s="45">
        <v>60.7</v>
      </c>
      <c r="H11" s="45">
        <v>60.7</v>
      </c>
      <c r="I11" s="45">
        <v>60.7</v>
      </c>
      <c r="J11" s="45">
        <v>60.7</v>
      </c>
      <c r="K11" s="45">
        <v>60.6</v>
      </c>
      <c r="L11" s="45">
        <v>60.6</v>
      </c>
      <c r="M11" s="45">
        <v>60.6</v>
      </c>
      <c r="N11" s="45">
        <v>60.6</v>
      </c>
      <c r="O11" s="45">
        <v>60.6</v>
      </c>
      <c r="P11" s="45">
        <v>60.6</v>
      </c>
      <c r="Q11" s="45">
        <v>60.6</v>
      </c>
      <c r="R11" s="45">
        <v>60.6</v>
      </c>
      <c r="S11" s="45">
        <v>60.6</v>
      </c>
      <c r="T11" s="45">
        <v>60.6</v>
      </c>
      <c r="U11" s="45">
        <v>60.6</v>
      </c>
      <c r="V11" s="45">
        <v>60.6</v>
      </c>
      <c r="W11" s="45">
        <v>60.6</v>
      </c>
      <c r="X11" s="45">
        <v>60.6</v>
      </c>
      <c r="Y11" s="45">
        <v>60.6</v>
      </c>
      <c r="Z11" s="45">
        <v>60.6</v>
      </c>
      <c r="AA11" s="45">
        <v>60.6</v>
      </c>
      <c r="AB11" s="45">
        <v>60.6</v>
      </c>
      <c r="AC11" s="45">
        <v>60.6</v>
      </c>
      <c r="AD11" s="45">
        <v>60.6</v>
      </c>
      <c r="AE11" s="45">
        <v>60.6</v>
      </c>
      <c r="AF11" s="45">
        <v>60.6</v>
      </c>
      <c r="AG11" s="46">
        <v>86</v>
      </c>
      <c r="AH11" s="47">
        <f t="shared" ref="AH11:AH76" si="2">MAX(B11:AF11)</f>
        <v>60.7</v>
      </c>
      <c r="AI11" s="48">
        <f t="shared" ref="AI11:AI76" si="3">MIN(B11:AF11)</f>
        <v>60.6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17</v>
      </c>
      <c r="L12" s="45">
        <v>17</v>
      </c>
      <c r="M12" s="45"/>
      <c r="N12" s="45">
        <v>0</v>
      </c>
      <c r="O12" s="45">
        <v>0</v>
      </c>
      <c r="P12" s="45">
        <v>0</v>
      </c>
      <c r="Q12" s="45">
        <v>0</v>
      </c>
      <c r="R12" s="45">
        <v>15</v>
      </c>
      <c r="S12" s="45">
        <v>25</v>
      </c>
      <c r="T12" s="45">
        <v>25</v>
      </c>
      <c r="U12" s="45">
        <v>25</v>
      </c>
      <c r="V12" s="45">
        <v>15</v>
      </c>
      <c r="W12" s="45">
        <v>15</v>
      </c>
      <c r="X12" s="45">
        <v>15</v>
      </c>
      <c r="Y12" s="45">
        <v>15</v>
      </c>
      <c r="Z12" s="45">
        <v>15</v>
      </c>
      <c r="AA12" s="45">
        <v>27</v>
      </c>
      <c r="AB12" s="45">
        <v>27</v>
      </c>
      <c r="AC12" s="45">
        <v>27</v>
      </c>
      <c r="AD12" s="45">
        <v>27</v>
      </c>
      <c r="AE12" s="45">
        <v>8</v>
      </c>
      <c r="AF12" s="45">
        <v>20</v>
      </c>
      <c r="AG12" s="49">
        <v>54</v>
      </c>
      <c r="AH12" s="47">
        <f t="shared" si="2"/>
        <v>27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54.8</v>
      </c>
      <c r="C13" s="45">
        <v>54.8</v>
      </c>
      <c r="D13" s="45">
        <v>54.7</v>
      </c>
      <c r="E13" s="45">
        <v>54.7</v>
      </c>
      <c r="F13" s="45">
        <v>54.7</v>
      </c>
      <c r="G13" s="45">
        <v>54.7</v>
      </c>
      <c r="H13" s="45">
        <v>54.7</v>
      </c>
      <c r="I13" s="45">
        <v>54.7</v>
      </c>
      <c r="J13" s="45">
        <v>54.7</v>
      </c>
      <c r="K13" s="45">
        <v>54.6</v>
      </c>
      <c r="L13" s="45">
        <v>54.6</v>
      </c>
      <c r="M13" s="45">
        <v>54.6</v>
      </c>
      <c r="N13" s="45">
        <v>54.6</v>
      </c>
      <c r="O13" s="45">
        <v>54.6</v>
      </c>
      <c r="P13" s="45">
        <v>54.6</v>
      </c>
      <c r="Q13" s="45">
        <v>54.6</v>
      </c>
      <c r="R13" s="45">
        <v>54.6</v>
      </c>
      <c r="S13" s="45">
        <v>54.6</v>
      </c>
      <c r="T13" s="45">
        <v>54.6</v>
      </c>
      <c r="U13" s="45">
        <v>54.6</v>
      </c>
      <c r="V13" s="45">
        <v>54.6</v>
      </c>
      <c r="W13" s="45">
        <v>54.5</v>
      </c>
      <c r="X13" s="45">
        <v>54.5</v>
      </c>
      <c r="Y13" s="45">
        <v>54.5</v>
      </c>
      <c r="Z13" s="45">
        <v>54.5</v>
      </c>
      <c r="AA13" s="45">
        <v>54.5</v>
      </c>
      <c r="AB13" s="45">
        <v>54.5</v>
      </c>
      <c r="AC13" s="45">
        <v>54.5</v>
      </c>
      <c r="AD13" s="45">
        <v>54.5</v>
      </c>
      <c r="AE13" s="45">
        <v>54.5</v>
      </c>
      <c r="AF13" s="45">
        <v>54.5</v>
      </c>
      <c r="AG13" s="46">
        <v>52.4</v>
      </c>
      <c r="AH13" s="47">
        <f t="shared" si="2"/>
        <v>54.8</v>
      </c>
      <c r="AI13" s="48">
        <f t="shared" si="3"/>
        <v>54.5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45">
        <v>50.6</v>
      </c>
      <c r="C14" s="45">
        <v>50.3</v>
      </c>
      <c r="D14" s="45">
        <v>50.3</v>
      </c>
      <c r="E14" s="45">
        <v>50.3</v>
      </c>
      <c r="F14" s="45">
        <v>50.3</v>
      </c>
      <c r="G14" s="45">
        <v>50.3</v>
      </c>
      <c r="H14" s="45">
        <v>50.3</v>
      </c>
      <c r="I14" s="45">
        <v>50.3</v>
      </c>
      <c r="J14" s="45">
        <v>50.3</v>
      </c>
      <c r="K14" s="45">
        <v>50.6</v>
      </c>
      <c r="L14" s="45">
        <v>50.6</v>
      </c>
      <c r="M14" s="50"/>
      <c r="N14" s="50">
        <v>0</v>
      </c>
      <c r="O14" s="50">
        <v>0</v>
      </c>
      <c r="P14" s="50">
        <v>0</v>
      </c>
      <c r="Q14" s="50">
        <v>50.6</v>
      </c>
      <c r="R14" s="50">
        <v>50.6</v>
      </c>
      <c r="S14" s="50">
        <v>50.6</v>
      </c>
      <c r="T14" s="50">
        <v>50.6</v>
      </c>
      <c r="U14" s="50">
        <v>50.6</v>
      </c>
      <c r="V14" s="50">
        <v>50.6</v>
      </c>
      <c r="W14" s="50">
        <v>50.6</v>
      </c>
      <c r="X14" s="50">
        <v>50.6</v>
      </c>
      <c r="Y14" s="50">
        <v>50.6</v>
      </c>
      <c r="Z14" s="50">
        <v>50.6</v>
      </c>
      <c r="AA14" s="50">
        <v>50.6</v>
      </c>
      <c r="AB14" s="50">
        <v>50.2</v>
      </c>
      <c r="AC14" s="50">
        <v>50.2</v>
      </c>
      <c r="AD14" s="50">
        <v>0</v>
      </c>
      <c r="AE14" s="50">
        <v>50</v>
      </c>
      <c r="AF14" s="50">
        <v>50</v>
      </c>
      <c r="AG14" s="49">
        <v>50</v>
      </c>
      <c r="AH14" s="47">
        <f t="shared" si="2"/>
        <v>50.6</v>
      </c>
      <c r="AI14" s="48">
        <f t="shared" si="3"/>
        <v>0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45.9</v>
      </c>
      <c r="C15" s="45">
        <v>45</v>
      </c>
      <c r="D15" s="45">
        <v>45.8</v>
      </c>
      <c r="E15" s="45">
        <v>45.8</v>
      </c>
      <c r="F15" s="45">
        <v>45.8</v>
      </c>
      <c r="G15" s="45">
        <v>45.8</v>
      </c>
      <c r="H15" s="45">
        <v>45.8</v>
      </c>
      <c r="I15" s="45">
        <v>45.8</v>
      </c>
      <c r="J15" s="45">
        <v>45.8</v>
      </c>
      <c r="K15" s="45">
        <v>45.8</v>
      </c>
      <c r="L15" s="45">
        <v>45.8</v>
      </c>
      <c r="M15" s="45"/>
      <c r="N15" s="45">
        <v>45.8</v>
      </c>
      <c r="O15" s="45">
        <v>45.8</v>
      </c>
      <c r="P15" s="45">
        <v>45.8</v>
      </c>
      <c r="Q15" s="45">
        <v>45.8</v>
      </c>
      <c r="R15" s="45">
        <v>45.8</v>
      </c>
      <c r="S15" s="45">
        <v>46.1</v>
      </c>
      <c r="T15" s="45">
        <v>46.1</v>
      </c>
      <c r="U15" s="45">
        <v>46.1</v>
      </c>
      <c r="V15" s="45">
        <v>46.1</v>
      </c>
      <c r="W15" s="45">
        <v>45.9</v>
      </c>
      <c r="X15" s="45">
        <v>45.9</v>
      </c>
      <c r="Y15" s="45">
        <v>45.9</v>
      </c>
      <c r="Z15" s="45">
        <v>45.9</v>
      </c>
      <c r="AA15" s="45">
        <v>45.9</v>
      </c>
      <c r="AB15" s="45">
        <v>45.9</v>
      </c>
      <c r="AC15" s="45">
        <v>45.9</v>
      </c>
      <c r="AD15" s="45">
        <v>45.9</v>
      </c>
      <c r="AE15" s="45">
        <v>45.9</v>
      </c>
      <c r="AF15" s="45">
        <v>45.9</v>
      </c>
      <c r="AG15" s="49">
        <v>45</v>
      </c>
      <c r="AH15" s="47">
        <f t="shared" si="2"/>
        <v>46.1</v>
      </c>
      <c r="AI15" s="48">
        <f t="shared" si="3"/>
        <v>45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/>
      <c r="N16" s="45">
        <v>44</v>
      </c>
      <c r="O16" s="45">
        <v>44</v>
      </c>
      <c r="P16" s="45">
        <v>44</v>
      </c>
      <c r="Q16" s="45">
        <v>44</v>
      </c>
      <c r="R16" s="45">
        <v>12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12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28</v>
      </c>
      <c r="C17" s="45">
        <v>28</v>
      </c>
      <c r="D17" s="45">
        <v>28</v>
      </c>
      <c r="E17" s="45">
        <v>28</v>
      </c>
      <c r="F17" s="45">
        <v>32</v>
      </c>
      <c r="G17" s="45">
        <v>32</v>
      </c>
      <c r="H17" s="45">
        <v>28</v>
      </c>
      <c r="I17" s="45">
        <v>28</v>
      </c>
      <c r="J17" s="45">
        <v>28</v>
      </c>
      <c r="K17" s="45">
        <v>29</v>
      </c>
      <c r="L17" s="45">
        <v>29</v>
      </c>
      <c r="M17" s="45"/>
      <c r="N17" s="45">
        <v>29</v>
      </c>
      <c r="O17" s="45">
        <v>29</v>
      </c>
      <c r="P17" s="45">
        <v>29</v>
      </c>
      <c r="Q17" s="45">
        <v>29</v>
      </c>
      <c r="R17" s="45">
        <v>12</v>
      </c>
      <c r="S17" s="45">
        <v>29</v>
      </c>
      <c r="T17" s="45">
        <v>29</v>
      </c>
      <c r="U17" s="45">
        <v>29</v>
      </c>
      <c r="V17" s="45">
        <v>29</v>
      </c>
      <c r="W17" s="45">
        <v>29</v>
      </c>
      <c r="X17" s="45">
        <v>29</v>
      </c>
      <c r="Y17" s="45">
        <v>29</v>
      </c>
      <c r="Z17" s="45">
        <v>29</v>
      </c>
      <c r="AA17" s="45">
        <v>29</v>
      </c>
      <c r="AB17" s="45">
        <v>29</v>
      </c>
      <c r="AC17" s="45">
        <v>29</v>
      </c>
      <c r="AD17" s="45">
        <v>29</v>
      </c>
      <c r="AE17" s="45">
        <v>29</v>
      </c>
      <c r="AF17" s="45">
        <v>29</v>
      </c>
      <c r="AG17" s="49">
        <v>42</v>
      </c>
      <c r="AH17" s="47">
        <f t="shared" si="2"/>
        <v>32</v>
      </c>
      <c r="AI17" s="48">
        <f t="shared" si="3"/>
        <v>12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/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36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10</v>
      </c>
      <c r="L20" s="45">
        <v>10</v>
      </c>
      <c r="M20" s="45"/>
      <c r="N20" s="45">
        <v>0</v>
      </c>
      <c r="O20" s="45">
        <v>0</v>
      </c>
      <c r="P20" s="45">
        <v>0</v>
      </c>
      <c r="Q20" s="45">
        <v>0</v>
      </c>
      <c r="R20" s="45">
        <v>10</v>
      </c>
      <c r="S20" s="45">
        <v>20</v>
      </c>
      <c r="T20" s="45">
        <v>20</v>
      </c>
      <c r="U20" s="45">
        <v>15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15</v>
      </c>
      <c r="AB20" s="45">
        <v>13</v>
      </c>
      <c r="AC20" s="45">
        <v>13</v>
      </c>
      <c r="AD20" s="45">
        <v>13</v>
      </c>
      <c r="AE20" s="45">
        <v>5</v>
      </c>
      <c r="AF20" s="45">
        <v>10</v>
      </c>
      <c r="AG20" s="51">
        <v>30</v>
      </c>
      <c r="AH20" s="47">
        <f t="shared" si="2"/>
        <v>20</v>
      </c>
      <c r="AI20" s="48">
        <f t="shared" si="3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20.8</v>
      </c>
      <c r="C21" s="45">
        <v>20.7</v>
      </c>
      <c r="D21" s="45">
        <v>20.7</v>
      </c>
      <c r="E21" s="45">
        <v>20.7</v>
      </c>
      <c r="F21" s="45">
        <v>20.7</v>
      </c>
      <c r="G21" s="45">
        <v>20.7</v>
      </c>
      <c r="H21" s="45">
        <v>20.7</v>
      </c>
      <c r="I21" s="45">
        <v>20.7</v>
      </c>
      <c r="J21" s="45">
        <v>20.7</v>
      </c>
      <c r="K21" s="45">
        <v>29</v>
      </c>
      <c r="L21" s="45">
        <v>29</v>
      </c>
      <c r="M21" s="45">
        <v>20</v>
      </c>
      <c r="N21" s="45">
        <v>29</v>
      </c>
      <c r="O21" s="45">
        <v>29</v>
      </c>
      <c r="P21" s="45">
        <v>29</v>
      </c>
      <c r="Q21" s="45">
        <v>29</v>
      </c>
      <c r="R21" s="45">
        <v>29</v>
      </c>
      <c r="S21" s="45">
        <v>29</v>
      </c>
      <c r="T21" s="45">
        <v>29</v>
      </c>
      <c r="U21" s="45">
        <v>29</v>
      </c>
      <c r="V21" s="45">
        <v>23</v>
      </c>
      <c r="W21" s="45">
        <v>21</v>
      </c>
      <c r="X21" s="45">
        <v>21</v>
      </c>
      <c r="Y21" s="45">
        <v>21</v>
      </c>
      <c r="Z21" s="45">
        <v>21</v>
      </c>
      <c r="AA21" s="45">
        <v>21</v>
      </c>
      <c r="AB21" s="45">
        <v>21</v>
      </c>
      <c r="AC21" s="45">
        <v>21</v>
      </c>
      <c r="AD21" s="45">
        <v>21</v>
      </c>
      <c r="AE21" s="45">
        <v>21</v>
      </c>
      <c r="AF21" s="45">
        <v>21</v>
      </c>
      <c r="AG21" s="49">
        <v>24.2</v>
      </c>
      <c r="AH21" s="47">
        <f t="shared" si="2"/>
        <v>29</v>
      </c>
      <c r="AI21" s="48">
        <f t="shared" si="3"/>
        <v>20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33</v>
      </c>
      <c r="L22" s="45">
        <v>33</v>
      </c>
      <c r="M22" s="45">
        <v>17</v>
      </c>
      <c r="N22" s="45">
        <v>33</v>
      </c>
      <c r="O22" s="45">
        <v>33</v>
      </c>
      <c r="P22" s="45">
        <v>33</v>
      </c>
      <c r="Q22" s="45">
        <v>18</v>
      </c>
      <c r="R22" s="45">
        <v>18</v>
      </c>
      <c r="S22" s="45">
        <v>28</v>
      </c>
      <c r="T22" s="45">
        <v>28</v>
      </c>
      <c r="U22" s="45">
        <v>28</v>
      </c>
      <c r="V22" s="45">
        <v>28</v>
      </c>
      <c r="W22" s="45">
        <v>20</v>
      </c>
      <c r="X22" s="45">
        <v>20</v>
      </c>
      <c r="Y22" s="45">
        <v>20</v>
      </c>
      <c r="Z22" s="45">
        <v>20</v>
      </c>
      <c r="AA22" s="45">
        <v>20</v>
      </c>
      <c r="AB22" s="45">
        <v>20</v>
      </c>
      <c r="AC22" s="45">
        <v>20</v>
      </c>
      <c r="AD22" s="45">
        <v>20</v>
      </c>
      <c r="AE22" s="45">
        <v>20</v>
      </c>
      <c r="AF22" s="45">
        <v>20</v>
      </c>
      <c r="AG22" s="49">
        <v>28</v>
      </c>
      <c r="AH22" s="47">
        <f t="shared" si="2"/>
        <v>33</v>
      </c>
      <c r="AI22" s="48">
        <f t="shared" si="3"/>
        <v>17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9</v>
      </c>
      <c r="L23" s="45">
        <v>9</v>
      </c>
      <c r="M23" s="45"/>
      <c r="N23" s="45">
        <v>0</v>
      </c>
      <c r="O23" s="45">
        <v>0</v>
      </c>
      <c r="P23" s="45">
        <v>0</v>
      </c>
      <c r="Q23" s="45">
        <v>0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24.4</v>
      </c>
      <c r="C24" s="45">
        <v>24.4</v>
      </c>
      <c r="D24" s="45">
        <v>24.4</v>
      </c>
      <c r="E24" s="45">
        <v>24.4</v>
      </c>
      <c r="F24" s="45">
        <v>24.4</v>
      </c>
      <c r="G24" s="45">
        <v>24.4</v>
      </c>
      <c r="H24" s="45">
        <v>24.4</v>
      </c>
      <c r="I24" s="45">
        <v>24.4</v>
      </c>
      <c r="J24" s="45">
        <v>24.4</v>
      </c>
      <c r="K24" s="45">
        <v>24.4</v>
      </c>
      <c r="L24" s="45">
        <v>24.4</v>
      </c>
      <c r="M24" s="45"/>
      <c r="N24" s="45">
        <v>24.4</v>
      </c>
      <c r="O24" s="45">
        <v>24.4</v>
      </c>
      <c r="P24" s="45">
        <v>24.4</v>
      </c>
      <c r="Q24" s="45">
        <v>24.4</v>
      </c>
      <c r="R24" s="45">
        <v>6</v>
      </c>
      <c r="S24" s="45">
        <v>26</v>
      </c>
      <c r="T24" s="45">
        <v>26</v>
      </c>
      <c r="U24" s="45">
        <v>26</v>
      </c>
      <c r="V24" s="45">
        <v>26</v>
      </c>
      <c r="W24" s="45">
        <v>26</v>
      </c>
      <c r="X24" s="45">
        <v>26</v>
      </c>
      <c r="Y24" s="45">
        <v>26</v>
      </c>
      <c r="Z24" s="45">
        <v>26</v>
      </c>
      <c r="AA24" s="45">
        <v>26</v>
      </c>
      <c r="AB24" s="45">
        <v>26</v>
      </c>
      <c r="AC24" s="45">
        <v>26</v>
      </c>
      <c r="AD24" s="45">
        <v>26</v>
      </c>
      <c r="AE24" s="45">
        <v>26</v>
      </c>
      <c r="AF24" s="45">
        <v>26</v>
      </c>
      <c r="AG24" s="49">
        <v>25</v>
      </c>
      <c r="AH24" s="47">
        <f t="shared" si="2"/>
        <v>26</v>
      </c>
      <c r="AI24" s="48">
        <f t="shared" si="3"/>
        <v>6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/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8</v>
      </c>
      <c r="L27" s="45">
        <v>8</v>
      </c>
      <c r="M27" s="45"/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12</v>
      </c>
      <c r="T27" s="45">
        <v>12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13</v>
      </c>
      <c r="AB27" s="45">
        <v>13</v>
      </c>
      <c r="AC27" s="45">
        <v>13</v>
      </c>
      <c r="AD27" s="45">
        <v>13</v>
      </c>
      <c r="AE27" s="45">
        <v>4</v>
      </c>
      <c r="AF27" s="45">
        <v>8</v>
      </c>
      <c r="AG27" s="49">
        <v>25</v>
      </c>
      <c r="AH27" s="47">
        <f t="shared" si="2"/>
        <v>13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24</v>
      </c>
      <c r="C28" s="45">
        <v>24</v>
      </c>
      <c r="D28" s="45">
        <v>24</v>
      </c>
      <c r="E28" s="45">
        <v>24</v>
      </c>
      <c r="F28" s="45">
        <v>24</v>
      </c>
      <c r="G28" s="45">
        <v>24</v>
      </c>
      <c r="H28" s="45">
        <v>24</v>
      </c>
      <c r="I28" s="45">
        <v>24</v>
      </c>
      <c r="J28" s="45">
        <v>24</v>
      </c>
      <c r="K28" s="45">
        <v>22.1</v>
      </c>
      <c r="L28" s="45">
        <v>22.1</v>
      </c>
      <c r="M28" s="45">
        <v>22.1</v>
      </c>
      <c r="N28" s="45">
        <v>22.1</v>
      </c>
      <c r="O28" s="45">
        <v>22.1</v>
      </c>
      <c r="P28" s="45">
        <v>22.1</v>
      </c>
      <c r="Q28" s="45">
        <v>22.1</v>
      </c>
      <c r="R28" s="45">
        <v>22.1</v>
      </c>
      <c r="S28" s="45">
        <v>22.1</v>
      </c>
      <c r="T28" s="45">
        <v>22.1</v>
      </c>
      <c r="U28" s="45">
        <v>22.1</v>
      </c>
      <c r="V28" s="45">
        <v>22.1</v>
      </c>
      <c r="W28" s="45">
        <v>23.7</v>
      </c>
      <c r="X28" s="45">
        <v>23.7</v>
      </c>
      <c r="Y28" s="45">
        <v>23.7</v>
      </c>
      <c r="Z28" s="45">
        <v>23.7</v>
      </c>
      <c r="AA28" s="45">
        <v>23</v>
      </c>
      <c r="AB28" s="45">
        <v>23</v>
      </c>
      <c r="AC28" s="45">
        <v>23</v>
      </c>
      <c r="AD28" s="45">
        <v>23</v>
      </c>
      <c r="AE28" s="45">
        <v>23</v>
      </c>
      <c r="AF28" s="45">
        <v>23</v>
      </c>
      <c r="AG28" s="49">
        <v>23.5</v>
      </c>
      <c r="AH28" s="47">
        <f t="shared" si="2"/>
        <v>24</v>
      </c>
      <c r="AI28" s="48">
        <f t="shared" si="3"/>
        <v>22.1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/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/>
      <c r="N32" s="45">
        <v>22</v>
      </c>
      <c r="O32" s="45">
        <v>22</v>
      </c>
      <c r="P32" s="45">
        <v>22</v>
      </c>
      <c r="Q32" s="45">
        <v>22</v>
      </c>
      <c r="R32" s="45">
        <v>0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0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15</v>
      </c>
      <c r="C33" s="45">
        <v>10</v>
      </c>
      <c r="D33" s="45">
        <v>10</v>
      </c>
      <c r="E33" s="45">
        <v>5</v>
      </c>
      <c r="F33" s="45">
        <v>10</v>
      </c>
      <c r="G33" s="45">
        <v>10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/>
      <c r="N33" s="45">
        <v>6</v>
      </c>
      <c r="O33" s="45">
        <v>6</v>
      </c>
      <c r="P33" s="45">
        <v>6</v>
      </c>
      <c r="Q33" s="45">
        <v>6</v>
      </c>
      <c r="R33" s="45">
        <v>0</v>
      </c>
      <c r="S33" s="45">
        <v>10</v>
      </c>
      <c r="T33" s="45">
        <v>10</v>
      </c>
      <c r="U33" s="45">
        <v>10</v>
      </c>
      <c r="V33" s="45">
        <v>10</v>
      </c>
      <c r="W33" s="45">
        <v>10</v>
      </c>
      <c r="X33" s="45">
        <v>10</v>
      </c>
      <c r="Y33" s="45">
        <v>10</v>
      </c>
      <c r="Z33" s="45">
        <v>10</v>
      </c>
      <c r="AA33" s="45">
        <v>15</v>
      </c>
      <c r="AB33" s="45">
        <v>15</v>
      </c>
      <c r="AC33" s="45">
        <v>15</v>
      </c>
      <c r="AD33" s="45">
        <v>15</v>
      </c>
      <c r="AE33" s="45">
        <v>10</v>
      </c>
      <c r="AF33" s="45">
        <v>5</v>
      </c>
      <c r="AG33" s="49">
        <v>20</v>
      </c>
      <c r="AH33" s="47">
        <f t="shared" si="2"/>
        <v>15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/>
      <c r="N34" s="45">
        <v>0</v>
      </c>
      <c r="O34" s="45">
        <v>16</v>
      </c>
      <c r="P34" s="45">
        <v>10</v>
      </c>
      <c r="Q34" s="45">
        <v>10</v>
      </c>
      <c r="R34" s="45">
        <v>0</v>
      </c>
      <c r="S34" s="45">
        <v>5</v>
      </c>
      <c r="T34" s="45">
        <v>5</v>
      </c>
      <c r="U34" s="45">
        <v>5</v>
      </c>
      <c r="V34" s="45">
        <v>5</v>
      </c>
      <c r="W34" s="45">
        <v>5</v>
      </c>
      <c r="X34" s="45">
        <v>5</v>
      </c>
      <c r="Y34" s="45">
        <v>5</v>
      </c>
      <c r="Z34" s="45">
        <v>10</v>
      </c>
      <c r="AA34" s="45">
        <v>10</v>
      </c>
      <c r="AB34" s="45">
        <v>10</v>
      </c>
      <c r="AC34" s="45">
        <v>10</v>
      </c>
      <c r="AD34" s="45">
        <v>0</v>
      </c>
      <c r="AE34" s="45">
        <v>0</v>
      </c>
      <c r="AF34" s="45">
        <v>0</v>
      </c>
      <c r="AG34" s="49">
        <v>18</v>
      </c>
      <c r="AH34" s="47">
        <f t="shared" si="2"/>
        <v>16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/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/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6</v>
      </c>
      <c r="L39" s="45">
        <v>6</v>
      </c>
      <c r="M39" s="45"/>
      <c r="N39" s="45">
        <v>0</v>
      </c>
      <c r="O39" s="45">
        <v>0</v>
      </c>
      <c r="P39" s="45">
        <v>0</v>
      </c>
      <c r="Q39" s="45">
        <v>0</v>
      </c>
      <c r="R39" s="45">
        <v>5</v>
      </c>
      <c r="S39" s="45">
        <v>5</v>
      </c>
      <c r="T39" s="45">
        <v>5</v>
      </c>
      <c r="U39" s="45">
        <v>5</v>
      </c>
      <c r="V39" s="45">
        <v>5</v>
      </c>
      <c r="W39" s="45">
        <v>5</v>
      </c>
      <c r="X39" s="45">
        <v>5</v>
      </c>
      <c r="Y39" s="45">
        <v>5</v>
      </c>
      <c r="Z39" s="45">
        <v>5</v>
      </c>
      <c r="AA39" s="45">
        <v>5</v>
      </c>
      <c r="AB39" s="45">
        <v>5</v>
      </c>
      <c r="AC39" s="45">
        <v>5</v>
      </c>
      <c r="AD39" s="45">
        <v>5</v>
      </c>
      <c r="AE39" s="45">
        <v>2</v>
      </c>
      <c r="AF39" s="45">
        <v>6</v>
      </c>
      <c r="AG39" s="49">
        <v>12</v>
      </c>
      <c r="AH39" s="47">
        <f t="shared" si="2"/>
        <v>6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/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3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5</v>
      </c>
      <c r="L41" s="45">
        <v>5</v>
      </c>
      <c r="M41" s="45">
        <v>5</v>
      </c>
      <c r="N41" s="45">
        <v>5</v>
      </c>
      <c r="O41" s="45">
        <v>5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0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10.199999999999999</v>
      </c>
      <c r="C42" s="45">
        <v>10.199999999999999</v>
      </c>
      <c r="D42" s="45">
        <v>10.199999999999999</v>
      </c>
      <c r="E42" s="45">
        <v>10.199999999999999</v>
      </c>
      <c r="F42" s="45">
        <v>10.199999999999999</v>
      </c>
      <c r="G42" s="45">
        <v>10.199999999999999</v>
      </c>
      <c r="H42" s="45">
        <v>10.199999999999999</v>
      </c>
      <c r="I42" s="45">
        <v>10.199999999999999</v>
      </c>
      <c r="J42" s="45">
        <v>10.199999999999999</v>
      </c>
      <c r="K42" s="45">
        <v>10.199999999999999</v>
      </c>
      <c r="L42" s="45">
        <v>10.199999999999999</v>
      </c>
      <c r="M42" s="45">
        <v>10.199999999999999</v>
      </c>
      <c r="N42" s="45">
        <v>10.199999999999999</v>
      </c>
      <c r="O42" s="45">
        <v>10.199999999999999</v>
      </c>
      <c r="P42" s="45">
        <v>10.199999999999999</v>
      </c>
      <c r="Q42" s="45">
        <v>10.199999999999999</v>
      </c>
      <c r="R42" s="45">
        <v>10.199999999999999</v>
      </c>
      <c r="S42" s="45">
        <v>10.199999999999999</v>
      </c>
      <c r="T42" s="45">
        <v>10.199999999999999</v>
      </c>
      <c r="U42" s="45">
        <v>10.199999999999999</v>
      </c>
      <c r="V42" s="45">
        <v>10.199999999999999</v>
      </c>
      <c r="W42" s="45">
        <v>10.199999999999999</v>
      </c>
      <c r="X42" s="45">
        <v>10.199999999999999</v>
      </c>
      <c r="Y42" s="45">
        <v>10.199999999999999</v>
      </c>
      <c r="Z42" s="45">
        <v>10.199999999999999</v>
      </c>
      <c r="AA42" s="45">
        <v>10.199999999999999</v>
      </c>
      <c r="AB42" s="45">
        <v>10.199999999999999</v>
      </c>
      <c r="AC42" s="45">
        <v>10.199999999999999</v>
      </c>
      <c r="AD42" s="45">
        <v>10.199999999999999</v>
      </c>
      <c r="AE42" s="45">
        <v>10.199999999999999</v>
      </c>
      <c r="AF42" s="45">
        <v>10.199999999999999</v>
      </c>
      <c r="AG42" s="52">
        <v>22</v>
      </c>
      <c r="AH42" s="47">
        <f t="shared" si="2"/>
        <v>10.199999999999999</v>
      </c>
      <c r="AI42" s="48">
        <f t="shared" si="3"/>
        <v>10.199999999999999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/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10.210000000000001</v>
      </c>
      <c r="C44" s="45">
        <v>10.210000000000001</v>
      </c>
      <c r="D44" s="45">
        <v>10.210000000000001</v>
      </c>
      <c r="E44" s="45">
        <v>10.210000000000001</v>
      </c>
      <c r="F44" s="45">
        <v>10.210000000000001</v>
      </c>
      <c r="G44" s="45">
        <v>10.210000000000001</v>
      </c>
      <c r="H44" s="45">
        <v>10.210000000000001</v>
      </c>
      <c r="I44" s="45">
        <v>10.210000000000001</v>
      </c>
      <c r="J44" s="45">
        <v>10.210000000000001</v>
      </c>
      <c r="K44" s="45">
        <v>10.210000000000001</v>
      </c>
      <c r="L44" s="45">
        <v>10.210000000000001</v>
      </c>
      <c r="M44" s="45"/>
      <c r="N44" s="45">
        <v>10.210000000000001</v>
      </c>
      <c r="O44" s="45">
        <v>10.210000000000001</v>
      </c>
      <c r="P44" s="45">
        <v>10.210000000000001</v>
      </c>
      <c r="Q44" s="45">
        <v>10.210000000000001</v>
      </c>
      <c r="R44" s="45">
        <v>10.210000000000001</v>
      </c>
      <c r="S44" s="45">
        <v>10.210000000000001</v>
      </c>
      <c r="T44" s="45">
        <v>10.210000000000001</v>
      </c>
      <c r="U44" s="45">
        <v>10.210000000000001</v>
      </c>
      <c r="V44" s="45">
        <v>10.210000000000001</v>
      </c>
      <c r="W44" s="45">
        <v>10.210000000000001</v>
      </c>
      <c r="X44" s="45">
        <v>10.210000000000001</v>
      </c>
      <c r="Y44" s="45">
        <v>10.210000000000001</v>
      </c>
      <c r="Z44" s="45">
        <v>10.210000000000001</v>
      </c>
      <c r="AA44" s="45">
        <v>10.210000000000001</v>
      </c>
      <c r="AB44" s="45">
        <v>10.210000000000001</v>
      </c>
      <c r="AC44" s="45">
        <v>10.210000000000001</v>
      </c>
      <c r="AD44" s="45">
        <v>10.210000000000001</v>
      </c>
      <c r="AE44" s="45">
        <v>10.210000000000001</v>
      </c>
      <c r="AF44" s="45">
        <v>10.210000000000001</v>
      </c>
      <c r="AG44" s="54">
        <v>11</v>
      </c>
      <c r="AH44" s="47">
        <f t="shared" si="2"/>
        <v>10.210000000000001</v>
      </c>
      <c r="AI44" s="48">
        <f t="shared" si="3"/>
        <v>10.210000000000001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/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10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C50" si="4">SUM(B11:B48)</f>
        <v>900.91000000000008</v>
      </c>
      <c r="C50" s="59">
        <f t="shared" si="4"/>
        <v>891.61</v>
      </c>
      <c r="D50" s="59">
        <f t="shared" ref="D50" si="5">SUM(D11:D48)</f>
        <v>892.31</v>
      </c>
      <c r="E50" s="59">
        <f t="shared" ref="E50:AF50" si="6">SUM(E11:E48)</f>
        <v>887.31</v>
      </c>
      <c r="F50" s="59">
        <f t="shared" si="6"/>
        <v>896.31</v>
      </c>
      <c r="G50" s="59">
        <f t="shared" si="6"/>
        <v>896.31</v>
      </c>
      <c r="H50" s="59">
        <f t="shared" si="6"/>
        <v>887.31</v>
      </c>
      <c r="I50" s="59">
        <f t="shared" si="6"/>
        <v>887.31</v>
      </c>
      <c r="J50" s="59">
        <f t="shared" si="6"/>
        <v>887.31</v>
      </c>
      <c r="K50" s="59">
        <f t="shared" si="6"/>
        <v>962.81000000000006</v>
      </c>
      <c r="L50" s="59">
        <f t="shared" si="6"/>
        <v>962.81000000000006</v>
      </c>
      <c r="M50" s="59">
        <f t="shared" si="6"/>
        <v>524.5</v>
      </c>
      <c r="N50" s="59">
        <f t="shared" si="6"/>
        <v>871.21</v>
      </c>
      <c r="O50" s="59">
        <f t="shared" si="6"/>
        <v>887.21</v>
      </c>
      <c r="P50" s="59">
        <f t="shared" si="6"/>
        <v>888.21</v>
      </c>
      <c r="Q50" s="59">
        <f t="shared" si="6"/>
        <v>923.81000000000006</v>
      </c>
      <c r="R50" s="59">
        <f t="shared" si="6"/>
        <v>857.41000000000008</v>
      </c>
      <c r="S50" s="59">
        <f t="shared" si="6"/>
        <v>997.71</v>
      </c>
      <c r="T50" s="59">
        <f t="shared" si="6"/>
        <v>997.71</v>
      </c>
      <c r="U50" s="59">
        <f t="shared" si="6"/>
        <v>988.71</v>
      </c>
      <c r="V50" s="59">
        <f t="shared" si="6"/>
        <v>967.71</v>
      </c>
      <c r="W50" s="59">
        <f t="shared" si="6"/>
        <v>959.0100000000001</v>
      </c>
      <c r="X50" s="59">
        <f t="shared" si="6"/>
        <v>959.0100000000001</v>
      </c>
      <c r="Y50" s="59">
        <f t="shared" si="6"/>
        <v>959.0100000000001</v>
      </c>
      <c r="Z50" s="59">
        <f t="shared" si="6"/>
        <v>964.0100000000001</v>
      </c>
      <c r="AA50" s="59">
        <f t="shared" si="6"/>
        <v>990.31000000000006</v>
      </c>
      <c r="AB50" s="59">
        <f t="shared" si="6"/>
        <v>987.91000000000008</v>
      </c>
      <c r="AC50" s="59">
        <f t="shared" si="6"/>
        <v>987.91000000000008</v>
      </c>
      <c r="AD50" s="59">
        <f t="shared" si="6"/>
        <v>927.71</v>
      </c>
      <c r="AE50" s="59">
        <f t="shared" si="6"/>
        <v>933.71</v>
      </c>
      <c r="AF50" s="59">
        <f t="shared" si="6"/>
        <v>953.71</v>
      </c>
      <c r="AG50" s="60">
        <f>SUM(AG13:AG48)</f>
        <v>922.14</v>
      </c>
      <c r="AH50" s="47">
        <f t="shared" si="2"/>
        <v>997.71</v>
      </c>
      <c r="AI50" s="48">
        <f t="shared" si="3"/>
        <v>524.5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62">
        <v>456</v>
      </c>
      <c r="O51" s="62">
        <v>456</v>
      </c>
      <c r="P51" s="62">
        <v>456</v>
      </c>
      <c r="Q51" s="62">
        <v>456</v>
      </c>
      <c r="R51" s="62">
        <v>456</v>
      </c>
      <c r="S51" s="62">
        <v>456</v>
      </c>
      <c r="T51" s="62">
        <v>456</v>
      </c>
      <c r="U51" s="62">
        <v>456</v>
      </c>
      <c r="V51" s="62">
        <v>456</v>
      </c>
      <c r="W51" s="62">
        <v>456</v>
      </c>
      <c r="X51" s="62">
        <v>456</v>
      </c>
      <c r="Y51" s="45">
        <v>430</v>
      </c>
      <c r="Z51" s="45">
        <v>400</v>
      </c>
      <c r="AA51" s="45">
        <v>450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400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60</v>
      </c>
      <c r="T52" s="64">
        <v>60</v>
      </c>
      <c r="U52" s="64">
        <v>60</v>
      </c>
      <c r="V52" s="64">
        <v>60</v>
      </c>
      <c r="W52" s="64">
        <v>55</v>
      </c>
      <c r="X52" s="64">
        <v>55</v>
      </c>
      <c r="Y52" s="64">
        <v>55</v>
      </c>
      <c r="Z52" s="64">
        <v>50</v>
      </c>
      <c r="AA52" s="64">
        <v>50</v>
      </c>
      <c r="AB52" s="64">
        <v>50</v>
      </c>
      <c r="AC52" s="64">
        <v>50</v>
      </c>
      <c r="AD52" s="64">
        <v>50</v>
      </c>
      <c r="AE52" s="64">
        <v>50</v>
      </c>
      <c r="AF52" s="64">
        <v>50</v>
      </c>
      <c r="AG52" s="54">
        <v>60</v>
      </c>
      <c r="AH52" s="47">
        <f t="shared" si="2"/>
        <v>60</v>
      </c>
      <c r="AI52" s="48">
        <f t="shared" si="3"/>
        <v>50</v>
      </c>
      <c r="AK52" s="74"/>
    </row>
    <row r="53" spans="1:41" ht="15.75" thickBot="1" x14ac:dyDescent="0.3">
      <c r="A53" s="65" t="s">
        <v>69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/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22.4</v>
      </c>
      <c r="AG53" s="67">
        <v>22.1</v>
      </c>
      <c r="AH53" s="47">
        <f t="shared" si="2"/>
        <v>22.5</v>
      </c>
      <c r="AI53" s="48">
        <f t="shared" si="3"/>
        <v>22.4</v>
      </c>
      <c r="AK53" s="74"/>
    </row>
    <row r="54" spans="1:41" ht="15.75" thickBot="1" x14ac:dyDescent="0.3">
      <c r="A54" s="68" t="s">
        <v>70</v>
      </c>
      <c r="B54" s="59">
        <f t="shared" ref="B54" si="7">SUM(B51:B53)</f>
        <v>533.5</v>
      </c>
      <c r="C54" s="59">
        <f t="shared" ref="C54:AG54" si="8">SUM(C51:C53)</f>
        <v>533.5</v>
      </c>
      <c r="D54" s="59">
        <f t="shared" ref="D54" si="9">SUM(D51:D53)</f>
        <v>533.5</v>
      </c>
      <c r="E54" s="59">
        <f t="shared" si="8"/>
        <v>533.5</v>
      </c>
      <c r="F54" s="59">
        <f t="shared" si="8"/>
        <v>533.5</v>
      </c>
      <c r="G54" s="59">
        <f t="shared" si="8"/>
        <v>533.5</v>
      </c>
      <c r="H54" s="59">
        <f t="shared" si="8"/>
        <v>533.5</v>
      </c>
      <c r="I54" s="59">
        <f t="shared" si="8"/>
        <v>533.5</v>
      </c>
      <c r="J54" s="59">
        <f t="shared" si="8"/>
        <v>533.5</v>
      </c>
      <c r="K54" s="59">
        <f t="shared" si="8"/>
        <v>533.5</v>
      </c>
      <c r="L54" s="59">
        <f t="shared" si="8"/>
        <v>533.5</v>
      </c>
      <c r="M54" s="59">
        <f t="shared" si="8"/>
        <v>511</v>
      </c>
      <c r="N54" s="59">
        <f t="shared" si="8"/>
        <v>533.5</v>
      </c>
      <c r="O54" s="59">
        <f t="shared" si="8"/>
        <v>533.5</v>
      </c>
      <c r="P54" s="59">
        <f t="shared" si="8"/>
        <v>533.5</v>
      </c>
      <c r="Q54" s="59">
        <f t="shared" si="8"/>
        <v>533.5</v>
      </c>
      <c r="R54" s="59">
        <f t="shared" si="8"/>
        <v>533.5</v>
      </c>
      <c r="S54" s="59">
        <f t="shared" si="8"/>
        <v>538.5</v>
      </c>
      <c r="T54" s="59">
        <f t="shared" si="8"/>
        <v>538.5</v>
      </c>
      <c r="U54" s="59">
        <f t="shared" si="8"/>
        <v>538.5</v>
      </c>
      <c r="V54" s="59">
        <f t="shared" si="8"/>
        <v>538.5</v>
      </c>
      <c r="W54" s="59">
        <f t="shared" si="8"/>
        <v>533.5</v>
      </c>
      <c r="X54" s="59">
        <f t="shared" si="8"/>
        <v>533.5</v>
      </c>
      <c r="Y54" s="59">
        <f t="shared" si="8"/>
        <v>507.5</v>
      </c>
      <c r="Z54" s="59">
        <f t="shared" si="8"/>
        <v>472.5</v>
      </c>
      <c r="AA54" s="59">
        <f t="shared" si="8"/>
        <v>522.4</v>
      </c>
      <c r="AB54" s="59">
        <f t="shared" si="8"/>
        <v>528.4</v>
      </c>
      <c r="AC54" s="59">
        <f t="shared" si="8"/>
        <v>528.4</v>
      </c>
      <c r="AD54" s="59">
        <f t="shared" si="8"/>
        <v>528.4</v>
      </c>
      <c r="AE54" s="59">
        <f t="shared" si="8"/>
        <v>528.4</v>
      </c>
      <c r="AF54" s="59">
        <f t="shared" si="8"/>
        <v>528.4</v>
      </c>
      <c r="AG54" s="60">
        <f t="shared" si="8"/>
        <v>538.1</v>
      </c>
      <c r="AH54" s="47">
        <f t="shared" si="2"/>
        <v>538.5</v>
      </c>
      <c r="AI54" s="48">
        <f t="shared" si="3"/>
        <v>472.5</v>
      </c>
      <c r="AK54" s="74"/>
    </row>
    <row r="55" spans="1:41" x14ac:dyDescent="0.25">
      <c r="A55" s="44" t="s">
        <v>71</v>
      </c>
      <c r="B55" s="45">
        <v>97</v>
      </c>
      <c r="C55" s="45">
        <v>96.7</v>
      </c>
      <c r="D55" s="45">
        <v>96.7</v>
      </c>
      <c r="E55" s="45">
        <v>96.7</v>
      </c>
      <c r="F55" s="45">
        <v>96.7</v>
      </c>
      <c r="G55" s="45">
        <v>96.7</v>
      </c>
      <c r="H55" s="45">
        <v>96.7</v>
      </c>
      <c r="I55" s="45">
        <v>90</v>
      </c>
      <c r="J55" s="45">
        <v>90</v>
      </c>
      <c r="K55" s="45">
        <v>95</v>
      </c>
      <c r="L55" s="45">
        <v>95</v>
      </c>
      <c r="M55" s="45"/>
      <c r="N55" s="45">
        <v>95</v>
      </c>
      <c r="O55" s="45">
        <v>95</v>
      </c>
      <c r="P55" s="45">
        <v>95</v>
      </c>
      <c r="Q55" s="45">
        <v>96</v>
      </c>
      <c r="R55" s="45">
        <v>86</v>
      </c>
      <c r="S55" s="45">
        <v>85.8</v>
      </c>
      <c r="T55" s="45">
        <v>94.6</v>
      </c>
      <c r="U55" s="45">
        <v>94.6</v>
      </c>
      <c r="V55" s="45">
        <v>85</v>
      </c>
      <c r="W55" s="45">
        <v>85</v>
      </c>
      <c r="X55" s="45">
        <v>85</v>
      </c>
      <c r="Y55" s="45">
        <v>85</v>
      </c>
      <c r="Z55" s="45">
        <v>94.8</v>
      </c>
      <c r="AA55" s="45">
        <v>94.8</v>
      </c>
      <c r="AB55" s="45">
        <v>94.8</v>
      </c>
      <c r="AC55" s="45">
        <v>94.8</v>
      </c>
      <c r="AD55" s="45">
        <v>94.8</v>
      </c>
      <c r="AE55" s="45">
        <v>94.8</v>
      </c>
      <c r="AF55" s="45">
        <v>94.8</v>
      </c>
      <c r="AG55" s="51">
        <v>144</v>
      </c>
      <c r="AH55" s="47">
        <f t="shared" si="2"/>
        <v>97</v>
      </c>
      <c r="AI55" s="48">
        <f t="shared" si="3"/>
        <v>85</v>
      </c>
      <c r="AK55" s="74"/>
    </row>
    <row r="56" spans="1:41" x14ac:dyDescent="0.25">
      <c r="A56" s="53" t="s">
        <v>72</v>
      </c>
      <c r="B56" s="45">
        <v>70.400000000000006</v>
      </c>
      <c r="C56" s="64">
        <v>70.400000000000006</v>
      </c>
      <c r="D56" s="64">
        <v>71</v>
      </c>
      <c r="E56" s="64">
        <v>71</v>
      </c>
      <c r="F56" s="64">
        <v>71</v>
      </c>
      <c r="G56" s="64">
        <v>71</v>
      </c>
      <c r="H56" s="64">
        <v>71</v>
      </c>
      <c r="I56" s="64">
        <v>70</v>
      </c>
      <c r="J56" s="64">
        <v>70</v>
      </c>
      <c r="K56" s="64">
        <v>70.2</v>
      </c>
      <c r="L56" s="64">
        <v>70.2</v>
      </c>
      <c r="M56" s="64"/>
      <c r="N56" s="64">
        <v>0</v>
      </c>
      <c r="O56" s="64">
        <v>0</v>
      </c>
      <c r="P56" s="64">
        <v>0</v>
      </c>
      <c r="Q56" s="64">
        <v>68</v>
      </c>
      <c r="R56" s="64">
        <v>69</v>
      </c>
      <c r="S56" s="45">
        <v>69.2</v>
      </c>
      <c r="T56" s="45">
        <v>71.099999999999994</v>
      </c>
      <c r="U56" s="45">
        <v>71.099999999999994</v>
      </c>
      <c r="V56" s="45">
        <v>71.099999999999994</v>
      </c>
      <c r="W56" s="45">
        <v>71.099999999999994</v>
      </c>
      <c r="X56" s="45">
        <v>71.099999999999994</v>
      </c>
      <c r="Y56" s="45">
        <v>71.099999999999994</v>
      </c>
      <c r="Z56" s="45">
        <v>70.400000000000006</v>
      </c>
      <c r="AA56" s="45">
        <v>70.400000000000006</v>
      </c>
      <c r="AB56" s="45">
        <v>70.400000000000006</v>
      </c>
      <c r="AC56" s="45">
        <v>70.400000000000006</v>
      </c>
      <c r="AD56" s="45">
        <v>70.400000000000006</v>
      </c>
      <c r="AE56" s="45">
        <v>70.400000000000006</v>
      </c>
      <c r="AF56" s="45">
        <v>70.400000000000006</v>
      </c>
      <c r="AG56" s="54">
        <v>70</v>
      </c>
      <c r="AH56" s="47">
        <f t="shared" si="2"/>
        <v>71.099999999999994</v>
      </c>
      <c r="AI56" s="48">
        <f t="shared" si="3"/>
        <v>0</v>
      </c>
      <c r="AK56" s="74"/>
    </row>
    <row r="57" spans="1:41" x14ac:dyDescent="0.25">
      <c r="A57" s="53" t="s">
        <v>73</v>
      </c>
      <c r="B57" s="45">
        <v>68.400000000000006</v>
      </c>
      <c r="C57" s="64">
        <v>68.5</v>
      </c>
      <c r="D57" s="64">
        <v>68.2</v>
      </c>
      <c r="E57" s="64">
        <v>68.2</v>
      </c>
      <c r="F57" s="64">
        <v>68.2</v>
      </c>
      <c r="G57" s="64">
        <v>68.2</v>
      </c>
      <c r="H57" s="64">
        <v>56.8</v>
      </c>
      <c r="I57" s="64">
        <v>68.2</v>
      </c>
      <c r="J57" s="64">
        <v>68.2</v>
      </c>
      <c r="K57" s="64">
        <v>67.900000000000006</v>
      </c>
      <c r="L57" s="64">
        <v>67.900000000000006</v>
      </c>
      <c r="M57" s="64"/>
      <c r="N57" s="64">
        <v>67.900000000000006</v>
      </c>
      <c r="O57" s="64">
        <v>67.900000000000006</v>
      </c>
      <c r="P57" s="64">
        <v>67.900000000000006</v>
      </c>
      <c r="Q57" s="64">
        <v>67.900000000000006</v>
      </c>
      <c r="R57" s="64">
        <v>68</v>
      </c>
      <c r="S57" s="64">
        <v>67</v>
      </c>
      <c r="T57" s="64">
        <v>67</v>
      </c>
      <c r="U57" s="64">
        <v>67</v>
      </c>
      <c r="V57" s="64">
        <v>63</v>
      </c>
      <c r="W57" s="64">
        <v>63</v>
      </c>
      <c r="X57" s="64">
        <v>63</v>
      </c>
      <c r="Y57" s="64">
        <v>63</v>
      </c>
      <c r="Z57" s="45">
        <v>63.6</v>
      </c>
      <c r="AA57" s="45">
        <v>63.6</v>
      </c>
      <c r="AB57" s="45">
        <v>63.6</v>
      </c>
      <c r="AC57" s="45">
        <v>63.6</v>
      </c>
      <c r="AD57" s="45">
        <v>63.6</v>
      </c>
      <c r="AE57" s="45">
        <v>43.7</v>
      </c>
      <c r="AF57" s="45">
        <v>43.7</v>
      </c>
      <c r="AG57" s="54">
        <v>69</v>
      </c>
      <c r="AH57" s="47">
        <f t="shared" si="2"/>
        <v>68.5</v>
      </c>
      <c r="AI57" s="48">
        <f t="shared" si="3"/>
        <v>43.7</v>
      </c>
      <c r="AK57" s="74"/>
    </row>
    <row r="58" spans="1:41" x14ac:dyDescent="0.25">
      <c r="A58" s="53" t="s">
        <v>74</v>
      </c>
      <c r="B58" s="45">
        <v>60.2</v>
      </c>
      <c r="C58" s="64">
        <v>60</v>
      </c>
      <c r="D58" s="64">
        <v>51.1</v>
      </c>
      <c r="E58" s="64">
        <v>51.1</v>
      </c>
      <c r="F58" s="64">
        <v>0</v>
      </c>
      <c r="G58" s="64">
        <v>60</v>
      </c>
      <c r="H58" s="64">
        <v>50.2</v>
      </c>
      <c r="I58" s="64">
        <v>59.2</v>
      </c>
      <c r="J58" s="64">
        <v>59.2</v>
      </c>
      <c r="K58" s="64">
        <v>59.2</v>
      </c>
      <c r="L58" s="64">
        <v>59.2</v>
      </c>
      <c r="M58" s="64"/>
      <c r="N58" s="64">
        <v>59.2</v>
      </c>
      <c r="O58" s="64">
        <v>59.2</v>
      </c>
      <c r="P58" s="64">
        <v>59.2</v>
      </c>
      <c r="Q58" s="64">
        <v>59.2</v>
      </c>
      <c r="R58" s="64">
        <v>59.2</v>
      </c>
      <c r="S58" s="64">
        <v>60.7</v>
      </c>
      <c r="T58" s="64">
        <v>60.7</v>
      </c>
      <c r="U58" s="64">
        <v>60.7</v>
      </c>
      <c r="V58" s="64">
        <v>60.7</v>
      </c>
      <c r="W58" s="64">
        <v>60.7</v>
      </c>
      <c r="X58" s="64">
        <v>60.7</v>
      </c>
      <c r="Y58" s="64">
        <v>60.7</v>
      </c>
      <c r="Z58" s="45">
        <v>61.4</v>
      </c>
      <c r="AA58" s="45">
        <v>61.4</v>
      </c>
      <c r="AB58" s="45">
        <v>61.4</v>
      </c>
      <c r="AC58" s="45">
        <v>61.4</v>
      </c>
      <c r="AD58" s="45">
        <v>61.4</v>
      </c>
      <c r="AE58" s="45">
        <v>61.4</v>
      </c>
      <c r="AF58" s="45">
        <v>61.4</v>
      </c>
      <c r="AG58" s="54">
        <v>60</v>
      </c>
      <c r="AH58" s="47">
        <f t="shared" si="2"/>
        <v>61.4</v>
      </c>
      <c r="AI58" s="48">
        <f t="shared" si="3"/>
        <v>0</v>
      </c>
      <c r="AK58" s="74"/>
    </row>
    <row r="59" spans="1:41" x14ac:dyDescent="0.25">
      <c r="A59" s="53" t="s">
        <v>75</v>
      </c>
      <c r="B59" s="45">
        <v>15</v>
      </c>
      <c r="C59" s="64">
        <v>30</v>
      </c>
      <c r="D59" s="64">
        <v>30</v>
      </c>
      <c r="E59" s="64">
        <v>30</v>
      </c>
      <c r="F59" s="64">
        <v>30</v>
      </c>
      <c r="G59" s="64">
        <v>30</v>
      </c>
      <c r="H59" s="64">
        <v>30</v>
      </c>
      <c r="I59" s="64">
        <v>30</v>
      </c>
      <c r="J59" s="64">
        <v>30</v>
      </c>
      <c r="K59" s="64">
        <v>30</v>
      </c>
      <c r="L59" s="64">
        <v>30</v>
      </c>
      <c r="M59" s="64">
        <v>30</v>
      </c>
      <c r="N59" s="64">
        <v>30</v>
      </c>
      <c r="O59" s="64">
        <v>30</v>
      </c>
      <c r="P59" s="64">
        <v>30</v>
      </c>
      <c r="Q59" s="64">
        <v>30</v>
      </c>
      <c r="R59" s="64">
        <v>30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15</v>
      </c>
      <c r="Y59" s="64">
        <v>24</v>
      </c>
      <c r="Z59" s="45">
        <v>30</v>
      </c>
      <c r="AA59" s="45">
        <v>30</v>
      </c>
      <c r="AB59" s="45">
        <v>30</v>
      </c>
      <c r="AC59" s="45">
        <v>15</v>
      </c>
      <c r="AD59" s="45">
        <v>0</v>
      </c>
      <c r="AE59" s="45">
        <v>0</v>
      </c>
      <c r="AF59" s="45">
        <v>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45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1</v>
      </c>
      <c r="L60" s="64">
        <v>1</v>
      </c>
      <c r="M60" s="64"/>
      <c r="N60" s="64">
        <v>1</v>
      </c>
      <c r="O60" s="64">
        <v>1</v>
      </c>
      <c r="P60" s="64">
        <v>1</v>
      </c>
      <c r="Q60" s="64">
        <v>1</v>
      </c>
      <c r="R60" s="64">
        <v>1</v>
      </c>
      <c r="S60" s="64">
        <v>7.8</v>
      </c>
      <c r="T60" s="64">
        <v>7</v>
      </c>
      <c r="U60" s="64">
        <v>4.2</v>
      </c>
      <c r="V60" s="64">
        <v>2</v>
      </c>
      <c r="W60" s="64">
        <v>1.2</v>
      </c>
      <c r="X60" s="64">
        <v>1</v>
      </c>
      <c r="Y60" s="64">
        <v>0.5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7.8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16</v>
      </c>
      <c r="C61" s="64">
        <v>16</v>
      </c>
      <c r="D61" s="64">
        <v>14</v>
      </c>
      <c r="E61" s="64">
        <v>14</v>
      </c>
      <c r="F61" s="64">
        <v>14</v>
      </c>
      <c r="G61" s="64">
        <v>14</v>
      </c>
      <c r="H61" s="64">
        <v>14</v>
      </c>
      <c r="I61" s="64">
        <v>13</v>
      </c>
      <c r="J61" s="64">
        <v>13</v>
      </c>
      <c r="K61" s="64">
        <v>11</v>
      </c>
      <c r="L61" s="64">
        <v>11</v>
      </c>
      <c r="M61" s="64"/>
      <c r="N61" s="64">
        <v>11</v>
      </c>
      <c r="O61" s="64">
        <v>11</v>
      </c>
      <c r="P61" s="64">
        <v>11</v>
      </c>
      <c r="Q61" s="64">
        <v>11</v>
      </c>
      <c r="R61" s="64">
        <v>11</v>
      </c>
      <c r="S61" s="64">
        <v>14</v>
      </c>
      <c r="T61" s="64">
        <v>14</v>
      </c>
      <c r="U61" s="64">
        <v>14</v>
      </c>
      <c r="V61" s="64">
        <v>14</v>
      </c>
      <c r="W61" s="64">
        <v>14</v>
      </c>
      <c r="X61" s="64">
        <v>14</v>
      </c>
      <c r="Y61" s="64">
        <v>14</v>
      </c>
      <c r="Z61" s="64">
        <v>14</v>
      </c>
      <c r="AA61" s="64">
        <v>14</v>
      </c>
      <c r="AB61" s="64">
        <v>14</v>
      </c>
      <c r="AC61" s="64">
        <v>14</v>
      </c>
      <c r="AD61" s="64">
        <v>14</v>
      </c>
      <c r="AE61" s="64">
        <v>14</v>
      </c>
      <c r="AF61" s="64">
        <v>14</v>
      </c>
      <c r="AG61" s="54">
        <v>24</v>
      </c>
      <c r="AH61" s="47">
        <f t="shared" si="2"/>
        <v>16</v>
      </c>
      <c r="AI61" s="48">
        <f t="shared" si="3"/>
        <v>11</v>
      </c>
      <c r="AK61" s="74"/>
    </row>
    <row r="62" spans="1:41" x14ac:dyDescent="0.25">
      <c r="A62" s="53" t="s">
        <v>78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>
        <v>4</v>
      </c>
      <c r="P62" s="64">
        <v>4</v>
      </c>
      <c r="Q62" s="64">
        <v>4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2"/>
        <v>4</v>
      </c>
      <c r="AI62" s="48">
        <f t="shared" si="3"/>
        <v>4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13.2</v>
      </c>
      <c r="C63" s="64">
        <v>13.2</v>
      </c>
      <c r="D63" s="64">
        <v>13</v>
      </c>
      <c r="E63" s="64">
        <v>13</v>
      </c>
      <c r="F63" s="64">
        <v>13</v>
      </c>
      <c r="G63" s="64">
        <v>13</v>
      </c>
      <c r="H63" s="64">
        <v>13</v>
      </c>
      <c r="I63" s="64">
        <v>13</v>
      </c>
      <c r="J63" s="64">
        <v>13</v>
      </c>
      <c r="K63" s="64">
        <v>13</v>
      </c>
      <c r="L63" s="64">
        <v>13</v>
      </c>
      <c r="M63" s="64"/>
      <c r="N63" s="64">
        <v>13</v>
      </c>
      <c r="O63" s="64">
        <v>13</v>
      </c>
      <c r="P63" s="64">
        <v>13</v>
      </c>
      <c r="Q63" s="64">
        <v>13</v>
      </c>
      <c r="R63" s="64">
        <v>13</v>
      </c>
      <c r="S63" s="64">
        <v>12.5</v>
      </c>
      <c r="T63" s="64">
        <v>12.5</v>
      </c>
      <c r="U63" s="64">
        <v>12.5</v>
      </c>
      <c r="V63" s="64">
        <v>12.5</v>
      </c>
      <c r="W63" s="64">
        <v>12.5</v>
      </c>
      <c r="X63" s="64">
        <v>12.5</v>
      </c>
      <c r="Y63" s="64">
        <v>12.5</v>
      </c>
      <c r="Z63" s="64">
        <v>11.7</v>
      </c>
      <c r="AA63" s="64">
        <v>11.7</v>
      </c>
      <c r="AB63" s="64">
        <v>11.7</v>
      </c>
      <c r="AC63" s="64">
        <v>11.7</v>
      </c>
      <c r="AD63" s="64">
        <v>11.7</v>
      </c>
      <c r="AE63" s="64">
        <v>11.7</v>
      </c>
      <c r="AF63" s="64">
        <v>11.7</v>
      </c>
      <c r="AG63" s="54">
        <v>14.1</v>
      </c>
      <c r="AH63" s="47">
        <f t="shared" si="2"/>
        <v>13.2</v>
      </c>
      <c r="AI63" s="48">
        <f t="shared" si="3"/>
        <v>11.7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9.4</v>
      </c>
      <c r="C64" s="64">
        <v>9.6</v>
      </c>
      <c r="D64" s="64">
        <v>9.5</v>
      </c>
      <c r="E64" s="64">
        <v>9.5</v>
      </c>
      <c r="F64" s="64">
        <v>9.5</v>
      </c>
      <c r="G64" s="64">
        <v>9.5</v>
      </c>
      <c r="H64" s="64">
        <v>9.5</v>
      </c>
      <c r="I64" s="64">
        <v>9.5</v>
      </c>
      <c r="J64" s="64">
        <v>9.5</v>
      </c>
      <c r="K64" s="64">
        <v>9.5</v>
      </c>
      <c r="L64" s="64">
        <v>9.5</v>
      </c>
      <c r="M64" s="64"/>
      <c r="N64" s="64">
        <v>9.5</v>
      </c>
      <c r="O64" s="64">
        <v>9.5</v>
      </c>
      <c r="P64" s="64">
        <v>9.5</v>
      </c>
      <c r="Q64" s="64">
        <v>9.5</v>
      </c>
      <c r="R64" s="64">
        <v>9.5</v>
      </c>
      <c r="S64" s="64">
        <v>9.5</v>
      </c>
      <c r="T64" s="64">
        <v>9.5</v>
      </c>
      <c r="U64" s="64">
        <v>9.5</v>
      </c>
      <c r="V64" s="64">
        <v>9.5</v>
      </c>
      <c r="W64" s="64">
        <v>9.5</v>
      </c>
      <c r="X64" s="64">
        <v>9.5</v>
      </c>
      <c r="Y64" s="64">
        <v>9.5</v>
      </c>
      <c r="Z64" s="64">
        <v>10</v>
      </c>
      <c r="AA64" s="64">
        <v>10</v>
      </c>
      <c r="AB64" s="64">
        <v>10</v>
      </c>
      <c r="AC64" s="64">
        <v>10</v>
      </c>
      <c r="AD64" s="64">
        <v>10</v>
      </c>
      <c r="AE64" s="64">
        <v>10</v>
      </c>
      <c r="AF64" s="64">
        <v>10</v>
      </c>
      <c r="AG64" s="54">
        <v>14</v>
      </c>
      <c r="AH64" s="47">
        <f t="shared" si="2"/>
        <v>10</v>
      </c>
      <c r="AI64" s="48">
        <f t="shared" si="3"/>
        <v>9.4</v>
      </c>
      <c r="AK64" s="74"/>
    </row>
    <row r="65" spans="1:40" x14ac:dyDescent="0.25">
      <c r="A65" s="53" t="s">
        <v>81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/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/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" si="10">SUM(B55:B67)</f>
        <v>372.84</v>
      </c>
      <c r="C68" s="59">
        <f t="shared" ref="C68:AG68" si="11">SUM(C55:C67)</f>
        <v>387.64000000000004</v>
      </c>
      <c r="D68" s="59">
        <f t="shared" ref="D68" si="12">SUM(D55:D67)</f>
        <v>376.74</v>
      </c>
      <c r="E68" s="59">
        <f t="shared" si="11"/>
        <v>376.74</v>
      </c>
      <c r="F68" s="59">
        <f t="shared" si="11"/>
        <v>325.64</v>
      </c>
      <c r="G68" s="59">
        <f t="shared" si="11"/>
        <v>385.64</v>
      </c>
      <c r="H68" s="59">
        <f t="shared" si="11"/>
        <v>364.44</v>
      </c>
      <c r="I68" s="59">
        <f t="shared" si="11"/>
        <v>376.14</v>
      </c>
      <c r="J68" s="59">
        <f t="shared" si="11"/>
        <v>376.14</v>
      </c>
      <c r="K68" s="59">
        <f t="shared" si="11"/>
        <v>380.04</v>
      </c>
      <c r="L68" s="59">
        <f t="shared" si="11"/>
        <v>380.04</v>
      </c>
      <c r="M68" s="59">
        <f t="shared" si="11"/>
        <v>37.54</v>
      </c>
      <c r="N68" s="59">
        <f t="shared" si="11"/>
        <v>309.84000000000003</v>
      </c>
      <c r="O68" s="59">
        <f t="shared" si="11"/>
        <v>309.84000000000003</v>
      </c>
      <c r="P68" s="59">
        <f t="shared" si="11"/>
        <v>309.84000000000003</v>
      </c>
      <c r="Q68" s="59">
        <f t="shared" si="11"/>
        <v>378.84000000000003</v>
      </c>
      <c r="R68" s="59">
        <f t="shared" si="11"/>
        <v>369.94</v>
      </c>
      <c r="S68" s="59">
        <f t="shared" si="11"/>
        <v>349.74</v>
      </c>
      <c r="T68" s="59">
        <f t="shared" si="11"/>
        <v>359.64</v>
      </c>
      <c r="U68" s="59">
        <f t="shared" si="11"/>
        <v>356.84</v>
      </c>
      <c r="V68" s="59">
        <f t="shared" si="11"/>
        <v>341.04</v>
      </c>
      <c r="W68" s="59">
        <f t="shared" si="11"/>
        <v>340.24</v>
      </c>
      <c r="X68" s="59">
        <f t="shared" si="11"/>
        <v>355.04</v>
      </c>
      <c r="Y68" s="59">
        <f t="shared" si="11"/>
        <v>363.54</v>
      </c>
      <c r="Z68" s="59">
        <f t="shared" si="11"/>
        <v>379.14</v>
      </c>
      <c r="AA68" s="59">
        <f t="shared" si="11"/>
        <v>379.14</v>
      </c>
      <c r="AB68" s="59">
        <f t="shared" si="11"/>
        <v>379.14</v>
      </c>
      <c r="AC68" s="59">
        <f t="shared" si="11"/>
        <v>364.14</v>
      </c>
      <c r="AD68" s="59">
        <f t="shared" si="11"/>
        <v>349.14</v>
      </c>
      <c r="AE68" s="59">
        <f t="shared" si="11"/>
        <v>329.23999999999995</v>
      </c>
      <c r="AF68" s="59">
        <f t="shared" si="11"/>
        <v>329.23999999999995</v>
      </c>
      <c r="AG68" s="60">
        <f t="shared" si="11"/>
        <v>489.91</v>
      </c>
      <c r="AH68" s="47">
        <f t="shared" si="2"/>
        <v>387.64000000000004</v>
      </c>
      <c r="AI68" s="48">
        <f t="shared" si="3"/>
        <v>37.54</v>
      </c>
      <c r="AK68" s="74"/>
    </row>
    <row r="69" spans="1:40" x14ac:dyDescent="0.25">
      <c r="A69" s="44" t="s">
        <v>85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/>
      <c r="N69" s="45">
        <v>35</v>
      </c>
      <c r="O69" s="45">
        <v>40</v>
      </c>
      <c r="P69" s="45">
        <v>40</v>
      </c>
      <c r="Q69" s="45">
        <v>14</v>
      </c>
      <c r="R69" s="45">
        <v>14</v>
      </c>
      <c r="S69" s="45">
        <v>14</v>
      </c>
      <c r="T69" s="45">
        <v>24</v>
      </c>
      <c r="U69" s="45">
        <v>10.4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/>
      <c r="AC69" s="45"/>
      <c r="AD69" s="45"/>
      <c r="AE69" s="45"/>
      <c r="AF69" s="45"/>
      <c r="AG69" s="51">
        <v>60</v>
      </c>
      <c r="AH69" s="47">
        <f t="shared" si="2"/>
        <v>40</v>
      </c>
      <c r="AI69" s="48">
        <f t="shared" si="3"/>
        <v>0</v>
      </c>
      <c r="AK69" s="74"/>
    </row>
    <row r="70" spans="1:40" x14ac:dyDescent="0.25">
      <c r="A70" s="53" t="s">
        <v>86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/>
      <c r="N70" s="64">
        <v>16</v>
      </c>
      <c r="O70" s="64">
        <v>18.7</v>
      </c>
      <c r="P70" s="64">
        <v>18.7</v>
      </c>
      <c r="Q70" s="64">
        <v>6.5</v>
      </c>
      <c r="R70" s="64">
        <v>6.5</v>
      </c>
      <c r="S70" s="64">
        <v>5.8</v>
      </c>
      <c r="T70" s="64">
        <v>11.4</v>
      </c>
      <c r="U70" s="64">
        <v>6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/>
      <c r="AC70" s="64"/>
      <c r="AD70" s="64"/>
      <c r="AE70" s="64"/>
      <c r="AF70" s="64"/>
      <c r="AG70" s="54">
        <v>32</v>
      </c>
      <c r="AH70" s="47">
        <f t="shared" si="2"/>
        <v>18.7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66">
        <v>0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/>
      <c r="N71" s="66">
        <v>6</v>
      </c>
      <c r="O71" s="66">
        <v>6</v>
      </c>
      <c r="P71" s="66">
        <v>6</v>
      </c>
      <c r="Q71" s="66">
        <v>2.4</v>
      </c>
      <c r="R71" s="66">
        <v>2.4</v>
      </c>
      <c r="S71" s="66">
        <v>2.1</v>
      </c>
      <c r="T71" s="66">
        <v>4.2</v>
      </c>
      <c r="U71" s="66">
        <v>2.2000000000000002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/>
      <c r="AC71" s="66"/>
      <c r="AD71" s="66"/>
      <c r="AE71" s="66"/>
      <c r="AF71" s="66"/>
      <c r="AG71" s="67">
        <v>14</v>
      </c>
      <c r="AH71" s="47">
        <f t="shared" si="2"/>
        <v>6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 t="shared" ref="B72" si="13">B69+B70+B71</f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F72" si="14">M69+M70+M71</f>
        <v>0</v>
      </c>
      <c r="N72" s="59">
        <f t="shared" si="14"/>
        <v>57</v>
      </c>
      <c r="O72" s="59">
        <f t="shared" si="14"/>
        <v>64.7</v>
      </c>
      <c r="P72" s="59">
        <f t="shared" si="14"/>
        <v>64.7</v>
      </c>
      <c r="Q72" s="59">
        <f t="shared" si="14"/>
        <v>22.9</v>
      </c>
      <c r="R72" s="59">
        <f t="shared" si="14"/>
        <v>22.9</v>
      </c>
      <c r="S72" s="59">
        <f t="shared" si="14"/>
        <v>21.900000000000002</v>
      </c>
      <c r="T72" s="59">
        <f t="shared" si="14"/>
        <v>39.6</v>
      </c>
      <c r="U72" s="59">
        <f t="shared" si="14"/>
        <v>18.599999999999998</v>
      </c>
      <c r="V72" s="59">
        <f t="shared" si="14"/>
        <v>0</v>
      </c>
      <c r="W72" s="59">
        <f t="shared" si="14"/>
        <v>0</v>
      </c>
      <c r="X72" s="59">
        <f t="shared" si="14"/>
        <v>0</v>
      </c>
      <c r="Y72" s="59">
        <f t="shared" si="14"/>
        <v>0</v>
      </c>
      <c r="Z72" s="59">
        <f t="shared" si="14"/>
        <v>0</v>
      </c>
      <c r="AA72" s="59">
        <f t="shared" si="14"/>
        <v>0</v>
      </c>
      <c r="AB72" s="59">
        <f t="shared" si="14"/>
        <v>0</v>
      </c>
      <c r="AC72" s="59">
        <f t="shared" si="14"/>
        <v>0</v>
      </c>
      <c r="AD72" s="59">
        <f t="shared" si="14"/>
        <v>0</v>
      </c>
      <c r="AE72" s="59">
        <f t="shared" si="14"/>
        <v>0</v>
      </c>
      <c r="AF72" s="59">
        <f t="shared" si="14"/>
        <v>0</v>
      </c>
      <c r="AG72" s="60">
        <f>SUM(AG69:AG71)</f>
        <v>106</v>
      </c>
      <c r="AH72" s="47">
        <f t="shared" si="2"/>
        <v>64.7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18</v>
      </c>
      <c r="C73" s="45">
        <v>2.1</v>
      </c>
      <c r="D73" s="45">
        <v>1</v>
      </c>
      <c r="E73" s="45">
        <v>0.9</v>
      </c>
      <c r="F73" s="45">
        <v>6.6</v>
      </c>
      <c r="G73" s="45">
        <v>4</v>
      </c>
      <c r="H73" s="45">
        <v>11.5</v>
      </c>
      <c r="I73" s="45">
        <v>5.6</v>
      </c>
      <c r="J73" s="45">
        <v>26</v>
      </c>
      <c r="K73" s="45">
        <v>28.1</v>
      </c>
      <c r="L73" s="45">
        <v>30</v>
      </c>
      <c r="M73" s="45">
        <v>35</v>
      </c>
      <c r="N73" s="45">
        <v>30</v>
      </c>
      <c r="O73" s="45">
        <v>42</v>
      </c>
      <c r="P73" s="45">
        <v>48.5</v>
      </c>
      <c r="Q73" s="45">
        <v>17</v>
      </c>
      <c r="R73" s="45">
        <v>64</v>
      </c>
      <c r="S73" s="45">
        <v>68.2</v>
      </c>
      <c r="T73" s="45">
        <v>33.700000000000003</v>
      </c>
      <c r="U73" s="45">
        <v>18.5</v>
      </c>
      <c r="V73" s="45">
        <v>20</v>
      </c>
      <c r="W73" s="45">
        <v>38.6</v>
      </c>
      <c r="X73" s="45">
        <v>38.6</v>
      </c>
      <c r="Y73" s="45">
        <v>15</v>
      </c>
      <c r="Z73" s="45">
        <v>21.7</v>
      </c>
      <c r="AA73" s="45">
        <v>35</v>
      </c>
      <c r="AB73" s="45">
        <v>44</v>
      </c>
      <c r="AC73" s="45">
        <v>26.2</v>
      </c>
      <c r="AD73" s="45">
        <v>44.3</v>
      </c>
      <c r="AE73" s="45">
        <v>42.6</v>
      </c>
      <c r="AF73" s="45">
        <v>34</v>
      </c>
      <c r="AG73" s="51"/>
      <c r="AH73" s="47">
        <f t="shared" si="2"/>
        <v>68.2</v>
      </c>
      <c r="AI73" s="48">
        <f t="shared" si="3"/>
        <v>0.9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-320</v>
      </c>
      <c r="C75" s="64">
        <v>-345</v>
      </c>
      <c r="D75" s="64">
        <v>-351</v>
      </c>
      <c r="E75" s="64">
        <v>-374</v>
      </c>
      <c r="F75" s="64">
        <v>-327</v>
      </c>
      <c r="G75" s="64">
        <v>-387</v>
      </c>
      <c r="H75" s="64">
        <v>-402.1</v>
      </c>
      <c r="I75" s="64">
        <v>-364</v>
      </c>
      <c r="J75" s="64">
        <v>-350.3</v>
      </c>
      <c r="K75" s="64">
        <v>-417</v>
      </c>
      <c r="L75" s="64">
        <v>-323</v>
      </c>
      <c r="M75" s="64">
        <v>-400</v>
      </c>
      <c r="N75" s="64">
        <v>-393</v>
      </c>
      <c r="O75" s="64">
        <v>-311</v>
      </c>
      <c r="P75" s="64">
        <v>-318</v>
      </c>
      <c r="Q75" s="64">
        <v>-308</v>
      </c>
      <c r="R75" s="64">
        <v>-285</v>
      </c>
      <c r="S75" s="64">
        <v>-284</v>
      </c>
      <c r="T75" s="64">
        <v>-305</v>
      </c>
      <c r="U75" s="64">
        <v>-353</v>
      </c>
      <c r="V75" s="64">
        <v>-380</v>
      </c>
      <c r="W75" s="64">
        <v>-342.7</v>
      </c>
      <c r="X75" s="64">
        <v>-342.7</v>
      </c>
      <c r="Y75" s="64">
        <v>-365.7</v>
      </c>
      <c r="Z75" s="64">
        <v>-302.89999999999998</v>
      </c>
      <c r="AA75" s="64">
        <v>-267</v>
      </c>
      <c r="AB75" s="64">
        <v>-275</v>
      </c>
      <c r="AC75" s="64">
        <v>-278</v>
      </c>
      <c r="AD75" s="64">
        <v>-285</v>
      </c>
      <c r="AE75" s="64">
        <v>-281</v>
      </c>
      <c r="AF75" s="64">
        <v>-289</v>
      </c>
      <c r="AG75" s="75"/>
      <c r="AH75" s="47">
        <f t="shared" si="2"/>
        <v>-267</v>
      </c>
      <c r="AI75" s="48">
        <f t="shared" si="3"/>
        <v>-417</v>
      </c>
      <c r="AK75" s="74"/>
    </row>
    <row r="76" spans="1:40" x14ac:dyDescent="0.25">
      <c r="A76" s="53" t="s">
        <v>92</v>
      </c>
      <c r="B76" s="76">
        <v>0</v>
      </c>
      <c r="C76" s="64">
        <v>0</v>
      </c>
      <c r="D76" s="64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75"/>
      <c r="AH76" s="47">
        <f t="shared" si="2"/>
        <v>0</v>
      </c>
      <c r="AI76" s="48">
        <f t="shared" si="3"/>
        <v>0</v>
      </c>
      <c r="AK76" s="74"/>
    </row>
    <row r="77" spans="1:40" x14ac:dyDescent="0.25">
      <c r="A77" s="53" t="s">
        <v>93</v>
      </c>
      <c r="B77" s="76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15">MAX(B77:AF77)</f>
        <v>0</v>
      </c>
      <c r="AI77" s="48">
        <f t="shared" ref="AI77:AI120" si="16">MIN(B77:AF77)</f>
        <v>0</v>
      </c>
      <c r="AK77" s="74"/>
    </row>
    <row r="78" spans="1:40" x14ac:dyDescent="0.25">
      <c r="A78" s="53" t="s">
        <v>94</v>
      </c>
      <c r="B78" s="76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5"/>
        <v>0</v>
      </c>
      <c r="AI78" s="48">
        <f t="shared" si="16"/>
        <v>0</v>
      </c>
      <c r="AK78" s="74"/>
    </row>
    <row r="79" spans="1:40" ht="15.75" thickBot="1" x14ac:dyDescent="0.3">
      <c r="A79" s="53" t="s">
        <v>95</v>
      </c>
      <c r="B79" s="76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5"/>
        <v>0</v>
      </c>
      <c r="AI79" s="48">
        <f t="shared" si="16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76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15"/>
        <v>0</v>
      </c>
      <c r="AI80" s="48">
        <f t="shared" si="16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76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5"/>
        <v>0</v>
      </c>
      <c r="AI81" s="48">
        <f t="shared" si="16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76">
        <v>0</v>
      </c>
      <c r="C82" s="77">
        <v>0</v>
      </c>
      <c r="D82" s="77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5"/>
        <v>0</v>
      </c>
      <c r="AI82" s="48">
        <f t="shared" si="16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76">
        <v>0</v>
      </c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5"/>
        <v>0</v>
      </c>
      <c r="AI83" s="48">
        <f t="shared" si="16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" si="17">SUMIF(B73:B83,"&gt;0")</f>
        <v>18</v>
      </c>
      <c r="C84" s="59">
        <f t="shared" ref="C84:AF84" si="18">SUMIF(C73:C83,"&gt;0")</f>
        <v>2.1</v>
      </c>
      <c r="D84" s="59">
        <f t="shared" ref="D84" si="19">SUMIF(D73:D83,"&gt;0")</f>
        <v>1</v>
      </c>
      <c r="E84" s="59">
        <f t="shared" si="18"/>
        <v>0.9</v>
      </c>
      <c r="F84" s="59">
        <f t="shared" si="18"/>
        <v>6.6</v>
      </c>
      <c r="G84" s="59">
        <f t="shared" si="18"/>
        <v>4</v>
      </c>
      <c r="H84" s="59">
        <f t="shared" si="18"/>
        <v>11.5</v>
      </c>
      <c r="I84" s="59">
        <f t="shared" si="18"/>
        <v>5.6</v>
      </c>
      <c r="J84" s="59">
        <f t="shared" si="18"/>
        <v>26</v>
      </c>
      <c r="K84" s="59">
        <f t="shared" si="18"/>
        <v>28.1</v>
      </c>
      <c r="L84" s="59">
        <f t="shared" si="18"/>
        <v>30</v>
      </c>
      <c r="M84" s="59">
        <f t="shared" si="18"/>
        <v>35</v>
      </c>
      <c r="N84" s="59">
        <f t="shared" si="18"/>
        <v>30</v>
      </c>
      <c r="O84" s="59">
        <f t="shared" si="18"/>
        <v>42</v>
      </c>
      <c r="P84" s="59">
        <f t="shared" si="18"/>
        <v>48.5</v>
      </c>
      <c r="Q84" s="59">
        <f t="shared" si="18"/>
        <v>17</v>
      </c>
      <c r="R84" s="59">
        <f t="shared" si="18"/>
        <v>64</v>
      </c>
      <c r="S84" s="59">
        <f t="shared" si="18"/>
        <v>68.2</v>
      </c>
      <c r="T84" s="59">
        <f t="shared" si="18"/>
        <v>33.700000000000003</v>
      </c>
      <c r="U84" s="59">
        <f t="shared" si="18"/>
        <v>18.5</v>
      </c>
      <c r="V84" s="59">
        <f t="shared" si="18"/>
        <v>20</v>
      </c>
      <c r="W84" s="59">
        <f t="shared" si="18"/>
        <v>38.6</v>
      </c>
      <c r="X84" s="59">
        <f t="shared" si="18"/>
        <v>38.6</v>
      </c>
      <c r="Y84" s="59">
        <f t="shared" si="18"/>
        <v>15</v>
      </c>
      <c r="Z84" s="59">
        <f t="shared" si="18"/>
        <v>21.7</v>
      </c>
      <c r="AA84" s="59">
        <f t="shared" si="18"/>
        <v>35</v>
      </c>
      <c r="AB84" s="59">
        <f t="shared" si="18"/>
        <v>44</v>
      </c>
      <c r="AC84" s="59">
        <f t="shared" si="18"/>
        <v>26.2</v>
      </c>
      <c r="AD84" s="59">
        <f t="shared" si="18"/>
        <v>44.3</v>
      </c>
      <c r="AE84" s="59">
        <f t="shared" si="18"/>
        <v>42.6</v>
      </c>
      <c r="AF84" s="59">
        <f t="shared" si="18"/>
        <v>34</v>
      </c>
      <c r="AG84" s="88">
        <f>SUM(AG73:AG83)</f>
        <v>0</v>
      </c>
      <c r="AH84" s="47">
        <f t="shared" si="15"/>
        <v>68.2</v>
      </c>
      <c r="AI84" s="48">
        <f t="shared" si="16"/>
        <v>0.9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5"/>
        <v>0</v>
      </c>
      <c r="AI85" s="48">
        <f t="shared" si="16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5"/>
        <v>0</v>
      </c>
      <c r="AI86" s="48">
        <f t="shared" si="16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5"/>
        <v>0</v>
      </c>
      <c r="AI87" s="48">
        <f t="shared" si="16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15"/>
        <v>0</v>
      </c>
      <c r="AI88" s="48">
        <f t="shared" si="16"/>
        <v>0</v>
      </c>
    </row>
    <row r="89" spans="1:40" ht="15.75" thickBot="1" x14ac:dyDescent="0.3">
      <c r="A89" s="73" t="s">
        <v>108</v>
      </c>
      <c r="B89" s="95">
        <f t="shared" ref="B89" si="20">B50+B54+B72+B68+B84+B88</f>
        <v>1825.25</v>
      </c>
      <c r="C89" s="95">
        <f t="shared" ref="C89:AG89" si="21">C50+C54+C72+C68+C84+C88</f>
        <v>1814.8500000000001</v>
      </c>
      <c r="D89" s="95">
        <f t="shared" si="21"/>
        <v>1803.55</v>
      </c>
      <c r="E89" s="95">
        <f t="shared" si="21"/>
        <v>1798.45</v>
      </c>
      <c r="F89" s="95">
        <f t="shared" si="21"/>
        <v>1762.0499999999997</v>
      </c>
      <c r="G89" s="95">
        <f t="shared" si="21"/>
        <v>1819.4499999999998</v>
      </c>
      <c r="H89" s="95">
        <f t="shared" si="21"/>
        <v>1796.75</v>
      </c>
      <c r="I89" s="95">
        <f t="shared" si="21"/>
        <v>1802.5499999999997</v>
      </c>
      <c r="J89" s="95">
        <f t="shared" si="21"/>
        <v>1822.9499999999998</v>
      </c>
      <c r="K89" s="95">
        <f t="shared" si="21"/>
        <v>1904.4499999999998</v>
      </c>
      <c r="L89" s="95">
        <f t="shared" si="21"/>
        <v>1906.35</v>
      </c>
      <c r="M89" s="95">
        <f t="shared" si="21"/>
        <v>1108.04</v>
      </c>
      <c r="N89" s="95">
        <f t="shared" si="21"/>
        <v>1801.5500000000002</v>
      </c>
      <c r="O89" s="95">
        <f t="shared" si="21"/>
        <v>1837.25</v>
      </c>
      <c r="P89" s="95">
        <f t="shared" si="21"/>
        <v>1844.75</v>
      </c>
      <c r="Q89" s="95">
        <f t="shared" si="21"/>
        <v>1876.0500000000002</v>
      </c>
      <c r="R89" s="95">
        <f t="shared" si="21"/>
        <v>1847.7500000000002</v>
      </c>
      <c r="S89" s="95">
        <f t="shared" si="21"/>
        <v>1976.0500000000002</v>
      </c>
      <c r="T89" s="95">
        <f t="shared" si="21"/>
        <v>1969.1499999999999</v>
      </c>
      <c r="U89" s="95">
        <f t="shared" si="21"/>
        <v>1921.1499999999999</v>
      </c>
      <c r="V89" s="95">
        <f t="shared" si="21"/>
        <v>1867.25</v>
      </c>
      <c r="W89" s="95">
        <f t="shared" si="21"/>
        <v>1871.3500000000001</v>
      </c>
      <c r="X89" s="95">
        <f t="shared" si="21"/>
        <v>1886.15</v>
      </c>
      <c r="Y89" s="95">
        <f t="shared" si="21"/>
        <v>1845.0500000000002</v>
      </c>
      <c r="Z89" s="95">
        <f t="shared" si="21"/>
        <v>1837.3500000000001</v>
      </c>
      <c r="AA89" s="95">
        <f t="shared" si="21"/>
        <v>1926.85</v>
      </c>
      <c r="AB89" s="95">
        <f t="shared" si="21"/>
        <v>1939.4499999999998</v>
      </c>
      <c r="AC89" s="95">
        <f t="shared" si="21"/>
        <v>1906.6499999999999</v>
      </c>
      <c r="AD89" s="95">
        <f t="shared" si="21"/>
        <v>1849.55</v>
      </c>
      <c r="AE89" s="95">
        <f t="shared" si="21"/>
        <v>1833.95</v>
      </c>
      <c r="AF89" s="95">
        <f t="shared" si="21"/>
        <v>1845.3500000000001</v>
      </c>
      <c r="AG89" s="60">
        <f t="shared" si="21"/>
        <v>2111.5500000000002</v>
      </c>
      <c r="AH89" s="47">
        <f t="shared" si="15"/>
        <v>1976.0500000000002</v>
      </c>
      <c r="AI89" s="48">
        <f t="shared" si="16"/>
        <v>1108.04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15"/>
        <v>0</v>
      </c>
      <c r="AI90" s="48">
        <f t="shared" si="16"/>
        <v>0</v>
      </c>
    </row>
    <row r="91" spans="1:40" ht="15.75" thickBot="1" x14ac:dyDescent="0.3">
      <c r="A91" s="73" t="s">
        <v>110</v>
      </c>
      <c r="B91" s="95">
        <f t="shared" ref="B91" si="22">B89+B90</f>
        <v>1825.25</v>
      </c>
      <c r="C91" s="95">
        <f t="shared" ref="C91:AF91" si="23">C89+C90</f>
        <v>1814.8500000000001</v>
      </c>
      <c r="D91" s="95">
        <f t="shared" si="23"/>
        <v>1803.55</v>
      </c>
      <c r="E91" s="95">
        <f t="shared" si="23"/>
        <v>1798.45</v>
      </c>
      <c r="F91" s="95">
        <f t="shared" si="23"/>
        <v>1762.0499999999997</v>
      </c>
      <c r="G91" s="95">
        <f t="shared" si="23"/>
        <v>1819.4499999999998</v>
      </c>
      <c r="H91" s="95">
        <f t="shared" si="23"/>
        <v>1796.75</v>
      </c>
      <c r="I91" s="95">
        <f t="shared" si="23"/>
        <v>1802.5499999999997</v>
      </c>
      <c r="J91" s="95">
        <f t="shared" si="23"/>
        <v>1822.9499999999998</v>
      </c>
      <c r="K91" s="95">
        <f t="shared" si="23"/>
        <v>1904.4499999999998</v>
      </c>
      <c r="L91" s="95">
        <f t="shared" si="23"/>
        <v>1906.35</v>
      </c>
      <c r="M91" s="95">
        <f t="shared" si="23"/>
        <v>1108.04</v>
      </c>
      <c r="N91" s="95">
        <f t="shared" si="23"/>
        <v>1801.5500000000002</v>
      </c>
      <c r="O91" s="95">
        <f t="shared" si="23"/>
        <v>1837.25</v>
      </c>
      <c r="P91" s="95">
        <f t="shared" si="23"/>
        <v>1844.75</v>
      </c>
      <c r="Q91" s="95">
        <f t="shared" si="23"/>
        <v>1876.0500000000002</v>
      </c>
      <c r="R91" s="95">
        <f t="shared" si="23"/>
        <v>1847.7500000000002</v>
      </c>
      <c r="S91" s="95">
        <f t="shared" si="23"/>
        <v>1976.0500000000002</v>
      </c>
      <c r="T91" s="95">
        <f t="shared" si="23"/>
        <v>1969.1499999999999</v>
      </c>
      <c r="U91" s="95">
        <f t="shared" si="23"/>
        <v>1921.1499999999999</v>
      </c>
      <c r="V91" s="95">
        <f t="shared" si="23"/>
        <v>1867.25</v>
      </c>
      <c r="W91" s="95">
        <f t="shared" si="23"/>
        <v>1871.3500000000001</v>
      </c>
      <c r="X91" s="95">
        <f t="shared" si="23"/>
        <v>1886.15</v>
      </c>
      <c r="Y91" s="95">
        <f t="shared" si="23"/>
        <v>1845.0500000000002</v>
      </c>
      <c r="Z91" s="95">
        <f t="shared" si="23"/>
        <v>1837.3500000000001</v>
      </c>
      <c r="AA91" s="95">
        <f t="shared" si="23"/>
        <v>1926.85</v>
      </c>
      <c r="AB91" s="95">
        <f t="shared" si="23"/>
        <v>1939.4499999999998</v>
      </c>
      <c r="AC91" s="95">
        <f t="shared" si="23"/>
        <v>1906.6499999999999</v>
      </c>
      <c r="AD91" s="95">
        <f t="shared" si="23"/>
        <v>1849.55</v>
      </c>
      <c r="AE91" s="95">
        <f t="shared" si="23"/>
        <v>1833.95</v>
      </c>
      <c r="AF91" s="95">
        <f t="shared" si="23"/>
        <v>1845.3500000000001</v>
      </c>
      <c r="AG91" s="88">
        <f>AG88+AG84+AG72+AG68+AG50+AG90</f>
        <v>1573.45</v>
      </c>
      <c r="AH91" s="47">
        <f t="shared" si="15"/>
        <v>1976.0500000000002</v>
      </c>
      <c r="AI91" s="48">
        <f t="shared" si="16"/>
        <v>1108.04</v>
      </c>
    </row>
    <row r="92" spans="1:40" ht="15.75" thickBot="1" x14ac:dyDescent="0.3">
      <c r="A92" s="73" t="s">
        <v>111</v>
      </c>
      <c r="B92" s="95">
        <f t="shared" ref="B92" si="24">B91-B99</f>
        <v>1825.25</v>
      </c>
      <c r="C92" s="95">
        <f t="shared" ref="C92:AF92" si="25">C91-C99</f>
        <v>1814.8500000000001</v>
      </c>
      <c r="D92" s="95">
        <f t="shared" si="25"/>
        <v>1803.55</v>
      </c>
      <c r="E92" s="95">
        <f t="shared" si="25"/>
        <v>1798.45</v>
      </c>
      <c r="F92" s="95">
        <f t="shared" si="25"/>
        <v>1762.0499999999997</v>
      </c>
      <c r="G92" s="95">
        <f t="shared" si="25"/>
        <v>1819.4499999999998</v>
      </c>
      <c r="H92" s="95">
        <f t="shared" si="25"/>
        <v>1796.75</v>
      </c>
      <c r="I92" s="95">
        <f t="shared" si="25"/>
        <v>1802.5499999999997</v>
      </c>
      <c r="J92" s="95">
        <f t="shared" si="25"/>
        <v>1822.9499999999998</v>
      </c>
      <c r="K92" s="95">
        <f t="shared" si="25"/>
        <v>1904.4499999999998</v>
      </c>
      <c r="L92" s="95">
        <f t="shared" si="25"/>
        <v>1906.35</v>
      </c>
      <c r="M92" s="95">
        <f t="shared" si="25"/>
        <v>1108.04</v>
      </c>
      <c r="N92" s="95">
        <f t="shared" si="25"/>
        <v>1801.5500000000002</v>
      </c>
      <c r="O92" s="95">
        <f t="shared" si="25"/>
        <v>1837.25</v>
      </c>
      <c r="P92" s="95">
        <f t="shared" si="25"/>
        <v>1844.75</v>
      </c>
      <c r="Q92" s="95">
        <f t="shared" si="25"/>
        <v>1876.0500000000002</v>
      </c>
      <c r="R92" s="95">
        <f t="shared" si="25"/>
        <v>1847.7500000000002</v>
      </c>
      <c r="S92" s="95">
        <f t="shared" si="25"/>
        <v>1976.0500000000002</v>
      </c>
      <c r="T92" s="95">
        <f t="shared" si="25"/>
        <v>1969.1499999999999</v>
      </c>
      <c r="U92" s="95">
        <f t="shared" si="25"/>
        <v>1921.1499999999999</v>
      </c>
      <c r="V92" s="95">
        <f t="shared" si="25"/>
        <v>1867.25</v>
      </c>
      <c r="W92" s="95">
        <f t="shared" si="25"/>
        <v>1871.3500000000001</v>
      </c>
      <c r="X92" s="95">
        <f t="shared" si="25"/>
        <v>1886.15</v>
      </c>
      <c r="Y92" s="95">
        <f t="shared" si="25"/>
        <v>1845.0500000000002</v>
      </c>
      <c r="Z92" s="95">
        <f t="shared" si="25"/>
        <v>1837.3500000000001</v>
      </c>
      <c r="AA92" s="95">
        <f t="shared" si="25"/>
        <v>1926.85</v>
      </c>
      <c r="AB92" s="95">
        <f t="shared" si="25"/>
        <v>1939.4499999999998</v>
      </c>
      <c r="AC92" s="95">
        <f t="shared" si="25"/>
        <v>1906.6499999999999</v>
      </c>
      <c r="AD92" s="95">
        <f t="shared" si="25"/>
        <v>1849.55</v>
      </c>
      <c r="AE92" s="95">
        <f t="shared" si="25"/>
        <v>1833.95</v>
      </c>
      <c r="AF92" s="95">
        <f t="shared" si="25"/>
        <v>1845.3500000000001</v>
      </c>
      <c r="AG92" s="88"/>
      <c r="AH92" s="47">
        <f t="shared" si="15"/>
        <v>1976.0500000000002</v>
      </c>
      <c r="AI92" s="48">
        <f t="shared" si="16"/>
        <v>1108.04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5"/>
        <v>0</v>
      </c>
      <c r="AI93" s="48">
        <f t="shared" si="16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5"/>
        <v>0</v>
      </c>
      <c r="AI94" s="48">
        <f t="shared" si="16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5"/>
        <v>0</v>
      </c>
      <c r="AI95" s="48">
        <f t="shared" si="16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5"/>
        <v>0</v>
      </c>
      <c r="AI96" s="48">
        <f t="shared" si="16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5"/>
        <v>0</v>
      </c>
      <c r="AI97" s="48">
        <f t="shared" si="16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5"/>
        <v>0</v>
      </c>
      <c r="AI98" s="48">
        <f t="shared" si="16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15"/>
        <v>0</v>
      </c>
      <c r="AI99" s="48">
        <f t="shared" si="16"/>
        <v>0</v>
      </c>
      <c r="AK99" s="74"/>
    </row>
    <row r="100" spans="1:37" ht="15.75" thickBot="1" x14ac:dyDescent="0.3">
      <c r="A100" s="73" t="s">
        <v>116</v>
      </c>
      <c r="B100" s="59">
        <f t="shared" ref="B100" si="26">B84-B99</f>
        <v>18</v>
      </c>
      <c r="C100" s="59">
        <f t="shared" ref="C100:AF100" si="27">C84-C99</f>
        <v>2.1</v>
      </c>
      <c r="D100" s="59">
        <f t="shared" si="27"/>
        <v>1</v>
      </c>
      <c r="E100" s="59">
        <f t="shared" si="27"/>
        <v>0.9</v>
      </c>
      <c r="F100" s="59">
        <f t="shared" si="27"/>
        <v>6.6</v>
      </c>
      <c r="G100" s="59">
        <f t="shared" si="27"/>
        <v>4</v>
      </c>
      <c r="H100" s="59">
        <f t="shared" si="27"/>
        <v>11.5</v>
      </c>
      <c r="I100" s="59">
        <f t="shared" si="27"/>
        <v>5.6</v>
      </c>
      <c r="J100" s="59">
        <f t="shared" si="27"/>
        <v>26</v>
      </c>
      <c r="K100" s="59">
        <f t="shared" si="27"/>
        <v>28.1</v>
      </c>
      <c r="L100" s="59">
        <f t="shared" si="27"/>
        <v>30</v>
      </c>
      <c r="M100" s="59">
        <f t="shared" si="27"/>
        <v>35</v>
      </c>
      <c r="N100" s="59">
        <f t="shared" si="27"/>
        <v>30</v>
      </c>
      <c r="O100" s="59">
        <f t="shared" si="27"/>
        <v>42</v>
      </c>
      <c r="P100" s="59">
        <f t="shared" si="27"/>
        <v>48.5</v>
      </c>
      <c r="Q100" s="59">
        <f t="shared" si="27"/>
        <v>17</v>
      </c>
      <c r="R100" s="59">
        <f t="shared" si="27"/>
        <v>64</v>
      </c>
      <c r="S100" s="59">
        <f t="shared" si="27"/>
        <v>68.2</v>
      </c>
      <c r="T100" s="59">
        <f t="shared" si="27"/>
        <v>33.700000000000003</v>
      </c>
      <c r="U100" s="59">
        <f t="shared" si="27"/>
        <v>18.5</v>
      </c>
      <c r="V100" s="59">
        <f t="shared" si="27"/>
        <v>20</v>
      </c>
      <c r="W100" s="59">
        <f t="shared" si="27"/>
        <v>38.6</v>
      </c>
      <c r="X100" s="59">
        <f t="shared" si="27"/>
        <v>38.6</v>
      </c>
      <c r="Y100" s="59">
        <f t="shared" si="27"/>
        <v>15</v>
      </c>
      <c r="Z100" s="59">
        <f t="shared" si="27"/>
        <v>21.7</v>
      </c>
      <c r="AA100" s="59">
        <f t="shared" si="27"/>
        <v>35</v>
      </c>
      <c r="AB100" s="59">
        <f t="shared" si="27"/>
        <v>44</v>
      </c>
      <c r="AC100" s="59">
        <f t="shared" si="27"/>
        <v>26.2</v>
      </c>
      <c r="AD100" s="59">
        <f t="shared" si="27"/>
        <v>44.3</v>
      </c>
      <c r="AE100" s="59">
        <f t="shared" si="27"/>
        <v>42.6</v>
      </c>
      <c r="AF100" s="59">
        <f t="shared" si="27"/>
        <v>34</v>
      </c>
      <c r="AG100" s="88"/>
      <c r="AH100" s="47">
        <f t="shared" si="15"/>
        <v>68.2</v>
      </c>
      <c r="AI100" s="48">
        <f t="shared" si="16"/>
        <v>0.9</v>
      </c>
    </row>
    <row r="101" spans="1:37" x14ac:dyDescent="0.25">
      <c r="A101" s="100" t="s">
        <v>117</v>
      </c>
      <c r="B101" s="101">
        <v>50.048000000000002</v>
      </c>
      <c r="C101" s="101">
        <v>49.96</v>
      </c>
      <c r="D101" s="101">
        <v>49.99</v>
      </c>
      <c r="E101" s="101">
        <v>50.085999999999999</v>
      </c>
      <c r="F101" s="101">
        <v>50.103999999999999</v>
      </c>
      <c r="G101" s="101">
        <v>49.918999999999997</v>
      </c>
      <c r="H101" s="101">
        <v>49.82</v>
      </c>
      <c r="I101" s="101">
        <v>49.869</v>
      </c>
      <c r="J101" s="101">
        <v>49.911999999999999</v>
      </c>
      <c r="K101" s="101">
        <v>49.997999999999998</v>
      </c>
      <c r="L101" s="101">
        <v>50</v>
      </c>
      <c r="M101" s="101"/>
      <c r="N101" s="101">
        <v>49.988</v>
      </c>
      <c r="O101" s="101">
        <v>50.048999999999999</v>
      </c>
      <c r="P101" s="101">
        <v>49.944000000000003</v>
      </c>
      <c r="Q101" s="101">
        <v>50.069000000000003</v>
      </c>
      <c r="R101" s="101">
        <v>50.079000000000001</v>
      </c>
      <c r="S101" s="101">
        <v>50.07</v>
      </c>
      <c r="T101" s="101">
        <v>50.026000000000003</v>
      </c>
      <c r="U101" s="101">
        <v>50.003</v>
      </c>
      <c r="V101" s="101">
        <v>49.84</v>
      </c>
      <c r="W101" s="101">
        <v>49.904000000000003</v>
      </c>
      <c r="X101" s="101">
        <v>50</v>
      </c>
      <c r="Y101" s="101">
        <v>49.978999999999999</v>
      </c>
      <c r="Z101" s="101">
        <v>49.923999999999999</v>
      </c>
      <c r="AA101" s="101">
        <v>49.99</v>
      </c>
      <c r="AB101" s="101">
        <v>50.036999999999999</v>
      </c>
      <c r="AC101" s="101">
        <v>49.917000000000002</v>
      </c>
      <c r="AD101" s="101">
        <v>49.917000000000002</v>
      </c>
      <c r="AE101" s="101">
        <v>50.012</v>
      </c>
      <c r="AF101" s="101">
        <v>50.066000000000003</v>
      </c>
      <c r="AG101" s="102"/>
      <c r="AH101" s="47">
        <f t="shared" si="15"/>
        <v>50.103999999999999</v>
      </c>
      <c r="AI101" s="48">
        <f t="shared" si="16"/>
        <v>49.82</v>
      </c>
    </row>
    <row r="102" spans="1:37" x14ac:dyDescent="0.25">
      <c r="A102" s="103" t="s">
        <v>118</v>
      </c>
      <c r="B102" s="64">
        <v>122.4</v>
      </c>
      <c r="C102" s="64">
        <v>122.4</v>
      </c>
      <c r="D102" s="64">
        <v>124.1</v>
      </c>
      <c r="E102" s="64">
        <v>126.4</v>
      </c>
      <c r="F102" s="64">
        <v>123.7</v>
      </c>
      <c r="G102" s="64">
        <v>123.8</v>
      </c>
      <c r="H102" s="64">
        <v>123.8</v>
      </c>
      <c r="I102" s="64">
        <v>124.2</v>
      </c>
      <c r="J102" s="64">
        <v>121.1</v>
      </c>
      <c r="K102" s="64">
        <v>122.7</v>
      </c>
      <c r="L102" s="64">
        <v>122.7</v>
      </c>
      <c r="M102" s="64"/>
      <c r="N102" s="64">
        <v>125.3</v>
      </c>
      <c r="O102" s="64">
        <v>125.4</v>
      </c>
      <c r="P102" s="64">
        <v>125.1</v>
      </c>
      <c r="Q102" s="64">
        <v>121.6</v>
      </c>
      <c r="R102" s="64">
        <v>121.2</v>
      </c>
      <c r="S102" s="64">
        <v>120.1</v>
      </c>
      <c r="T102" s="64">
        <v>120.4</v>
      </c>
      <c r="U102" s="64">
        <v>125</v>
      </c>
      <c r="V102" s="64">
        <v>124.4</v>
      </c>
      <c r="W102" s="64">
        <v>125.6</v>
      </c>
      <c r="X102" s="64">
        <v>125.6</v>
      </c>
      <c r="Y102" s="64">
        <v>124.9</v>
      </c>
      <c r="Z102" s="64">
        <v>126</v>
      </c>
      <c r="AA102" s="64">
        <v>126.3</v>
      </c>
      <c r="AB102" s="64">
        <v>123.1</v>
      </c>
      <c r="AC102" s="64">
        <v>123</v>
      </c>
      <c r="AD102" s="64">
        <v>123</v>
      </c>
      <c r="AE102" s="64">
        <v>123.7</v>
      </c>
      <c r="AF102" s="64">
        <v>120.9</v>
      </c>
      <c r="AG102" s="104"/>
      <c r="AH102" s="47">
        <f t="shared" si="15"/>
        <v>126.4</v>
      </c>
      <c r="AI102" s="48">
        <f t="shared" si="16"/>
        <v>120.1</v>
      </c>
    </row>
    <row r="103" spans="1:37" x14ac:dyDescent="0.25">
      <c r="A103" s="103" t="s">
        <v>119</v>
      </c>
      <c r="B103" s="64">
        <v>128.19999999999999</v>
      </c>
      <c r="C103" s="64">
        <v>128.6</v>
      </c>
      <c r="D103" s="64">
        <v>129.5</v>
      </c>
      <c r="E103" s="64">
        <v>131.1</v>
      </c>
      <c r="F103" s="64">
        <v>129.30000000000001</v>
      </c>
      <c r="G103" s="64">
        <v>129</v>
      </c>
      <c r="H103" s="64">
        <v>128.69999999999999</v>
      </c>
      <c r="I103" s="64">
        <v>128.69999999999999</v>
      </c>
      <c r="J103" s="64">
        <v>126</v>
      </c>
      <c r="K103" s="64">
        <v>127.1</v>
      </c>
      <c r="L103" s="64">
        <v>127.1</v>
      </c>
      <c r="M103" s="64"/>
      <c r="N103" s="64">
        <v>128.4</v>
      </c>
      <c r="O103" s="64">
        <v>128.19999999999999</v>
      </c>
      <c r="P103" s="64">
        <v>128.4</v>
      </c>
      <c r="Q103" s="64">
        <v>126.8</v>
      </c>
      <c r="R103" s="64">
        <v>126.6</v>
      </c>
      <c r="S103" s="64">
        <v>125.8</v>
      </c>
      <c r="T103" s="64">
        <v>125.7</v>
      </c>
      <c r="U103" s="64">
        <v>128.19999999999999</v>
      </c>
      <c r="V103" s="64">
        <v>127.7</v>
      </c>
      <c r="W103" s="64">
        <v>129</v>
      </c>
      <c r="X103" s="64">
        <v>129</v>
      </c>
      <c r="Y103" s="64">
        <v>128.69999999999999</v>
      </c>
      <c r="Z103" s="64">
        <v>129</v>
      </c>
      <c r="AA103" s="64">
        <v>128.69999999999999</v>
      </c>
      <c r="AB103" s="64">
        <v>127.2</v>
      </c>
      <c r="AC103" s="64">
        <v>127.6</v>
      </c>
      <c r="AD103" s="64">
        <v>127.6</v>
      </c>
      <c r="AE103" s="64">
        <v>128.69999999999999</v>
      </c>
      <c r="AF103" s="64">
        <v>127.7</v>
      </c>
      <c r="AG103" s="104"/>
      <c r="AH103" s="47">
        <f t="shared" si="15"/>
        <v>131.1</v>
      </c>
      <c r="AI103" s="48">
        <f t="shared" si="16"/>
        <v>125.7</v>
      </c>
    </row>
    <row r="104" spans="1:37" x14ac:dyDescent="0.25">
      <c r="A104" s="103" t="s">
        <v>120</v>
      </c>
      <c r="B104" s="64">
        <v>129.1</v>
      </c>
      <c r="C104" s="64">
        <v>128.5</v>
      </c>
      <c r="D104" s="64">
        <v>128.69999999999999</v>
      </c>
      <c r="E104" s="64">
        <v>130.19999999999999</v>
      </c>
      <c r="F104" s="64">
        <v>130.4</v>
      </c>
      <c r="G104" s="64">
        <v>131</v>
      </c>
      <c r="H104" s="64">
        <v>128.80000000000001</v>
      </c>
      <c r="I104" s="64">
        <v>130.19999999999999</v>
      </c>
      <c r="J104" s="64">
        <v>125.6</v>
      </c>
      <c r="K104" s="64">
        <v>128.80000000000001</v>
      </c>
      <c r="L104" s="64">
        <v>128.80000000000001</v>
      </c>
      <c r="M104" s="64"/>
      <c r="N104" s="64">
        <v>127</v>
      </c>
      <c r="O104" s="64">
        <v>125.7</v>
      </c>
      <c r="P104" s="64">
        <v>127.7</v>
      </c>
      <c r="Q104" s="64">
        <v>130.4</v>
      </c>
      <c r="R104" s="64">
        <v>128.30000000000001</v>
      </c>
      <c r="S104" s="64">
        <v>127.8</v>
      </c>
      <c r="T104" s="64">
        <v>124.6</v>
      </c>
      <c r="U104" s="64">
        <v>129</v>
      </c>
      <c r="V104" s="64">
        <v>128</v>
      </c>
      <c r="W104" s="64">
        <v>129.9</v>
      </c>
      <c r="X104" s="64">
        <v>129.9</v>
      </c>
      <c r="Y104" s="64">
        <v>128.19999999999999</v>
      </c>
      <c r="Z104" s="64">
        <v>128.4</v>
      </c>
      <c r="AA104" s="64">
        <v>126.2</v>
      </c>
      <c r="AB104" s="64">
        <v>127.7</v>
      </c>
      <c r="AC104" s="64">
        <v>130</v>
      </c>
      <c r="AD104" s="64">
        <v>130</v>
      </c>
      <c r="AE104" s="64">
        <v>130.9</v>
      </c>
      <c r="AF104" s="64">
        <v>130.30000000000001</v>
      </c>
      <c r="AG104" s="104"/>
      <c r="AH104" s="47">
        <f t="shared" si="15"/>
        <v>131</v>
      </c>
      <c r="AI104" s="48">
        <f t="shared" si="16"/>
        <v>124.6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5"/>
        <v>0</v>
      </c>
      <c r="AI105" s="48">
        <f t="shared" si="16"/>
        <v>0</v>
      </c>
    </row>
    <row r="106" spans="1:37" x14ac:dyDescent="0.25">
      <c r="A106" s="105" t="s">
        <v>122</v>
      </c>
      <c r="B106" s="106">
        <v>128.1</v>
      </c>
      <c r="C106" s="106">
        <v>131.19999999999999</v>
      </c>
      <c r="D106" s="106">
        <v>131.5</v>
      </c>
      <c r="E106" s="106">
        <v>133.5</v>
      </c>
      <c r="F106" s="106">
        <v>133.1</v>
      </c>
      <c r="G106" s="106">
        <v>132.80000000000001</v>
      </c>
      <c r="H106" s="106">
        <v>129.5</v>
      </c>
      <c r="I106" s="106">
        <v>131.9</v>
      </c>
      <c r="J106" s="106">
        <v>132.19999999999999</v>
      </c>
      <c r="K106" s="106">
        <v>132.69999999999999</v>
      </c>
      <c r="L106" s="106">
        <v>132.69999999999999</v>
      </c>
      <c r="M106" s="106"/>
      <c r="N106" s="106">
        <v>129.6</v>
      </c>
      <c r="O106" s="106">
        <v>126.5</v>
      </c>
      <c r="P106" s="106">
        <v>130.69999999999999</v>
      </c>
      <c r="Q106" s="106">
        <v>130.9</v>
      </c>
      <c r="R106" s="106">
        <v>134.80000000000001</v>
      </c>
      <c r="S106" s="106">
        <v>133.4</v>
      </c>
      <c r="T106" s="106">
        <v>130.19999999999999</v>
      </c>
      <c r="U106" s="106">
        <v>132.1</v>
      </c>
      <c r="V106" s="106">
        <v>132.6</v>
      </c>
      <c r="W106" s="106">
        <v>131.30000000000001</v>
      </c>
      <c r="X106" s="106">
        <v>131.30000000000001</v>
      </c>
      <c r="Y106" s="106">
        <v>130.69999999999999</v>
      </c>
      <c r="Z106" s="106">
        <v>132.30000000000001</v>
      </c>
      <c r="AA106" s="106">
        <v>130.1</v>
      </c>
      <c r="AB106" s="106">
        <v>131.69999999999999</v>
      </c>
      <c r="AC106" s="106">
        <v>129.19999999999999</v>
      </c>
      <c r="AD106" s="106">
        <v>129.19999999999999</v>
      </c>
      <c r="AE106" s="106">
        <v>131</v>
      </c>
      <c r="AF106" s="106">
        <v>131.69999999999999</v>
      </c>
      <c r="AG106" s="107"/>
      <c r="AH106" s="47">
        <f t="shared" si="15"/>
        <v>134.80000000000001</v>
      </c>
      <c r="AI106" s="48">
        <f t="shared" si="16"/>
        <v>126.5</v>
      </c>
    </row>
    <row r="107" spans="1:37" x14ac:dyDescent="0.25">
      <c r="A107" s="103" t="s">
        <v>123</v>
      </c>
      <c r="B107" s="64">
        <v>129.1</v>
      </c>
      <c r="C107" s="64">
        <v>127.4</v>
      </c>
      <c r="D107" s="64">
        <v>130.9</v>
      </c>
      <c r="E107" s="64">
        <v>128.30000000000001</v>
      </c>
      <c r="F107" s="64">
        <v>130</v>
      </c>
      <c r="G107" s="64">
        <v>128.1</v>
      </c>
      <c r="H107" s="64">
        <v>130.9</v>
      </c>
      <c r="I107" s="64">
        <v>128.80000000000001</v>
      </c>
      <c r="J107" s="64">
        <v>125.6</v>
      </c>
      <c r="K107" s="64">
        <v>124</v>
      </c>
      <c r="L107" s="64">
        <v>124</v>
      </c>
      <c r="M107" s="64"/>
      <c r="N107" s="64"/>
      <c r="O107" s="64"/>
      <c r="P107" s="64">
        <v>123.2</v>
      </c>
      <c r="Q107" s="64">
        <v>129.9</v>
      </c>
      <c r="R107" s="64">
        <v>126.6</v>
      </c>
      <c r="S107" s="64">
        <v>131.1</v>
      </c>
      <c r="T107" s="64">
        <v>129.5</v>
      </c>
      <c r="U107" s="64">
        <v>128.5</v>
      </c>
      <c r="V107" s="64">
        <v>130.30000000000001</v>
      </c>
      <c r="W107" s="64">
        <v>128.6</v>
      </c>
      <c r="X107" s="64">
        <v>128.6</v>
      </c>
      <c r="Y107" s="64">
        <v>128.9</v>
      </c>
      <c r="Z107" s="64">
        <v>129.4</v>
      </c>
      <c r="AA107" s="64">
        <v>128.19999999999999</v>
      </c>
      <c r="AB107" s="64">
        <v>132.19999999999999</v>
      </c>
      <c r="AC107" s="64">
        <v>134.30000000000001</v>
      </c>
      <c r="AD107" s="64">
        <v>134.30000000000001</v>
      </c>
      <c r="AE107" s="64">
        <v>132.9</v>
      </c>
      <c r="AF107" s="64">
        <v>126.4</v>
      </c>
      <c r="AG107" s="104"/>
      <c r="AH107" s="47">
        <f t="shared" si="15"/>
        <v>134.30000000000001</v>
      </c>
      <c r="AI107" s="48">
        <f t="shared" si="16"/>
        <v>123.2</v>
      </c>
    </row>
    <row r="108" spans="1:37" ht="15.75" thickBot="1" x14ac:dyDescent="0.3">
      <c r="A108" s="103" t="s">
        <v>124</v>
      </c>
      <c r="B108" s="92">
        <v>64.3</v>
      </c>
      <c r="C108" s="92">
        <v>64.5</v>
      </c>
      <c r="D108" s="92">
        <v>65.2</v>
      </c>
      <c r="E108" s="92">
        <v>65.900000000000006</v>
      </c>
      <c r="F108" s="92">
        <v>65.400000000000006</v>
      </c>
      <c r="G108" s="92">
        <v>64.8</v>
      </c>
      <c r="H108" s="92">
        <v>64.7</v>
      </c>
      <c r="I108" s="92">
        <v>64.7</v>
      </c>
      <c r="J108" s="92">
        <v>63.1</v>
      </c>
      <c r="K108" s="92">
        <v>63.8</v>
      </c>
      <c r="L108" s="92">
        <v>63.8</v>
      </c>
      <c r="M108" s="92"/>
      <c r="N108" s="92">
        <v>64.5</v>
      </c>
      <c r="O108" s="92">
        <v>64.099999999999994</v>
      </c>
      <c r="P108" s="92">
        <v>64</v>
      </c>
      <c r="Q108" s="92">
        <v>63.2</v>
      </c>
      <c r="R108" s="92">
        <v>63.1</v>
      </c>
      <c r="S108" s="92">
        <v>63.1</v>
      </c>
      <c r="T108" s="92">
        <v>63.1</v>
      </c>
      <c r="U108" s="92">
        <v>64</v>
      </c>
      <c r="V108" s="92">
        <v>64</v>
      </c>
      <c r="W108" s="92">
        <v>64.3</v>
      </c>
      <c r="X108" s="92">
        <v>64.3</v>
      </c>
      <c r="Y108" s="92">
        <v>64.400000000000006</v>
      </c>
      <c r="Z108" s="92">
        <v>64.5</v>
      </c>
      <c r="AA108" s="92">
        <v>64.400000000000006</v>
      </c>
      <c r="AB108" s="92">
        <v>63.7</v>
      </c>
      <c r="AC108" s="92">
        <v>64</v>
      </c>
      <c r="AD108" s="92">
        <v>64</v>
      </c>
      <c r="AE108" s="92">
        <v>64.8</v>
      </c>
      <c r="AF108" s="92">
        <v>64.2</v>
      </c>
      <c r="AG108" s="108"/>
      <c r="AH108" s="47">
        <f t="shared" si="15"/>
        <v>65.900000000000006</v>
      </c>
      <c r="AI108" s="48">
        <f t="shared" si="16"/>
        <v>63.1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5"/>
        <v>0</v>
      </c>
      <c r="AI109" s="48">
        <f t="shared" si="16"/>
        <v>0</v>
      </c>
    </row>
    <row r="110" spans="1:37" ht="15.75" thickBot="1" x14ac:dyDescent="0.3">
      <c r="A110" s="110" t="s">
        <v>126</v>
      </c>
      <c r="B110" s="111">
        <f t="shared" ref="B110" si="28">SUM(B20,B26,B29:B30,B58,B60:B61,B63,B65,B111:B115,B138,B144,B150,B159,B161,B173,B180,B183:B184,B191,B193,B195,B199:B201,B203:B205,B210,B216:B217,B219:B221,B229,B234)</f>
        <v>35.799999999999997</v>
      </c>
      <c r="C110" s="111">
        <f t="shared" ref="C110:O110" si="29">SUM(C20,C26,C29:C30,C58,C60:C61,C63,C65,C111:C115,C138,C144,C150,C159,C161,C173,C180,C183:C184,C191,C193,C195,C199:C201,C203:C205,C210,C216:C217,C219:C221,C229,C234)</f>
        <v>49.939999999999984</v>
      </c>
      <c r="D110" s="111">
        <f t="shared" si="29"/>
        <v>33.64</v>
      </c>
      <c r="E110" s="111">
        <f t="shared" si="29"/>
        <v>20.040000000000006</v>
      </c>
      <c r="F110" s="111">
        <f t="shared" si="29"/>
        <v>-13.859999999999989</v>
      </c>
      <c r="G110" s="111">
        <f t="shared" si="29"/>
        <v>42.64</v>
      </c>
      <c r="H110" s="111">
        <f t="shared" si="29"/>
        <v>53.239999999999988</v>
      </c>
      <c r="I110" s="111">
        <f t="shared" si="29"/>
        <v>86.239999999999981</v>
      </c>
      <c r="J110" s="111">
        <f t="shared" si="29"/>
        <v>126.13999999999999</v>
      </c>
      <c r="K110" s="111">
        <f t="shared" si="29"/>
        <v>164.74</v>
      </c>
      <c r="L110" s="111">
        <f t="shared" si="29"/>
        <v>164.74</v>
      </c>
      <c r="M110" s="111">
        <f t="shared" si="29"/>
        <v>0.94</v>
      </c>
      <c r="N110" s="111">
        <f t="shared" si="29"/>
        <v>164.33999999999997</v>
      </c>
      <c r="O110" s="111">
        <f t="shared" si="29"/>
        <v>161.73999999999998</v>
      </c>
      <c r="P110" s="111">
        <v>42</v>
      </c>
      <c r="Q110" s="111">
        <f t="shared" ref="Q110:AF110" si="30">SUM(Q20,Q26,Q29:Q30,Q58,Q60:Q61,Q63,Q65,Q111:Q115,Q138,Q144,Q150,Q159,Q161,Q173,Q180,Q183:Q184,Q191,Q193,Q195,Q199:Q201,Q203:Q205,Q210,Q216:Q217,Q219:Q221,Q229,Q234)</f>
        <v>158.49999999999997</v>
      </c>
      <c r="R110" s="111">
        <f t="shared" si="30"/>
        <v>165.7</v>
      </c>
      <c r="S110" s="111">
        <f t="shared" si="30"/>
        <v>296.8</v>
      </c>
      <c r="T110" s="111">
        <f t="shared" si="30"/>
        <v>183.60000000000002</v>
      </c>
      <c r="U110" s="111">
        <f t="shared" si="30"/>
        <v>195.5</v>
      </c>
      <c r="V110" s="111">
        <f t="shared" si="30"/>
        <v>170.49999999999994</v>
      </c>
      <c r="W110" s="111">
        <f t="shared" si="30"/>
        <v>169.6</v>
      </c>
      <c r="X110" s="111">
        <f t="shared" si="30"/>
        <v>169.4</v>
      </c>
      <c r="Y110" s="111">
        <f t="shared" si="30"/>
        <v>176.99999999999997</v>
      </c>
      <c r="Z110" s="111">
        <f t="shared" si="30"/>
        <v>214.6</v>
      </c>
      <c r="AA110" s="111">
        <f t="shared" si="30"/>
        <v>245.00000000000003</v>
      </c>
      <c r="AB110" s="111">
        <f t="shared" si="30"/>
        <v>193.8</v>
      </c>
      <c r="AC110" s="111">
        <f t="shared" si="30"/>
        <v>162.60000000000002</v>
      </c>
      <c r="AD110" s="111"/>
      <c r="AE110" s="111">
        <f t="shared" si="30"/>
        <v>84.299999999999983</v>
      </c>
      <c r="AF110" s="111">
        <f t="shared" si="30"/>
        <v>58.600000000000023</v>
      </c>
      <c r="AG110" s="112"/>
      <c r="AH110" s="47">
        <f t="shared" si="15"/>
        <v>296.8</v>
      </c>
      <c r="AI110" s="48">
        <f t="shared" si="16"/>
        <v>-13.859999999999989</v>
      </c>
    </row>
    <row r="111" spans="1:37" x14ac:dyDescent="0.25">
      <c r="A111" s="100" t="s">
        <v>127</v>
      </c>
      <c r="B111" s="113">
        <v>5.8</v>
      </c>
      <c r="C111" s="113">
        <v>15.5</v>
      </c>
      <c r="D111" s="113">
        <v>14.1</v>
      </c>
      <c r="E111" s="113">
        <v>19.399999999999999</v>
      </c>
      <c r="F111" s="113">
        <v>18.3</v>
      </c>
      <c r="G111" s="113">
        <v>26.4</v>
      </c>
      <c r="H111" s="113">
        <v>24.3</v>
      </c>
      <c r="I111" s="113">
        <v>28.8</v>
      </c>
      <c r="J111" s="113">
        <v>44.3</v>
      </c>
      <c r="K111" s="113">
        <v>58.6</v>
      </c>
      <c r="L111" s="113">
        <v>58.6</v>
      </c>
      <c r="M111" s="113"/>
      <c r="N111" s="113">
        <v>-8.8000000000000007</v>
      </c>
      <c r="O111" s="113">
        <v>-9</v>
      </c>
      <c r="P111" s="113">
        <v>-4.5</v>
      </c>
      <c r="Q111" s="113">
        <v>13.7</v>
      </c>
      <c r="R111" s="113">
        <v>18.2</v>
      </c>
      <c r="S111" s="113">
        <v>41.5</v>
      </c>
      <c r="T111" s="113">
        <v>46.5</v>
      </c>
      <c r="U111" s="113">
        <v>30.5</v>
      </c>
      <c r="V111" s="113">
        <v>33.700000000000003</v>
      </c>
      <c r="W111" s="113">
        <v>41.8</v>
      </c>
      <c r="X111" s="113">
        <v>41.8</v>
      </c>
      <c r="Y111" s="113">
        <v>32.700000000000003</v>
      </c>
      <c r="Z111" s="113">
        <v>42</v>
      </c>
      <c r="AA111" s="113">
        <v>48.9</v>
      </c>
      <c r="AB111" s="113">
        <v>37.200000000000003</v>
      </c>
      <c r="AC111" s="113">
        <v>49</v>
      </c>
      <c r="AD111" s="113">
        <v>49</v>
      </c>
      <c r="AE111" s="113">
        <v>16.7</v>
      </c>
      <c r="AF111" s="113">
        <v>29.3</v>
      </c>
      <c r="AG111" s="114">
        <v>75</v>
      </c>
      <c r="AH111" s="47">
        <f t="shared" si="15"/>
        <v>58.6</v>
      </c>
      <c r="AI111" s="48">
        <f t="shared" si="16"/>
        <v>-9</v>
      </c>
    </row>
    <row r="112" spans="1:37" x14ac:dyDescent="0.25">
      <c r="A112" s="103" t="s">
        <v>128</v>
      </c>
      <c r="B112" s="115">
        <v>16.2</v>
      </c>
      <c r="C112" s="115">
        <v>28.3</v>
      </c>
      <c r="D112" s="115">
        <v>26.5</v>
      </c>
      <c r="E112" s="115">
        <v>32.9</v>
      </c>
      <c r="F112" s="115">
        <v>32</v>
      </c>
      <c r="G112" s="115">
        <v>43.6</v>
      </c>
      <c r="H112" s="115">
        <v>40.700000000000003</v>
      </c>
      <c r="I112" s="115">
        <v>41.7</v>
      </c>
      <c r="J112" s="115">
        <v>64.099999999999994</v>
      </c>
      <c r="K112" s="115">
        <v>85.4</v>
      </c>
      <c r="L112" s="115">
        <v>85.4</v>
      </c>
      <c r="M112" s="115"/>
      <c r="N112" s="115">
        <v>-19.3</v>
      </c>
      <c r="O112" s="115">
        <v>-21.3</v>
      </c>
      <c r="P112" s="115">
        <v>-13.2</v>
      </c>
      <c r="Q112" s="115">
        <v>21</v>
      </c>
      <c r="R112" s="115">
        <v>27.9</v>
      </c>
      <c r="S112" s="115">
        <v>65.599999999999994</v>
      </c>
      <c r="T112" s="115">
        <v>71.8</v>
      </c>
      <c r="U112" s="115">
        <v>47.9</v>
      </c>
      <c r="V112" s="115">
        <v>49.2</v>
      </c>
      <c r="W112" s="115">
        <v>58.7</v>
      </c>
      <c r="X112" s="115">
        <v>58.7</v>
      </c>
      <c r="Y112" s="115">
        <v>47.4</v>
      </c>
      <c r="Z112" s="115">
        <v>58.5</v>
      </c>
      <c r="AA112" s="177">
        <v>69.099999999999994</v>
      </c>
      <c r="AB112" s="115">
        <v>56</v>
      </c>
      <c r="AC112" s="115">
        <v>74</v>
      </c>
      <c r="AD112" s="115">
        <v>74</v>
      </c>
      <c r="AE112" s="115">
        <v>30</v>
      </c>
      <c r="AF112" s="115">
        <v>52.7</v>
      </c>
      <c r="AG112" s="114">
        <v>240</v>
      </c>
      <c r="AH112" s="47">
        <f t="shared" si="15"/>
        <v>85.4</v>
      </c>
      <c r="AI112" s="48">
        <f t="shared" si="16"/>
        <v>-21.3</v>
      </c>
    </row>
    <row r="113" spans="1:37" x14ac:dyDescent="0.25">
      <c r="A113" s="103" t="s">
        <v>129</v>
      </c>
      <c r="B113" s="115">
        <f>-61.9-65</f>
        <v>-126.9</v>
      </c>
      <c r="C113" s="115">
        <f>-63.8-66.5</f>
        <v>-130.30000000000001</v>
      </c>
      <c r="D113" s="115">
        <f>-64.8-68.9</f>
        <v>-133.69999999999999</v>
      </c>
      <c r="E113" s="115">
        <v>-152</v>
      </c>
      <c r="F113" s="115">
        <v>-130</v>
      </c>
      <c r="G113" s="115">
        <v>-154</v>
      </c>
      <c r="H113" s="115">
        <v>-132</v>
      </c>
      <c r="I113" s="115">
        <v>-119</v>
      </c>
      <c r="J113" s="115">
        <v>-155</v>
      </c>
      <c r="K113" s="115">
        <v>-163</v>
      </c>
      <c r="L113" s="115">
        <v>-163</v>
      </c>
      <c r="M113" s="115"/>
      <c r="N113" s="115">
        <v>-56</v>
      </c>
      <c r="O113" s="115">
        <v>-31</v>
      </c>
      <c r="P113" s="115">
        <v>-55</v>
      </c>
      <c r="Q113" s="115">
        <v>-75</v>
      </c>
      <c r="R113" s="115">
        <v>-66</v>
      </c>
      <c r="S113" s="115">
        <v>-70.099999999999994</v>
      </c>
      <c r="T113" s="115">
        <v>-167</v>
      </c>
      <c r="U113" s="115">
        <v>-104</v>
      </c>
      <c r="V113" s="115">
        <f>-57.8-62.2</f>
        <v>-120</v>
      </c>
      <c r="W113" s="115">
        <v>-117</v>
      </c>
      <c r="X113" s="115">
        <v>-117</v>
      </c>
      <c r="Y113" s="115">
        <v>-107</v>
      </c>
      <c r="Z113" s="115">
        <v>-69</v>
      </c>
      <c r="AA113" s="115">
        <v>-60</v>
      </c>
      <c r="AB113" s="115">
        <v>-84</v>
      </c>
      <c r="AC113" s="115">
        <v>-135</v>
      </c>
      <c r="AD113" s="115">
        <v>-135</v>
      </c>
      <c r="AE113" s="115">
        <v>-125</v>
      </c>
      <c r="AF113" s="115">
        <v>-173</v>
      </c>
      <c r="AG113" s="114">
        <v>240</v>
      </c>
      <c r="AH113" s="47">
        <f t="shared" si="15"/>
        <v>-31</v>
      </c>
      <c r="AI113" s="48">
        <f t="shared" si="16"/>
        <v>-173</v>
      </c>
    </row>
    <row r="114" spans="1:37" x14ac:dyDescent="0.25">
      <c r="A114" s="103" t="s">
        <v>130</v>
      </c>
      <c r="B114" s="115">
        <v>-10.199999999999999</v>
      </c>
      <c r="C114" s="115">
        <v>-10.199999999999999</v>
      </c>
      <c r="D114" s="115">
        <v>-8.8000000000000007</v>
      </c>
      <c r="E114" s="115">
        <v>-13.5</v>
      </c>
      <c r="F114" s="115">
        <v>-16.3</v>
      </c>
      <c r="G114" s="115">
        <v>-15.3</v>
      </c>
      <c r="H114" s="115">
        <v>-11.5</v>
      </c>
      <c r="I114" s="115">
        <v>-5.2</v>
      </c>
      <c r="J114" s="115">
        <v>-10.9</v>
      </c>
      <c r="K114" s="115">
        <v>-8.6</v>
      </c>
      <c r="L114" s="115">
        <v>-8.6</v>
      </c>
      <c r="M114" s="115"/>
      <c r="N114" s="115">
        <v>58.4</v>
      </c>
      <c r="O114" s="115">
        <v>63</v>
      </c>
      <c r="P114" s="115">
        <v>63.4</v>
      </c>
      <c r="Q114" s="115">
        <v>39</v>
      </c>
      <c r="R114" s="115">
        <v>16.100000000000001</v>
      </c>
      <c r="S114" s="115">
        <v>33.5</v>
      </c>
      <c r="T114" s="115">
        <v>4.9000000000000004</v>
      </c>
      <c r="U114" s="115">
        <v>0</v>
      </c>
      <c r="V114" s="115">
        <v>3.6</v>
      </c>
      <c r="W114" s="115">
        <v>6.4</v>
      </c>
      <c r="X114" s="115">
        <v>6.4</v>
      </c>
      <c r="Y114" s="115">
        <v>5.6</v>
      </c>
      <c r="Z114" s="115">
        <v>11</v>
      </c>
      <c r="AA114" s="115">
        <v>11.3</v>
      </c>
      <c r="AB114" s="115">
        <v>10</v>
      </c>
      <c r="AC114" s="115">
        <v>1</v>
      </c>
      <c r="AD114" s="115">
        <v>1</v>
      </c>
      <c r="AE114" s="115">
        <v>-5</v>
      </c>
      <c r="AF114" s="115">
        <v>-13</v>
      </c>
      <c r="AG114" s="114">
        <v>60</v>
      </c>
      <c r="AH114" s="47">
        <f t="shared" si="15"/>
        <v>63.4</v>
      </c>
      <c r="AI114" s="48">
        <f t="shared" si="16"/>
        <v>-16.3</v>
      </c>
    </row>
    <row r="115" spans="1:37" x14ac:dyDescent="0.25">
      <c r="A115" s="116" t="s">
        <v>131</v>
      </c>
      <c r="B115" s="117">
        <v>5</v>
      </c>
      <c r="C115" s="117">
        <v>0</v>
      </c>
      <c r="D115" s="117">
        <v>0</v>
      </c>
      <c r="E115" s="117">
        <v>-2.2999999999999998</v>
      </c>
      <c r="F115" s="117">
        <v>-2.2999999999999998</v>
      </c>
      <c r="G115" s="117">
        <v>-2.5</v>
      </c>
      <c r="H115" s="117">
        <v>-2.9</v>
      </c>
      <c r="I115" s="117">
        <v>-2.7</v>
      </c>
      <c r="J115" s="117">
        <v>41</v>
      </c>
      <c r="K115" s="117">
        <v>40.700000000000003</v>
      </c>
      <c r="L115" s="117">
        <v>40.700000000000003</v>
      </c>
      <c r="M115" s="117"/>
      <c r="N115" s="117">
        <v>48.4</v>
      </c>
      <c r="O115" s="117">
        <v>18.399999999999999</v>
      </c>
      <c r="P115" s="117">
        <v>18.3</v>
      </c>
      <c r="Q115" s="117">
        <v>19.100000000000001</v>
      </c>
      <c r="R115" s="117">
        <v>18.8</v>
      </c>
      <c r="S115" s="117">
        <v>54.8</v>
      </c>
      <c r="T115" s="117">
        <v>56.7</v>
      </c>
      <c r="U115" s="117">
        <v>58.2</v>
      </c>
      <c r="V115" s="117">
        <v>48.3</v>
      </c>
      <c r="W115" s="117">
        <v>24.8</v>
      </c>
      <c r="X115" s="117">
        <v>24.8</v>
      </c>
      <c r="Y115" s="117">
        <v>44.1</v>
      </c>
      <c r="Z115" s="117">
        <v>18.5</v>
      </c>
      <c r="AA115" s="115">
        <v>17.100000000000001</v>
      </c>
      <c r="AB115" s="117">
        <v>18</v>
      </c>
      <c r="AC115" s="117">
        <v>17</v>
      </c>
      <c r="AD115" s="117">
        <v>17</v>
      </c>
      <c r="AE115" s="117">
        <v>19</v>
      </c>
      <c r="AF115" s="117">
        <v>9</v>
      </c>
      <c r="AG115" s="118">
        <v>120</v>
      </c>
      <c r="AH115" s="47">
        <f t="shared" si="15"/>
        <v>58.2</v>
      </c>
      <c r="AI115" s="48">
        <f t="shared" si="16"/>
        <v>-2.9</v>
      </c>
    </row>
    <row r="116" spans="1:37" x14ac:dyDescent="0.25">
      <c r="A116" s="116" t="s">
        <v>132</v>
      </c>
      <c r="B116" s="117">
        <v>82.4</v>
      </c>
      <c r="C116" s="117">
        <v>79.099999999999994</v>
      </c>
      <c r="D116" s="117">
        <v>77.5</v>
      </c>
      <c r="E116" s="117">
        <v>53.9</v>
      </c>
      <c r="F116" s="117">
        <v>72.2</v>
      </c>
      <c r="G116" s="117">
        <v>56.5</v>
      </c>
      <c r="H116" s="117">
        <v>61</v>
      </c>
      <c r="I116" s="117">
        <v>68</v>
      </c>
      <c r="J116" s="117">
        <v>48.9</v>
      </c>
      <c r="K116" s="117">
        <v>39.4</v>
      </c>
      <c r="L116" s="117">
        <v>39.4</v>
      </c>
      <c r="M116" s="117"/>
      <c r="N116" s="117">
        <v>30</v>
      </c>
      <c r="O116" s="117">
        <v>75.2</v>
      </c>
      <c r="P116" s="117">
        <v>61.7</v>
      </c>
      <c r="Q116" s="117">
        <v>74.3</v>
      </c>
      <c r="R116" s="117">
        <v>91.3</v>
      </c>
      <c r="S116" s="117">
        <v>62.9</v>
      </c>
      <c r="T116" s="117">
        <v>55.9</v>
      </c>
      <c r="U116" s="117">
        <v>45.5</v>
      </c>
      <c r="V116" s="117">
        <v>45.7</v>
      </c>
      <c r="W116" s="117">
        <v>32.1</v>
      </c>
      <c r="X116" s="117">
        <v>32.1</v>
      </c>
      <c r="Y116" s="117">
        <v>45.5</v>
      </c>
      <c r="Z116" s="117">
        <v>61.5</v>
      </c>
      <c r="AA116" s="117">
        <v>62.1</v>
      </c>
      <c r="AB116" s="117">
        <v>60</v>
      </c>
      <c r="AC116" s="117">
        <v>55</v>
      </c>
      <c r="AD116" s="117">
        <v>55</v>
      </c>
      <c r="AE116" s="117">
        <v>76</v>
      </c>
      <c r="AF116" s="117">
        <v>66</v>
      </c>
      <c r="AG116" s="118"/>
      <c r="AH116" s="47">
        <f t="shared" si="15"/>
        <v>91.3</v>
      </c>
      <c r="AI116" s="48">
        <f t="shared" si="16"/>
        <v>30</v>
      </c>
    </row>
    <row r="117" spans="1:37" x14ac:dyDescent="0.25">
      <c r="A117" s="116" t="s">
        <v>133</v>
      </c>
      <c r="B117" s="117">
        <v>57.4</v>
      </c>
      <c r="C117" s="117">
        <v>48.6</v>
      </c>
      <c r="D117" s="117">
        <v>44.1</v>
      </c>
      <c r="E117" s="117">
        <v>37.299999999999997</v>
      </c>
      <c r="F117" s="117">
        <v>41.2</v>
      </c>
      <c r="G117" s="117">
        <v>26.8</v>
      </c>
      <c r="H117" s="117">
        <v>28.2</v>
      </c>
      <c r="I117" s="117">
        <v>32</v>
      </c>
      <c r="J117" s="117">
        <v>25.5</v>
      </c>
      <c r="K117" s="117">
        <v>16.399999999999999</v>
      </c>
      <c r="L117" s="117">
        <v>16.399999999999999</v>
      </c>
      <c r="M117" s="117"/>
      <c r="N117" s="117">
        <v>4.7</v>
      </c>
      <c r="O117" s="117"/>
      <c r="P117" s="117">
        <v>-9.6999999999999993</v>
      </c>
      <c r="Q117" s="117">
        <v>16.8</v>
      </c>
      <c r="R117" s="117">
        <v>32.5</v>
      </c>
      <c r="S117" s="117">
        <v>26.5</v>
      </c>
      <c r="T117" s="117">
        <v>27.5</v>
      </c>
      <c r="U117" s="117">
        <v>17.600000000000001</v>
      </c>
      <c r="V117" s="117">
        <v>8.1999999999999993</v>
      </c>
      <c r="W117" s="117">
        <v>-2.6</v>
      </c>
      <c r="X117" s="117">
        <v>-2.6</v>
      </c>
      <c r="Y117" s="117">
        <v>11.9</v>
      </c>
      <c r="Z117" s="117">
        <v>10.8</v>
      </c>
      <c r="AA117" s="117">
        <v>16.7</v>
      </c>
      <c r="AB117" s="117">
        <v>20</v>
      </c>
      <c r="AC117" s="117">
        <v>28</v>
      </c>
      <c r="AD117" s="117">
        <v>28</v>
      </c>
      <c r="AE117" s="117">
        <v>46</v>
      </c>
      <c r="AF117" s="117">
        <v>29</v>
      </c>
      <c r="AG117" s="119"/>
      <c r="AH117" s="47">
        <f t="shared" si="15"/>
        <v>57.4</v>
      </c>
      <c r="AI117" s="48">
        <f t="shared" si="16"/>
        <v>-9.6999999999999993</v>
      </c>
    </row>
    <row r="118" spans="1:37" x14ac:dyDescent="0.25">
      <c r="A118" s="120" t="s">
        <v>134</v>
      </c>
      <c r="B118" s="106">
        <v>49.4</v>
      </c>
      <c r="C118" s="106">
        <v>51</v>
      </c>
      <c r="D118" s="106">
        <v>51.9</v>
      </c>
      <c r="E118" s="106">
        <v>51.4</v>
      </c>
      <c r="F118" s="106">
        <v>53.1</v>
      </c>
      <c r="G118" s="106">
        <v>50.9</v>
      </c>
      <c r="H118" s="106">
        <v>44.9</v>
      </c>
      <c r="I118" s="106">
        <v>43.6</v>
      </c>
      <c r="J118" s="106">
        <v>36.799999999999997</v>
      </c>
      <c r="K118" s="106">
        <v>40.799999999999997</v>
      </c>
      <c r="L118" s="106">
        <v>40.799999999999997</v>
      </c>
      <c r="M118" s="106"/>
      <c r="N118" s="106">
        <v>29.1</v>
      </c>
      <c r="O118" s="106">
        <v>25.9</v>
      </c>
      <c r="P118" s="106">
        <v>26.2</v>
      </c>
      <c r="Q118" s="106">
        <v>28.2</v>
      </c>
      <c r="R118" s="106">
        <v>30.3</v>
      </c>
      <c r="S118" s="106">
        <v>20.9</v>
      </c>
      <c r="T118" s="106">
        <v>24.3</v>
      </c>
      <c r="U118" s="106">
        <v>29.9</v>
      </c>
      <c r="V118" s="106">
        <v>35.6</v>
      </c>
      <c r="W118" s="106">
        <v>29.9</v>
      </c>
      <c r="X118" s="106">
        <v>29.9</v>
      </c>
      <c r="Y118" s="106">
        <v>31.9</v>
      </c>
      <c r="Z118" s="106">
        <v>24.4</v>
      </c>
      <c r="AA118" s="178">
        <v>15.3</v>
      </c>
      <c r="AB118" s="106">
        <v>3.2</v>
      </c>
      <c r="AC118" s="106">
        <v>24</v>
      </c>
      <c r="AD118" s="106">
        <v>24</v>
      </c>
      <c r="AE118" s="106">
        <v>38</v>
      </c>
      <c r="AF118" s="106">
        <v>41</v>
      </c>
      <c r="AG118" s="119"/>
      <c r="AH118" s="47">
        <f t="shared" si="15"/>
        <v>53.1</v>
      </c>
      <c r="AI118" s="48">
        <f t="shared" si="16"/>
        <v>3.2</v>
      </c>
    </row>
    <row r="119" spans="1:37" x14ac:dyDescent="0.25">
      <c r="A119" s="121" t="s">
        <v>135</v>
      </c>
      <c r="B119" s="106">
        <v>61.8</v>
      </c>
      <c r="C119" s="106">
        <v>63.3</v>
      </c>
      <c r="D119" s="106">
        <v>65.599999999999994</v>
      </c>
      <c r="E119" s="106">
        <v>73.900000000000006</v>
      </c>
      <c r="F119" s="106">
        <v>65.8</v>
      </c>
      <c r="G119" s="106">
        <v>80.599999999999994</v>
      </c>
      <c r="H119" s="106">
        <v>54.6</v>
      </c>
      <c r="I119" s="106">
        <v>51.3</v>
      </c>
      <c r="J119" s="106">
        <v>72.8</v>
      </c>
      <c r="K119" s="106">
        <v>76.8</v>
      </c>
      <c r="L119" s="106">
        <v>76.8</v>
      </c>
      <c r="M119" s="106"/>
      <c r="N119" s="106">
        <v>24.1</v>
      </c>
      <c r="O119" s="106">
        <v>19.2</v>
      </c>
      <c r="P119" s="106">
        <v>33</v>
      </c>
      <c r="Q119" s="106">
        <v>44.4</v>
      </c>
      <c r="R119" s="106">
        <v>39.4</v>
      </c>
      <c r="S119" s="106">
        <v>69.099999999999994</v>
      </c>
      <c r="T119" s="106">
        <v>71.099999999999994</v>
      </c>
      <c r="U119" s="106">
        <v>70.099999999999994</v>
      </c>
      <c r="V119" s="106">
        <v>74</v>
      </c>
      <c r="W119" s="106">
        <v>78.8</v>
      </c>
      <c r="X119" s="106">
        <v>78.8</v>
      </c>
      <c r="Y119" s="106">
        <v>67.3</v>
      </c>
      <c r="Z119" s="106">
        <v>46.5</v>
      </c>
      <c r="AA119" s="178">
        <v>42.2</v>
      </c>
      <c r="AB119" s="106">
        <v>56</v>
      </c>
      <c r="AC119" s="106">
        <v>64</v>
      </c>
      <c r="AD119" s="106">
        <v>64</v>
      </c>
      <c r="AE119" s="106">
        <v>53</v>
      </c>
      <c r="AF119" s="106">
        <v>82</v>
      </c>
      <c r="AG119" s="119"/>
      <c r="AH119" s="47">
        <f t="shared" si="15"/>
        <v>82</v>
      </c>
      <c r="AI119" s="48">
        <f t="shared" si="16"/>
        <v>19.2</v>
      </c>
    </row>
    <row r="120" spans="1:37" ht="15.75" thickBot="1" x14ac:dyDescent="0.3">
      <c r="A120" s="120" t="s">
        <v>136</v>
      </c>
      <c r="B120" s="106">
        <v>25.3</v>
      </c>
      <c r="C120" s="106">
        <v>18</v>
      </c>
      <c r="D120" s="106">
        <v>20.8</v>
      </c>
      <c r="E120" s="106">
        <v>23</v>
      </c>
      <c r="F120" s="106">
        <v>18.5</v>
      </c>
      <c r="G120" s="106">
        <v>11.4</v>
      </c>
      <c r="H120" s="106">
        <v>21.8</v>
      </c>
      <c r="I120" s="106">
        <v>22.2</v>
      </c>
      <c r="J120" s="106">
        <v>32.299999999999997</v>
      </c>
      <c r="K120" s="106">
        <v>25.4</v>
      </c>
      <c r="L120" s="106">
        <v>25.4</v>
      </c>
      <c r="M120" s="106"/>
      <c r="N120" s="106">
        <v>31.6</v>
      </c>
      <c r="O120" s="106">
        <v>39</v>
      </c>
      <c r="P120" s="106">
        <v>42.3</v>
      </c>
      <c r="Q120" s="106">
        <v>39.200000000000003</v>
      </c>
      <c r="R120" s="106">
        <v>34</v>
      </c>
      <c r="S120" s="106">
        <v>49.3</v>
      </c>
      <c r="T120" s="106">
        <v>49.2</v>
      </c>
      <c r="U120" s="106">
        <v>30.4</v>
      </c>
      <c r="V120" s="106">
        <v>25.3</v>
      </c>
      <c r="W120" s="106">
        <v>22.2</v>
      </c>
      <c r="X120" s="106">
        <v>22.2</v>
      </c>
      <c r="Y120" s="106">
        <v>18.3</v>
      </c>
      <c r="Z120" s="106">
        <v>32.9</v>
      </c>
      <c r="AA120" s="178">
        <v>52.7</v>
      </c>
      <c r="AB120" s="106">
        <v>59</v>
      </c>
      <c r="AC120" s="106">
        <v>49</v>
      </c>
      <c r="AD120" s="106">
        <v>49</v>
      </c>
      <c r="AE120" s="106">
        <v>40</v>
      </c>
      <c r="AF120" s="106">
        <v>39</v>
      </c>
      <c r="AG120" s="119"/>
      <c r="AH120" s="47">
        <f t="shared" si="15"/>
        <v>59</v>
      </c>
      <c r="AI120" s="48">
        <f t="shared" si="16"/>
        <v>11.4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31">SUM(B122:B226)</f>
        <v>0</v>
      </c>
      <c r="C227" s="137">
        <f t="shared" si="31"/>
        <v>0</v>
      </c>
      <c r="D227" s="137">
        <f t="shared" si="31"/>
        <v>0</v>
      </c>
      <c r="E227" s="137">
        <f t="shared" si="31"/>
        <v>0</v>
      </c>
      <c r="F227" s="137">
        <f t="shared" si="31"/>
        <v>0</v>
      </c>
      <c r="G227" s="137">
        <f t="shared" si="31"/>
        <v>0</v>
      </c>
      <c r="H227" s="137">
        <f t="shared" si="31"/>
        <v>0</v>
      </c>
      <c r="I227" s="137">
        <f t="shared" si="31"/>
        <v>0</v>
      </c>
      <c r="J227" s="137">
        <f t="shared" si="31"/>
        <v>0</v>
      </c>
      <c r="K227" s="137">
        <f t="shared" si="31"/>
        <v>0</v>
      </c>
      <c r="L227" s="137">
        <f t="shared" si="31"/>
        <v>0</v>
      </c>
      <c r="M227" s="137">
        <f t="shared" si="31"/>
        <v>0</v>
      </c>
      <c r="N227" s="137">
        <f t="shared" si="31"/>
        <v>0</v>
      </c>
      <c r="O227" s="137">
        <f t="shared" si="31"/>
        <v>0</v>
      </c>
      <c r="P227" s="137">
        <f t="shared" si="31"/>
        <v>0</v>
      </c>
      <c r="Q227" s="137">
        <f t="shared" si="31"/>
        <v>0</v>
      </c>
      <c r="R227" s="137">
        <f t="shared" si="31"/>
        <v>0</v>
      </c>
      <c r="S227" s="137">
        <f t="shared" si="31"/>
        <v>0</v>
      </c>
      <c r="T227" s="137">
        <f t="shared" si="31"/>
        <v>0</v>
      </c>
      <c r="U227" s="137">
        <f t="shared" si="31"/>
        <v>0</v>
      </c>
      <c r="V227" s="137">
        <f t="shared" si="31"/>
        <v>0</v>
      </c>
      <c r="W227" s="137">
        <f t="shared" si="31"/>
        <v>0</v>
      </c>
      <c r="X227" s="137">
        <f t="shared" si="31"/>
        <v>0</v>
      </c>
      <c r="Y227" s="137">
        <f t="shared" si="31"/>
        <v>0</v>
      </c>
      <c r="Z227" s="137">
        <f t="shared" si="31"/>
        <v>0</v>
      </c>
      <c r="AA227" s="137">
        <f t="shared" si="31"/>
        <v>0</v>
      </c>
      <c r="AB227" s="137">
        <f t="shared" si="31"/>
        <v>0</v>
      </c>
      <c r="AC227" s="137">
        <f t="shared" si="31"/>
        <v>0</v>
      </c>
      <c r="AD227" s="137">
        <f t="shared" si="31"/>
        <v>0</v>
      </c>
      <c r="AE227" s="137">
        <f t="shared" si="31"/>
        <v>0</v>
      </c>
      <c r="AF227" s="138">
        <f t="shared" si="31"/>
        <v>0</v>
      </c>
      <c r="AG227" s="139">
        <f t="shared" si="31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32">AF229</f>
        <v>0</v>
      </c>
      <c r="C229" s="141">
        <v>0.3</v>
      </c>
      <c r="D229" s="141">
        <f t="shared" ref="D229:P234" si="33">C229</f>
        <v>0.3</v>
      </c>
      <c r="E229" s="141">
        <f t="shared" si="33"/>
        <v>0.3</v>
      </c>
      <c r="F229" s="141">
        <f t="shared" si="33"/>
        <v>0.3</v>
      </c>
      <c r="G229" s="141">
        <f t="shared" si="33"/>
        <v>0.3</v>
      </c>
      <c r="H229" s="141">
        <f t="shared" si="33"/>
        <v>0.3</v>
      </c>
      <c r="I229" s="141">
        <f t="shared" si="33"/>
        <v>0.3</v>
      </c>
      <c r="J229" s="141">
        <f t="shared" si="33"/>
        <v>0.3</v>
      </c>
      <c r="K229" s="141">
        <f t="shared" si="33"/>
        <v>0.3</v>
      </c>
      <c r="L229" s="141">
        <f t="shared" si="33"/>
        <v>0.3</v>
      </c>
      <c r="M229" s="141">
        <f t="shared" si="33"/>
        <v>0.3</v>
      </c>
      <c r="N229" s="141">
        <f t="shared" si="33"/>
        <v>0.3</v>
      </c>
      <c r="O229" s="141">
        <f t="shared" si="33"/>
        <v>0.3</v>
      </c>
      <c r="P229" s="141">
        <f t="shared" si="33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32"/>
        <v>0</v>
      </c>
      <c r="C230" s="129">
        <v>0.4</v>
      </c>
      <c r="D230" s="129">
        <f t="shared" si="33"/>
        <v>0.4</v>
      </c>
      <c r="E230" s="129">
        <f t="shared" si="33"/>
        <v>0.4</v>
      </c>
      <c r="F230" s="129">
        <f t="shared" si="33"/>
        <v>0.4</v>
      </c>
      <c r="G230" s="129">
        <f t="shared" si="33"/>
        <v>0.4</v>
      </c>
      <c r="H230" s="129">
        <f t="shared" si="33"/>
        <v>0.4</v>
      </c>
      <c r="I230" s="129">
        <f t="shared" si="33"/>
        <v>0.4</v>
      </c>
      <c r="J230" s="129">
        <f t="shared" si="33"/>
        <v>0.4</v>
      </c>
      <c r="K230" s="129">
        <f t="shared" si="33"/>
        <v>0.4</v>
      </c>
      <c r="L230" s="129">
        <f t="shared" si="33"/>
        <v>0.4</v>
      </c>
      <c r="M230" s="129">
        <f t="shared" si="33"/>
        <v>0.4</v>
      </c>
      <c r="N230" s="129">
        <f t="shared" si="33"/>
        <v>0.4</v>
      </c>
      <c r="O230" s="129">
        <f t="shared" si="33"/>
        <v>0.4</v>
      </c>
      <c r="P230" s="129">
        <f t="shared" si="33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32"/>
        <v>0</v>
      </c>
      <c r="C231" s="129">
        <v>1.5</v>
      </c>
      <c r="D231" s="129">
        <f t="shared" si="33"/>
        <v>1.5</v>
      </c>
      <c r="E231" s="129">
        <f t="shared" si="33"/>
        <v>1.5</v>
      </c>
      <c r="F231" s="129">
        <f t="shared" si="33"/>
        <v>1.5</v>
      </c>
      <c r="G231" s="129">
        <f t="shared" si="33"/>
        <v>1.5</v>
      </c>
      <c r="H231" s="129">
        <f t="shared" si="33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33"/>
        <v>123.21900000000009</v>
      </c>
      <c r="K231" s="129">
        <f t="shared" ca="1" si="33"/>
        <v>123.21900000000009</v>
      </c>
      <c r="L231" s="129">
        <f t="shared" ca="1" si="33"/>
        <v>123.21900000000009</v>
      </c>
      <c r="M231" s="129">
        <f t="shared" ca="1" si="33"/>
        <v>119.19900000000008</v>
      </c>
      <c r="N231" s="129">
        <f t="shared" ca="1" si="33"/>
        <v>119.19900000000008</v>
      </c>
      <c r="O231" s="129">
        <f t="shared" ca="1" si="33"/>
        <v>119.19900000000008</v>
      </c>
      <c r="P231" s="129">
        <f t="shared" ca="1" si="33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32"/>
        <v>0</v>
      </c>
      <c r="C232" s="129">
        <v>0.3</v>
      </c>
      <c r="D232" s="129">
        <f t="shared" si="33"/>
        <v>0.3</v>
      </c>
      <c r="E232" s="129">
        <f t="shared" si="33"/>
        <v>0.3</v>
      </c>
      <c r="F232" s="129">
        <f t="shared" si="33"/>
        <v>0.3</v>
      </c>
      <c r="G232" s="129">
        <f t="shared" si="33"/>
        <v>0.3</v>
      </c>
      <c r="H232" s="129">
        <f t="shared" si="33"/>
        <v>0.3</v>
      </c>
      <c r="I232" s="129">
        <f t="shared" si="33"/>
        <v>0.3</v>
      </c>
      <c r="J232" s="129">
        <f t="shared" si="33"/>
        <v>0.3</v>
      </c>
      <c r="K232" s="129">
        <f t="shared" si="33"/>
        <v>0.3</v>
      </c>
      <c r="L232" s="129">
        <f t="shared" si="33"/>
        <v>0.3</v>
      </c>
      <c r="M232" s="129">
        <f t="shared" si="33"/>
        <v>0.3</v>
      </c>
      <c r="N232" s="129">
        <f t="shared" si="33"/>
        <v>0.3</v>
      </c>
      <c r="O232" s="129">
        <f t="shared" si="33"/>
        <v>0.3</v>
      </c>
      <c r="P232" s="129">
        <f t="shared" si="33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32"/>
        <v>0</v>
      </c>
      <c r="C233" s="129">
        <v>0.4</v>
      </c>
      <c r="D233" s="129">
        <f t="shared" si="33"/>
        <v>0.4</v>
      </c>
      <c r="E233" s="129">
        <f t="shared" si="33"/>
        <v>0.4</v>
      </c>
      <c r="F233" s="129">
        <f t="shared" si="33"/>
        <v>0.4</v>
      </c>
      <c r="G233" s="129">
        <f t="shared" si="33"/>
        <v>0.4</v>
      </c>
      <c r="H233" s="129">
        <f t="shared" si="33"/>
        <v>0.4</v>
      </c>
      <c r="I233" s="129">
        <f t="shared" si="33"/>
        <v>0.4</v>
      </c>
      <c r="J233" s="129">
        <f t="shared" si="33"/>
        <v>0.4</v>
      </c>
      <c r="K233" s="129">
        <f t="shared" si="33"/>
        <v>0.4</v>
      </c>
      <c r="L233" s="129">
        <f t="shared" si="33"/>
        <v>0.4</v>
      </c>
      <c r="M233" s="129">
        <f t="shared" si="33"/>
        <v>0.4</v>
      </c>
      <c r="N233" s="129">
        <f t="shared" si="33"/>
        <v>0.4</v>
      </c>
      <c r="O233" s="129">
        <f t="shared" si="33"/>
        <v>0.4</v>
      </c>
      <c r="P233" s="129">
        <f t="shared" si="33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32"/>
        <v>0</v>
      </c>
      <c r="C234" s="133">
        <v>0.64</v>
      </c>
      <c r="D234" s="133">
        <f t="shared" si="33"/>
        <v>0.64</v>
      </c>
      <c r="E234" s="133">
        <f t="shared" si="33"/>
        <v>0.64</v>
      </c>
      <c r="F234" s="133">
        <f t="shared" si="33"/>
        <v>0.64</v>
      </c>
      <c r="G234" s="133">
        <f t="shared" si="33"/>
        <v>0.64</v>
      </c>
      <c r="H234" s="133">
        <f t="shared" si="33"/>
        <v>0.64</v>
      </c>
      <c r="I234" s="133">
        <f t="shared" si="33"/>
        <v>0.64</v>
      </c>
      <c r="J234" s="133">
        <f t="shared" si="33"/>
        <v>0.64</v>
      </c>
      <c r="K234" s="133">
        <f t="shared" si="33"/>
        <v>0.64</v>
      </c>
      <c r="L234" s="133">
        <f t="shared" si="33"/>
        <v>0.64</v>
      </c>
      <c r="M234" s="133">
        <f t="shared" si="33"/>
        <v>0.64</v>
      </c>
      <c r="N234" s="133">
        <f t="shared" si="33"/>
        <v>0.64</v>
      </c>
      <c r="O234" s="133">
        <f t="shared" si="33"/>
        <v>0.64</v>
      </c>
      <c r="P234" s="133">
        <f t="shared" si="33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34">SUM(B229:B234)</f>
        <v>0</v>
      </c>
      <c r="C235" s="137">
        <f t="shared" si="34"/>
        <v>3.54</v>
      </c>
      <c r="D235" s="137">
        <f t="shared" si="34"/>
        <v>3.54</v>
      </c>
      <c r="E235" s="137">
        <f t="shared" si="34"/>
        <v>3.54</v>
      </c>
      <c r="F235" s="137">
        <f t="shared" si="34"/>
        <v>3.54</v>
      </c>
      <c r="G235" s="137">
        <f t="shared" si="34"/>
        <v>3.54</v>
      </c>
      <c r="H235" s="137">
        <f t="shared" si="34"/>
        <v>3.54</v>
      </c>
      <c r="I235" s="137">
        <f t="shared" ca="1" si="34"/>
        <v>121.23900000000009</v>
      </c>
      <c r="J235" s="137">
        <f t="shared" ca="1" si="34"/>
        <v>121.23900000000009</v>
      </c>
      <c r="K235" s="137">
        <f t="shared" ca="1" si="34"/>
        <v>121.23900000000009</v>
      </c>
      <c r="L235" s="137">
        <f t="shared" ca="1" si="34"/>
        <v>125.2590000000001</v>
      </c>
      <c r="M235" s="137">
        <f t="shared" ca="1" si="34"/>
        <v>121.23900000000009</v>
      </c>
      <c r="N235" s="137">
        <f t="shared" ca="1" si="34"/>
        <v>121.23900000000009</v>
      </c>
      <c r="O235" s="137">
        <f t="shared" ca="1" si="34"/>
        <v>121.23900000000009</v>
      </c>
      <c r="P235" s="137">
        <f t="shared" ca="1" si="34"/>
        <v>121.23900000000009</v>
      </c>
      <c r="Q235" s="137">
        <f t="shared" si="34"/>
        <v>0</v>
      </c>
      <c r="R235" s="137">
        <f t="shared" si="34"/>
        <v>0</v>
      </c>
      <c r="S235" s="137">
        <f t="shared" si="34"/>
        <v>0</v>
      </c>
      <c r="T235" s="137">
        <f t="shared" si="34"/>
        <v>0</v>
      </c>
      <c r="U235" s="137">
        <f t="shared" si="34"/>
        <v>0</v>
      </c>
      <c r="V235" s="137">
        <f t="shared" si="34"/>
        <v>0</v>
      </c>
      <c r="W235" s="137">
        <f t="shared" si="34"/>
        <v>0</v>
      </c>
      <c r="X235" s="137">
        <f t="shared" si="34"/>
        <v>0</v>
      </c>
      <c r="Y235" s="137">
        <f t="shared" si="34"/>
        <v>0</v>
      </c>
      <c r="Z235" s="137">
        <f t="shared" si="34"/>
        <v>0</v>
      </c>
      <c r="AA235" s="137">
        <f t="shared" si="34"/>
        <v>0</v>
      </c>
      <c r="AB235" s="137">
        <f t="shared" si="34"/>
        <v>0</v>
      </c>
      <c r="AC235" s="137">
        <f t="shared" si="34"/>
        <v>0</v>
      </c>
      <c r="AD235" s="137">
        <f t="shared" si="34"/>
        <v>0</v>
      </c>
      <c r="AE235" s="137">
        <f t="shared" si="34"/>
        <v>0</v>
      </c>
      <c r="AF235" s="137">
        <f t="shared" si="34"/>
        <v>0</v>
      </c>
      <c r="AG235" s="146">
        <f t="shared" si="34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1906.35</v>
      </c>
      <c r="C244" s="162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15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2080/03/15)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2080/03/15)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35">B91</f>
        <v>1825.25</v>
      </c>
      <c r="U249" s="171">
        <f t="shared" si="35"/>
        <v>1814.8500000000001</v>
      </c>
      <c r="V249" s="171">
        <f t="shared" si="35"/>
        <v>1803.55</v>
      </c>
      <c r="W249" s="171">
        <f t="shared" si="35"/>
        <v>1798.45</v>
      </c>
      <c r="X249" s="171">
        <f t="shared" si="35"/>
        <v>1762.0499999999997</v>
      </c>
      <c r="Y249" s="171">
        <f t="shared" si="35"/>
        <v>1819.4499999999998</v>
      </c>
      <c r="Z249" s="171">
        <f t="shared" si="35"/>
        <v>1796.75</v>
      </c>
      <c r="AA249" s="171">
        <f t="shared" si="35"/>
        <v>1802.5499999999997</v>
      </c>
      <c r="AB249" s="171">
        <f t="shared" si="35"/>
        <v>1822.9499999999998</v>
      </c>
      <c r="AC249" s="171">
        <f t="shared" si="35"/>
        <v>1904.4499999999998</v>
      </c>
      <c r="AD249" s="171">
        <f t="shared" si="35"/>
        <v>1906.35</v>
      </c>
      <c r="AE249" s="171">
        <f t="shared" si="35"/>
        <v>1108.04</v>
      </c>
      <c r="AF249" s="171">
        <f t="shared" si="35"/>
        <v>1801.5500000000002</v>
      </c>
      <c r="AG249" s="171">
        <f t="shared" si="35"/>
        <v>1837.25</v>
      </c>
      <c r="AH249" s="171">
        <f t="shared" si="35"/>
        <v>1844.75</v>
      </c>
      <c r="AI249" s="171">
        <f t="shared" si="35"/>
        <v>1876.0500000000002</v>
      </c>
      <c r="AJ249" s="171">
        <f t="shared" si="35"/>
        <v>1847.7500000000002</v>
      </c>
      <c r="AK249" s="171">
        <f t="shared" si="35"/>
        <v>1976.0500000000002</v>
      </c>
      <c r="AL249" s="171">
        <f t="shared" si="35"/>
        <v>1969.1499999999999</v>
      </c>
      <c r="AM249" s="171">
        <f t="shared" si="35"/>
        <v>1921.1499999999999</v>
      </c>
      <c r="AN249" s="171">
        <f t="shared" si="35"/>
        <v>1867.25</v>
      </c>
      <c r="AO249" s="171">
        <f t="shared" si="35"/>
        <v>1871.3500000000001</v>
      </c>
      <c r="AP249" s="171">
        <f t="shared" si="35"/>
        <v>1886.15</v>
      </c>
      <c r="AQ249" s="171">
        <f t="shared" si="35"/>
        <v>1845.0500000000002</v>
      </c>
      <c r="AR249" s="171">
        <f t="shared" si="35"/>
        <v>1837.3500000000001</v>
      </c>
      <c r="AS249" s="171">
        <f t="shared" si="35"/>
        <v>1926.85</v>
      </c>
      <c r="AT249" s="171">
        <f t="shared" si="35"/>
        <v>1939.4499999999998</v>
      </c>
      <c r="AU249" s="171">
        <f t="shared" si="35"/>
        <v>1906.6499999999999</v>
      </c>
      <c r="AV249" s="171">
        <f t="shared" si="35"/>
        <v>1849.55</v>
      </c>
      <c r="AW249" s="171">
        <f t="shared" si="35"/>
        <v>1833.95</v>
      </c>
      <c r="AX249" s="171">
        <f t="shared" si="35"/>
        <v>1845.3500000000001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36">C234</f>
        <v>0.64</v>
      </c>
      <c r="C270" s="174">
        <f t="shared" si="36"/>
        <v>0.64</v>
      </c>
      <c r="D270" s="174">
        <f t="shared" si="36"/>
        <v>0.64</v>
      </c>
      <c r="E270" s="174">
        <f t="shared" si="36"/>
        <v>0.64</v>
      </c>
      <c r="F270" s="174">
        <f t="shared" si="36"/>
        <v>0.64</v>
      </c>
      <c r="G270" s="174">
        <f t="shared" si="36"/>
        <v>0.64</v>
      </c>
      <c r="H270" s="174">
        <f t="shared" si="36"/>
        <v>0.64</v>
      </c>
      <c r="I270" s="174">
        <f t="shared" si="36"/>
        <v>0.64</v>
      </c>
      <c r="J270" s="174">
        <f t="shared" si="36"/>
        <v>0.64</v>
      </c>
      <c r="K270" s="174">
        <f t="shared" si="36"/>
        <v>0.64</v>
      </c>
      <c r="L270" s="174">
        <f t="shared" si="36"/>
        <v>0.64</v>
      </c>
      <c r="M270" s="174">
        <f t="shared" si="36"/>
        <v>0.64</v>
      </c>
      <c r="N270" s="174">
        <f t="shared" si="36"/>
        <v>0.64</v>
      </c>
      <c r="O270" s="174">
        <f t="shared" si="36"/>
        <v>0.64</v>
      </c>
      <c r="P270" s="174">
        <f t="shared" si="36"/>
        <v>0</v>
      </c>
      <c r="Q270" s="174">
        <f t="shared" si="36"/>
        <v>0</v>
      </c>
      <c r="R270" s="174">
        <f t="shared" si="36"/>
        <v>0</v>
      </c>
      <c r="S270" s="174">
        <f t="shared" si="36"/>
        <v>0</v>
      </c>
      <c r="T270" s="174">
        <f t="shared" si="36"/>
        <v>0</v>
      </c>
      <c r="U270" s="174">
        <f t="shared" si="36"/>
        <v>0</v>
      </c>
      <c r="V270" s="174">
        <f t="shared" si="36"/>
        <v>0</v>
      </c>
      <c r="W270" s="174">
        <f t="shared" si="36"/>
        <v>0</v>
      </c>
      <c r="X270" s="174">
        <f t="shared" si="36"/>
        <v>0</v>
      </c>
      <c r="Y270" s="174">
        <f t="shared" si="36"/>
        <v>0</v>
      </c>
      <c r="Z270" s="174">
        <f t="shared" si="36"/>
        <v>0</v>
      </c>
      <c r="AA270" s="174">
        <f t="shared" si="36"/>
        <v>0</v>
      </c>
      <c r="AB270" s="174">
        <f t="shared" si="36"/>
        <v>0</v>
      </c>
      <c r="AC270" s="174">
        <f t="shared" si="36"/>
        <v>0</v>
      </c>
      <c r="AD270" s="174">
        <f t="shared" si="36"/>
        <v>0</v>
      </c>
      <c r="AE270" s="174">
        <f t="shared" si="36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37">IF(B238&lt;100,"",B238-520)</f>
        <v/>
      </c>
      <c r="C271" s="175" t="str">
        <f t="shared" si="37"/>
        <v/>
      </c>
      <c r="D271" s="175" t="str">
        <f t="shared" si="37"/>
        <v/>
      </c>
      <c r="E271" s="175" t="str">
        <f t="shared" si="37"/>
        <v/>
      </c>
      <c r="F271" s="175" t="str">
        <f t="shared" si="37"/>
        <v/>
      </c>
      <c r="G271" s="175" t="str">
        <f t="shared" si="37"/>
        <v/>
      </c>
      <c r="H271" s="175" t="str">
        <f t="shared" si="37"/>
        <v/>
      </c>
      <c r="I271" s="175" t="str">
        <f t="shared" si="37"/>
        <v/>
      </c>
      <c r="J271" s="175" t="str">
        <f t="shared" si="37"/>
        <v/>
      </c>
      <c r="K271" s="175" t="str">
        <f t="shared" si="37"/>
        <v/>
      </c>
      <c r="L271" s="175" t="str">
        <f t="shared" si="37"/>
        <v/>
      </c>
      <c r="M271" s="175" t="str">
        <f t="shared" si="37"/>
        <v/>
      </c>
      <c r="N271" s="175" t="str">
        <f t="shared" si="37"/>
        <v/>
      </c>
      <c r="O271" s="175" t="str">
        <f t="shared" si="37"/>
        <v/>
      </c>
      <c r="P271" s="175" t="str">
        <f t="shared" si="37"/>
        <v/>
      </c>
      <c r="Q271" s="175" t="str">
        <f t="shared" si="37"/>
        <v/>
      </c>
      <c r="R271" s="175" t="str">
        <f t="shared" si="37"/>
        <v/>
      </c>
      <c r="S271" s="175" t="str">
        <f t="shared" si="37"/>
        <v/>
      </c>
      <c r="T271" s="175" t="str">
        <f t="shared" si="37"/>
        <v/>
      </c>
      <c r="U271" s="175" t="str">
        <f t="shared" si="37"/>
        <v/>
      </c>
      <c r="V271" s="175" t="str">
        <f t="shared" si="37"/>
        <v/>
      </c>
      <c r="W271" s="175" t="str">
        <f t="shared" si="37"/>
        <v/>
      </c>
      <c r="X271" s="175" t="str">
        <f t="shared" si="37"/>
        <v/>
      </c>
      <c r="Y271" s="175" t="str">
        <f t="shared" si="37"/>
        <v/>
      </c>
      <c r="Z271" s="175" t="str">
        <f t="shared" si="37"/>
        <v/>
      </c>
      <c r="AA271" s="175" t="str">
        <f t="shared" si="37"/>
        <v/>
      </c>
      <c r="AB271" s="175" t="str">
        <f t="shared" si="37"/>
        <v/>
      </c>
      <c r="AC271" s="175" t="str">
        <f t="shared" si="37"/>
        <v/>
      </c>
      <c r="AD271" s="175" t="str">
        <f t="shared" si="37"/>
        <v/>
      </c>
      <c r="AE271" s="175" t="str">
        <f t="shared" si="37"/>
        <v/>
      </c>
      <c r="AF271" s="175" t="str">
        <f t="shared" si="37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38">IF(B239&lt;100,"",B239-620)</f>
        <v/>
      </c>
      <c r="C272" s="175" t="str">
        <f t="shared" si="38"/>
        <v/>
      </c>
      <c r="D272" s="175" t="str">
        <f t="shared" si="38"/>
        <v/>
      </c>
      <c r="E272" s="175" t="str">
        <f t="shared" si="38"/>
        <v/>
      </c>
      <c r="F272" s="175" t="str">
        <f t="shared" si="38"/>
        <v/>
      </c>
      <c r="G272" s="175" t="str">
        <f t="shared" si="38"/>
        <v/>
      </c>
      <c r="H272" s="175" t="str">
        <f t="shared" si="38"/>
        <v/>
      </c>
      <c r="I272" s="175" t="str">
        <f t="shared" si="38"/>
        <v/>
      </c>
      <c r="J272" s="175" t="str">
        <f t="shared" si="38"/>
        <v/>
      </c>
      <c r="K272" s="175" t="str">
        <f t="shared" si="38"/>
        <v/>
      </c>
      <c r="L272" s="175" t="str">
        <f t="shared" si="38"/>
        <v/>
      </c>
      <c r="M272" s="175" t="str">
        <f t="shared" si="38"/>
        <v/>
      </c>
      <c r="N272" s="175" t="str">
        <f t="shared" si="38"/>
        <v/>
      </c>
      <c r="O272" s="175" t="str">
        <f t="shared" si="38"/>
        <v/>
      </c>
      <c r="P272" s="175" t="str">
        <f t="shared" si="38"/>
        <v/>
      </c>
      <c r="Q272" s="175" t="str">
        <f t="shared" si="38"/>
        <v/>
      </c>
      <c r="R272" s="175" t="str">
        <f t="shared" si="38"/>
        <v/>
      </c>
      <c r="S272" s="175" t="str">
        <f t="shared" si="38"/>
        <v/>
      </c>
      <c r="T272" s="175" t="str">
        <f t="shared" si="38"/>
        <v/>
      </c>
      <c r="U272" s="175" t="str">
        <f t="shared" si="38"/>
        <v/>
      </c>
      <c r="V272" s="175" t="str">
        <f t="shared" si="38"/>
        <v/>
      </c>
      <c r="W272" s="175" t="str">
        <f t="shared" si="38"/>
        <v/>
      </c>
      <c r="X272" s="175" t="str">
        <f t="shared" si="38"/>
        <v/>
      </c>
      <c r="Y272" s="175" t="str">
        <f t="shared" si="38"/>
        <v/>
      </c>
      <c r="Z272" s="175" t="str">
        <f t="shared" si="38"/>
        <v/>
      </c>
      <c r="AA272" s="175" t="str">
        <f t="shared" si="38"/>
        <v/>
      </c>
      <c r="AB272" s="175" t="str">
        <f t="shared" si="38"/>
        <v/>
      </c>
      <c r="AC272" s="175" t="str">
        <f t="shared" si="38"/>
        <v/>
      </c>
      <c r="AD272" s="175" t="str">
        <f t="shared" si="38"/>
        <v/>
      </c>
      <c r="AE272" s="175" t="str">
        <f t="shared" si="38"/>
        <v/>
      </c>
      <c r="AF272" s="175" t="str">
        <f t="shared" si="38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39">IF(B240&lt;100,"",B240-330)</f>
        <v/>
      </c>
      <c r="C273" s="175" t="str">
        <f t="shared" si="39"/>
        <v/>
      </c>
      <c r="D273" s="175" t="str">
        <f t="shared" si="39"/>
        <v/>
      </c>
      <c r="E273" s="175" t="str">
        <f t="shared" si="39"/>
        <v/>
      </c>
      <c r="F273" s="175" t="str">
        <f t="shared" si="39"/>
        <v/>
      </c>
      <c r="G273" s="175" t="str">
        <f t="shared" si="39"/>
        <v/>
      </c>
      <c r="H273" s="175" t="str">
        <f t="shared" si="39"/>
        <v/>
      </c>
      <c r="I273" s="175" t="str">
        <f t="shared" si="39"/>
        <v/>
      </c>
      <c r="J273" s="175" t="str">
        <f t="shared" si="39"/>
        <v/>
      </c>
      <c r="K273" s="175" t="str">
        <f t="shared" si="39"/>
        <v/>
      </c>
      <c r="L273" s="175" t="str">
        <f t="shared" si="39"/>
        <v/>
      </c>
      <c r="M273" s="175" t="str">
        <f t="shared" si="39"/>
        <v/>
      </c>
      <c r="N273" s="175" t="str">
        <f t="shared" si="39"/>
        <v/>
      </c>
      <c r="O273" s="175" t="str">
        <f t="shared" si="39"/>
        <v/>
      </c>
      <c r="P273" s="175" t="str">
        <f t="shared" si="39"/>
        <v/>
      </c>
      <c r="Q273" s="175" t="str">
        <f t="shared" si="39"/>
        <v/>
      </c>
      <c r="R273" s="175" t="str">
        <f t="shared" si="39"/>
        <v/>
      </c>
      <c r="S273" s="175" t="str">
        <f t="shared" si="39"/>
        <v/>
      </c>
      <c r="T273" s="175" t="str">
        <f t="shared" si="39"/>
        <v/>
      </c>
      <c r="U273" s="175" t="str">
        <f t="shared" si="39"/>
        <v/>
      </c>
      <c r="V273" s="175" t="str">
        <f t="shared" si="39"/>
        <v/>
      </c>
      <c r="W273" s="175" t="str">
        <f t="shared" si="39"/>
        <v/>
      </c>
      <c r="X273" s="175" t="str">
        <f t="shared" si="39"/>
        <v/>
      </c>
      <c r="Y273" s="175" t="str">
        <f t="shared" si="39"/>
        <v/>
      </c>
      <c r="Z273" s="175" t="str">
        <f t="shared" si="39"/>
        <v/>
      </c>
      <c r="AA273" s="175" t="str">
        <f t="shared" si="39"/>
        <v/>
      </c>
      <c r="AB273" s="175" t="str">
        <f t="shared" si="39"/>
        <v/>
      </c>
      <c r="AC273" s="175" t="str">
        <f t="shared" si="39"/>
        <v/>
      </c>
      <c r="AD273" s="175" t="str">
        <f t="shared" si="39"/>
        <v/>
      </c>
      <c r="AE273" s="175" t="str">
        <f t="shared" si="39"/>
        <v/>
      </c>
      <c r="AF273" s="175" t="str">
        <f t="shared" si="39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40">IF(B241&lt;100,"",B241-1500)</f>
        <v/>
      </c>
      <c r="C274" s="175" t="str">
        <f t="shared" si="40"/>
        <v/>
      </c>
      <c r="D274" s="175" t="str">
        <f t="shared" si="40"/>
        <v/>
      </c>
      <c r="E274" s="175" t="str">
        <f t="shared" si="40"/>
        <v/>
      </c>
      <c r="F274" s="175" t="str">
        <f t="shared" si="40"/>
        <v/>
      </c>
      <c r="G274" s="175" t="str">
        <f t="shared" si="40"/>
        <v/>
      </c>
      <c r="H274" s="175" t="str">
        <f t="shared" si="40"/>
        <v/>
      </c>
      <c r="I274" s="175" t="str">
        <f t="shared" si="40"/>
        <v/>
      </c>
      <c r="J274" s="175" t="str">
        <f t="shared" si="40"/>
        <v/>
      </c>
      <c r="K274" s="175" t="str">
        <f t="shared" si="40"/>
        <v/>
      </c>
      <c r="L274" s="175" t="str">
        <f t="shared" si="40"/>
        <v/>
      </c>
      <c r="M274" s="175" t="str">
        <f t="shared" si="40"/>
        <v/>
      </c>
      <c r="N274" s="175" t="str">
        <f t="shared" si="40"/>
        <v/>
      </c>
      <c r="O274" s="175" t="str">
        <f t="shared" si="40"/>
        <v/>
      </c>
      <c r="P274" s="175" t="str">
        <f t="shared" si="40"/>
        <v/>
      </c>
      <c r="Q274" s="175" t="str">
        <f t="shared" si="40"/>
        <v/>
      </c>
      <c r="R274" s="175" t="str">
        <f t="shared" si="40"/>
        <v/>
      </c>
      <c r="S274" s="175" t="str">
        <f t="shared" si="40"/>
        <v/>
      </c>
      <c r="T274" s="175" t="str">
        <f t="shared" si="40"/>
        <v/>
      </c>
      <c r="U274" s="175" t="str">
        <f t="shared" si="40"/>
        <v/>
      </c>
      <c r="V274" s="175" t="str">
        <f t="shared" si="40"/>
        <v/>
      </c>
      <c r="W274" s="175" t="str">
        <f t="shared" si="40"/>
        <v/>
      </c>
      <c r="X274" s="175" t="str">
        <f t="shared" si="40"/>
        <v/>
      </c>
      <c r="Y274" s="175" t="str">
        <f t="shared" si="40"/>
        <v/>
      </c>
      <c r="Z274" s="175" t="str">
        <f t="shared" si="40"/>
        <v/>
      </c>
      <c r="AA274" s="175" t="str">
        <f t="shared" si="40"/>
        <v/>
      </c>
      <c r="AB274" s="175" t="str">
        <f t="shared" si="40"/>
        <v/>
      </c>
      <c r="AC274" s="175" t="str">
        <f t="shared" si="40"/>
        <v/>
      </c>
      <c r="AD274" s="175" t="str">
        <f t="shared" si="40"/>
        <v/>
      </c>
      <c r="AE274" s="175" t="str">
        <f t="shared" si="40"/>
        <v/>
      </c>
      <c r="AF274" s="175" t="str">
        <f t="shared" si="40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1137" priority="294">
      <formula>$AH11=0</formula>
    </cfRule>
  </conditionalFormatting>
  <conditionalFormatting sqref="B8 M8 S8 AB8">
    <cfRule type="expression" dxfId="1136" priority="548">
      <formula>C$9&lt;8/24</formula>
    </cfRule>
    <cfRule type="expression" dxfId="1135" priority="547">
      <formula>AND(C$9&gt;=8/24,C$9&lt;14/24)</formula>
    </cfRule>
    <cfRule type="expression" dxfId="1134" priority="546">
      <formula>AND(C$9&gt;=14/24,C$9&lt;20/24)</formula>
    </cfRule>
  </conditionalFormatting>
  <conditionalFormatting sqref="B72:B75">
    <cfRule type="expression" dxfId="1133" priority="88">
      <formula>AND(B$9&gt;=14/24,B$9&lt;20/24)</formula>
    </cfRule>
    <cfRule type="expression" dxfId="1132" priority="89">
      <formula>AND(B$9&gt;=8/24,B$9&lt;14/24)</formula>
    </cfRule>
    <cfRule type="expression" dxfId="1131" priority="90">
      <formula>B$9&lt;8/24</formula>
    </cfRule>
    <cfRule type="expression" dxfId="1130" priority="87">
      <formula>B$9&gt;=20/24</formula>
    </cfRule>
  </conditionalFormatting>
  <conditionalFormatting sqref="B76:B91">
    <cfRule type="expression" dxfId="1129" priority="19">
      <formula>AND(B$9&gt;=14/24,B$9&lt;20/24)</formula>
    </cfRule>
    <cfRule type="expression" dxfId="1128" priority="18">
      <formula>B$9&gt;=20/24</formula>
    </cfRule>
    <cfRule type="expression" dxfId="1127" priority="20">
      <formula>AND(B$9&gt;=8/24,B$9&lt;14/24)</formula>
    </cfRule>
    <cfRule type="expression" dxfId="1126" priority="21">
      <formula>B$9&lt;8/24</formula>
    </cfRule>
  </conditionalFormatting>
  <conditionalFormatting sqref="B9:AF46">
    <cfRule type="expression" dxfId="1125" priority="33">
      <formula>B$9&gt;=20/24</formula>
    </cfRule>
    <cfRule type="expression" dxfId="1124" priority="34">
      <formula>AND(B$9&gt;=14/24,B$9&lt;20/24)</formula>
    </cfRule>
    <cfRule type="expression" dxfId="1123" priority="35">
      <formula>AND(B$9&gt;=8/24,B$9&lt;14/24)</formula>
    </cfRule>
    <cfRule type="expression" dxfId="1122" priority="36">
      <formula>B$9&lt;8/24</formula>
    </cfRule>
  </conditionalFormatting>
  <conditionalFormatting sqref="B11:AF45">
    <cfRule type="expression" dxfId="1121" priority="32">
      <formula>B11&gt;$AG11</formula>
    </cfRule>
  </conditionalFormatting>
  <conditionalFormatting sqref="B46:AF46">
    <cfRule type="expression" dxfId="1120" priority="45">
      <formula>B46&gt;$AG46</formula>
    </cfRule>
  </conditionalFormatting>
  <conditionalFormatting sqref="B47:AF47">
    <cfRule type="expression" dxfId="1119" priority="76">
      <formula>B47&gt;$AG47</formula>
    </cfRule>
  </conditionalFormatting>
  <conditionalFormatting sqref="B47:AF49">
    <cfRule type="expression" dxfId="1118" priority="63">
      <formula>B$9&gt;=20/24</formula>
    </cfRule>
    <cfRule type="expression" dxfId="1117" priority="64">
      <formula>AND(B$9&gt;=14/24,B$9&lt;20/24)</formula>
    </cfRule>
    <cfRule type="expression" dxfId="1116" priority="65">
      <formula>AND(B$9&gt;=8/24,B$9&lt;14/24)</formula>
    </cfRule>
    <cfRule type="expression" dxfId="1115" priority="66">
      <formula>B$9&lt;8/24</formula>
    </cfRule>
  </conditionalFormatting>
  <conditionalFormatting sqref="B48:AF53">
    <cfRule type="expression" dxfId="1114" priority="61">
      <formula>B48&gt;$AG48</formula>
    </cfRule>
  </conditionalFormatting>
  <conditionalFormatting sqref="B51:AF53">
    <cfRule type="expression" dxfId="1113" priority="110">
      <formula>AND(B$9&gt;=14/24,B$9&lt;20/24)</formula>
    </cfRule>
    <cfRule type="expression" dxfId="1112" priority="111">
      <formula>AND(B$9&gt;=8/24,B$9&lt;14/24)</formula>
    </cfRule>
    <cfRule type="expression" dxfId="1111" priority="112">
      <formula>B$9&lt;8/24</formula>
    </cfRule>
    <cfRule type="expression" dxfId="1110" priority="109">
      <formula>B$9&gt;=20/24</formula>
    </cfRule>
  </conditionalFormatting>
  <conditionalFormatting sqref="B55:AF66">
    <cfRule type="expression" dxfId="1109" priority="22">
      <formula>B55&gt;$AG55</formula>
    </cfRule>
    <cfRule type="expression" dxfId="1108" priority="23">
      <formula>B$9&gt;=20/24</formula>
    </cfRule>
    <cfRule type="expression" dxfId="1107" priority="24">
      <formula>AND(B$9&gt;=14/24,B$9&lt;20/24)</formula>
    </cfRule>
    <cfRule type="expression" dxfId="1106" priority="25">
      <formula>AND(B$9&gt;=8/24,B$9&lt;14/24)</formula>
    </cfRule>
    <cfRule type="expression" dxfId="1105" priority="26">
      <formula>B$9&lt;8/24</formula>
    </cfRule>
  </conditionalFormatting>
  <conditionalFormatting sqref="B69:AF71">
    <cfRule type="expression" dxfId="1104" priority="121">
      <formula>B69&gt;$AG69</formula>
    </cfRule>
    <cfRule type="expression" dxfId="1103" priority="122">
      <formula>B$9&gt;=20/24</formula>
    </cfRule>
    <cfRule type="expression" dxfId="1102" priority="123">
      <formula>AND(B$9&gt;=14/24,B$9&lt;20/24)</formula>
    </cfRule>
    <cfRule type="expression" dxfId="1101" priority="124">
      <formula>AND(B$9&gt;=8/24,B$9&lt;14/24)</formula>
    </cfRule>
    <cfRule type="expression" dxfId="1100" priority="125">
      <formula>B$9&lt;8/24</formula>
    </cfRule>
  </conditionalFormatting>
  <conditionalFormatting sqref="B93:AF109">
    <cfRule type="expression" dxfId="1099" priority="16">
      <formula>B$9&lt;8/24</formula>
    </cfRule>
    <cfRule type="expression" dxfId="1098" priority="13">
      <formula>B$9&gt;=20/24</formula>
    </cfRule>
    <cfRule type="expression" dxfId="1097" priority="14">
      <formula>AND(B$9&gt;=14/24,B$9&lt;20/24)</formula>
    </cfRule>
    <cfRule type="expression" dxfId="1096" priority="15">
      <formula>AND(B$9&gt;=8/24,B$9&lt;14/24)</formula>
    </cfRule>
  </conditionalFormatting>
  <conditionalFormatting sqref="B111:AF120">
    <cfRule type="expression" dxfId="1095" priority="3">
      <formula>AND(B$9&gt;=8/24,B$9&lt;14/24)</formula>
    </cfRule>
    <cfRule type="expression" dxfId="1094" priority="4">
      <formula>B$9&lt;8/24</formula>
    </cfRule>
    <cfRule type="expression" dxfId="1093" priority="2">
      <formula>AND(B$9&gt;=14/24,B$9&lt;20/24)</formula>
    </cfRule>
    <cfRule type="expression" dxfId="1092" priority="1">
      <formula>B$9&gt;=20/24</formula>
    </cfRule>
  </conditionalFormatting>
  <conditionalFormatting sqref="B227:AF227 D229:AF230 B229:B235 D231:H231 J231:AF231 D232:AF235 U248:AF248">
    <cfRule type="expression" dxfId="1091" priority="542">
      <formula>B$9&lt;8/24</formula>
    </cfRule>
    <cfRule type="expression" dxfId="1090" priority="541">
      <formula>AND(B$9&gt;=8/24,B$9&lt;14/24)</formula>
    </cfRule>
    <cfRule type="expression" dxfId="1089" priority="540">
      <formula>AND(B$9&gt;=14/24,B$9&lt;20/24)</formula>
    </cfRule>
    <cfRule type="expression" dxfId="1088" priority="539">
      <formula>B$9&gt;=20/24</formula>
    </cfRule>
  </conditionalFormatting>
  <conditionalFormatting sqref="B54:AG54">
    <cfRule type="expression" dxfId="1087" priority="77">
      <formula>B54&gt;$AG54</formula>
    </cfRule>
    <cfRule type="expression" dxfId="1086" priority="79">
      <formula>AND(B$9&gt;=14/24,B$9&lt;20/24)</formula>
    </cfRule>
    <cfRule type="expression" dxfId="1085" priority="78">
      <formula>B$9&gt;=20/24</formula>
    </cfRule>
    <cfRule type="expression" dxfId="1084" priority="81">
      <formula>B$9&lt;8/24</formula>
    </cfRule>
    <cfRule type="expression" dxfId="1083" priority="80">
      <formula>AND(B$9&gt;=8/24,B$9&lt;14/24)</formula>
    </cfRule>
  </conditionalFormatting>
  <conditionalFormatting sqref="B67:AG68 B72:AG72">
    <cfRule type="expression" dxfId="1082" priority="86">
      <formula>B67&gt;$AG67</formula>
    </cfRule>
  </conditionalFormatting>
  <conditionalFormatting sqref="C73:AF91">
    <cfRule type="expression" dxfId="1081" priority="326">
      <formula>C$9&gt;=20/24</formula>
    </cfRule>
    <cfRule type="expression" dxfId="1080" priority="327">
      <formula>AND(C$9&gt;=14/24,C$9&lt;20/24)</formula>
    </cfRule>
    <cfRule type="expression" dxfId="1079" priority="328">
      <formula>AND(C$9&gt;=8/24,C$9&lt;14/24)</formula>
    </cfRule>
    <cfRule type="expression" dxfId="1078" priority="329">
      <formula>C$9&lt;8/24</formula>
    </cfRule>
  </conditionalFormatting>
  <conditionalFormatting sqref="C72:AG72">
    <cfRule type="expression" dxfId="1077" priority="404">
      <formula>C$9&gt;=20/24</formula>
    </cfRule>
    <cfRule type="expression" dxfId="1076" priority="405">
      <formula>AND(C$9&gt;=14/24,C$9&lt;20/24)</formula>
    </cfRule>
    <cfRule type="expression" dxfId="1075" priority="406">
      <formula>AND(C$9&gt;=8/24,C$9&lt;14/24)</formula>
    </cfRule>
    <cfRule type="expression" dxfId="1074" priority="407">
      <formula>C$9&lt;8/24</formula>
    </cfRule>
  </conditionalFormatting>
  <conditionalFormatting sqref="O3:P3">
    <cfRule type="iconSet" priority="543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073" priority="545">
      <formula>C$9&gt;=20/24</formula>
    </cfRule>
  </conditionalFormatting>
  <conditionalFormatting sqref="S8">
    <cfRule type="expression" dxfId="1072" priority="518">
      <formula>U$9&gt;=20/24</formula>
    </cfRule>
    <cfRule type="expression" dxfId="1071" priority="519">
      <formula>AND(U$9&gt;=14/24,U$9&lt;20/24)</formula>
    </cfRule>
    <cfRule type="expression" dxfId="1070" priority="520">
      <formula>AND(U$9&gt;=8/24,U$9&lt;14/24)</formula>
    </cfRule>
    <cfRule type="expression" dxfId="1069" priority="521">
      <formula>U$9&lt;8/24</formula>
    </cfRule>
  </conditionalFormatting>
  <conditionalFormatting sqref="T248">
    <cfRule type="expression" dxfId="1068" priority="561">
      <formula>AX$9&lt;8/24</formula>
    </cfRule>
    <cfRule type="expression" dxfId="1067" priority="558">
      <formula>AX$9&gt;=20/24</formula>
    </cfRule>
    <cfRule type="expression" dxfId="1066" priority="559">
      <formula>AND(AX$9&gt;=14/24,AX$9&lt;20/24)</formula>
    </cfRule>
    <cfRule type="expression" dxfId="1065" priority="560">
      <formula>AND(AX$9&gt;=8/24,AX$9&lt;14/24)</formula>
    </cfRule>
  </conditionalFormatting>
  <conditionalFormatting sqref="V3 AB3">
    <cfRule type="iconSet" priority="54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064" priority="514">
      <formula>AD$9&gt;=20/24</formula>
    </cfRule>
    <cfRule type="expression" dxfId="1063" priority="515">
      <formula>AND(AD$9&gt;=14/24,AD$9&lt;20/24)</formula>
    </cfRule>
    <cfRule type="expression" dxfId="1062" priority="516">
      <formula>AND(AD$9&gt;=8/24,AD$9&lt;14/24)</formula>
    </cfRule>
    <cfRule type="expression" dxfId="1061" priority="517">
      <formula>AD$9&lt;8/24</formula>
    </cfRule>
  </conditionalFormatting>
  <conditionalFormatting sqref="AG50">
    <cfRule type="expression" dxfId="1060" priority="471">
      <formula>AG50&gt;$AG50</formula>
    </cfRule>
  </conditionalFormatting>
  <conditionalFormatting sqref="AG89">
    <cfRule type="expression" dxfId="1059" priority="472">
      <formula>AG$9&gt;=20/24</formula>
    </cfRule>
    <cfRule type="expression" dxfId="1058" priority="473">
      <formula>AND(AG$9&gt;=14/24,AG$9&lt;20/24)</formula>
    </cfRule>
    <cfRule type="expression" dxfId="1057" priority="474">
      <formula>AND(AG$9&gt;=8/24,AG$9&lt;14/24)</formula>
    </cfRule>
    <cfRule type="expression" dxfId="1056" priority="475">
      <formula>AG$9&lt;8/24</formula>
    </cfRule>
  </conditionalFormatting>
  <conditionalFormatting sqref="AG248">
    <cfRule type="expression" dxfId="1055" priority="550">
      <formula>B$9&gt;=20/24</formula>
    </cfRule>
    <cfRule type="expression" dxfId="1054" priority="553">
      <formula>B$9&lt;8/24</formula>
    </cfRule>
    <cfRule type="expression" dxfId="1053" priority="552">
      <formula>AND(B$9&gt;=8/24,B$9&lt;14/24)</formula>
    </cfRule>
    <cfRule type="expression" dxfId="1052" priority="551">
      <formula>AND(B$9&gt;=14/24,B$9&lt;20/24)</formula>
    </cfRule>
  </conditionalFormatting>
  <conditionalFormatting sqref="AH248:AX248">
    <cfRule type="expression" dxfId="1051" priority="554">
      <formula>AG$9&gt;=20/24</formula>
    </cfRule>
    <cfRule type="expression" dxfId="1050" priority="555">
      <formula>AND(AG$9&gt;=14/24,AG$9&lt;20/24)</formula>
    </cfRule>
    <cfRule type="expression" dxfId="1049" priority="556">
      <formula>AND(AG$9&gt;=8/24,AG$9&lt;14/24)</formula>
    </cfRule>
    <cfRule type="expression" dxfId="1048" priority="557">
      <formula>AG$9&lt;8/24</formula>
    </cfRule>
  </conditionalFormatting>
  <conditionalFormatting sqref="AL4:AL6">
    <cfRule type="iconSet" priority="538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309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437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435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446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534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522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295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562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047" priority="566">
      <formula>AJ$9&lt;8/24</formula>
    </cfRule>
    <cfRule type="expression" dxfId="1046" priority="563">
      <formula>AJ$9&gt;=20/24</formula>
    </cfRule>
    <cfRule type="expression" dxfId="1045" priority="564">
      <formula>AND(AJ$9&gt;=14/24,AJ$9&lt;20/24)</formula>
    </cfRule>
    <cfRule type="expression" dxfId="1044" priority="565">
      <formula>AND(AJ$9&gt;=8/24,AJ$9&lt;14/24)</formula>
    </cfRule>
  </conditionalFormatting>
  <conditionalFormatting sqref="AL80:AN80 AL86:AN86">
    <cfRule type="expression" dxfId="1043" priority="363">
      <formula>AL$9&gt;=20/24</formula>
    </cfRule>
    <cfRule type="expression" dxfId="1042" priority="364">
      <formula>AND(AL$9&gt;=14/24,AL$9&lt;20/24)</formula>
    </cfRule>
    <cfRule type="expression" dxfId="1041" priority="366">
      <formula>AL$9&lt;8/24</formula>
    </cfRule>
    <cfRule type="expression" dxfId="1040" priority="365">
      <formula>AND(AL$9&gt;=8/24,AL$9&lt;14/24)</formula>
    </cfRule>
  </conditionalFormatting>
  <conditionalFormatting sqref="AN81:AN84">
    <cfRule type="expression" dxfId="1039" priority="362">
      <formula>AN$9&lt;8/24</formula>
    </cfRule>
    <cfRule type="expression" dxfId="1038" priority="359">
      <formula>AN$9&gt;=20/24</formula>
    </cfRule>
    <cfRule type="expression" dxfId="1037" priority="360">
      <formula>AND(AN$9&gt;=14/24,AN$9&lt;20/24)</formula>
    </cfRule>
    <cfRule type="expression" dxfId="1036" priority="361">
      <formula>AND(AN$9&gt;=8/24,AN$9&lt;14/24)</formula>
    </cfRule>
  </conditionalFormatting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B9FC-8FBD-4E44-8199-6052FE23E406}">
  <dimension ref="A1:CJ281"/>
  <sheetViews>
    <sheetView zoomScale="112" zoomScaleNormal="112" workbookViewId="0">
      <pane xSplit="1" ySplit="10" topLeftCell="B110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U77" sqref="U7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2080/03/16</v>
      </c>
      <c r="C4" s="187"/>
      <c r="D4" s="187"/>
      <c r="E4" s="188" t="str">
        <f ca="1">"2079/"&amp;"12/"&amp;INT(MID(CELL("filename",G6),FIND("]",CELL("filename",G6))+1,200))</f>
        <v>2079/12/16</v>
      </c>
      <c r="F4" s="188"/>
      <c r="G4" s="188"/>
      <c r="H4" s="188" t="str">
        <f ca="1">TEXT(E4,"dddd")</f>
        <v>Saturday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25</v>
      </c>
      <c r="C5" s="30">
        <f t="shared" si="0"/>
        <v>70</v>
      </c>
      <c r="D5" s="30">
        <f t="shared" si="0"/>
        <v>20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4</v>
      </c>
      <c r="J5" s="30">
        <f t="shared" si="0"/>
        <v>13.3</v>
      </c>
      <c r="K5" s="30">
        <f t="shared" si="0"/>
        <v>13.3</v>
      </c>
      <c r="L5" s="30">
        <f t="shared" si="0"/>
        <v>0</v>
      </c>
      <c r="M5" s="30">
        <f t="shared" si="0"/>
        <v>0</v>
      </c>
      <c r="N5" s="30">
        <f t="shared" si="0"/>
        <v>2.7</v>
      </c>
      <c r="O5" s="30">
        <f t="shared" si="0"/>
        <v>9</v>
      </c>
      <c r="P5" s="30">
        <f t="shared" si="0"/>
        <v>0</v>
      </c>
      <c r="Q5" s="30">
        <f t="shared" si="0"/>
        <v>21.2</v>
      </c>
      <c r="R5" s="30">
        <f t="shared" si="0"/>
        <v>12.7</v>
      </c>
      <c r="S5" s="30">
        <f t="shared" si="0"/>
        <v>11</v>
      </c>
      <c r="T5" s="30">
        <f t="shared" si="0"/>
        <v>10</v>
      </c>
      <c r="U5" s="30">
        <f t="shared" si="0"/>
        <v>12.4</v>
      </c>
      <c r="V5" s="30">
        <f t="shared" si="0"/>
        <v>10</v>
      </c>
      <c r="W5" s="30">
        <f t="shared" si="0"/>
        <v>10.8</v>
      </c>
      <c r="X5" s="30">
        <f t="shared" si="0"/>
        <v>10.8</v>
      </c>
      <c r="Y5" s="30">
        <f t="shared" si="0"/>
        <v>16.399999999999999</v>
      </c>
      <c r="Z5" s="30">
        <f t="shared" si="0"/>
        <v>16.399999999999999</v>
      </c>
      <c r="AA5" s="30">
        <f t="shared" si="0"/>
        <v>15.4</v>
      </c>
      <c r="AB5" s="30">
        <f t="shared" si="0"/>
        <v>15.4</v>
      </c>
      <c r="AC5" s="30">
        <f t="shared" si="0"/>
        <v>22.6</v>
      </c>
      <c r="AD5" s="30">
        <f t="shared" si="0"/>
        <v>6.2</v>
      </c>
      <c r="AE5" s="30">
        <f t="shared" si="0"/>
        <v>13.4</v>
      </c>
      <c r="AF5" s="30">
        <f>B84</f>
        <v>34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1812MW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Load=1704</v>
      </c>
      <c r="B7" s="35">
        <f t="shared" ref="B7:AF7" si="1">B91</f>
        <v>1826.3500000000001</v>
      </c>
      <c r="C7" s="35">
        <f t="shared" si="1"/>
        <v>1800.55</v>
      </c>
      <c r="D7" s="35">
        <f t="shared" si="1"/>
        <v>1812.85</v>
      </c>
      <c r="E7" s="35">
        <f t="shared" si="1"/>
        <v>1704.45</v>
      </c>
      <c r="F7" s="35">
        <f t="shared" si="1"/>
        <v>1757.75</v>
      </c>
      <c r="G7" s="35">
        <f t="shared" si="1"/>
        <v>1747.75</v>
      </c>
      <c r="H7" s="35">
        <f t="shared" si="1"/>
        <v>1762.8500000000001</v>
      </c>
      <c r="I7" s="35">
        <f t="shared" si="1"/>
        <v>1773.0500000000002</v>
      </c>
      <c r="J7" s="35">
        <f t="shared" si="1"/>
        <v>1772.0500000000002</v>
      </c>
      <c r="K7" s="35">
        <f t="shared" si="1"/>
        <v>1786.3500000000001</v>
      </c>
      <c r="L7" s="35">
        <f t="shared" si="1"/>
        <v>1809.3500000000001</v>
      </c>
      <c r="M7" s="35">
        <f t="shared" si="1"/>
        <v>1807.0500000000002</v>
      </c>
      <c r="N7" s="35">
        <f>N91</f>
        <v>1812.0500000000002</v>
      </c>
      <c r="O7" s="35">
        <f t="shared" si="1"/>
        <v>1835.1500000000003</v>
      </c>
      <c r="P7" s="35">
        <f t="shared" si="1"/>
        <v>1845.5500000000002</v>
      </c>
      <c r="Q7" s="35">
        <f t="shared" si="1"/>
        <v>1826.8500000000001</v>
      </c>
      <c r="R7" s="35">
        <f t="shared" si="1"/>
        <v>1788.8500000000001</v>
      </c>
      <c r="S7" s="35">
        <f t="shared" si="1"/>
        <v>1794.05</v>
      </c>
      <c r="T7" s="35">
        <f t="shared" si="1"/>
        <v>1753.5500000000002</v>
      </c>
      <c r="U7" s="35">
        <f t="shared" si="1"/>
        <v>1760.4500000000003</v>
      </c>
      <c r="V7" s="35">
        <f t="shared" si="1"/>
        <v>1737.6500000000003</v>
      </c>
      <c r="W7" s="35">
        <f t="shared" si="1"/>
        <v>1753.8500000000001</v>
      </c>
      <c r="X7" s="35">
        <f t="shared" si="1"/>
        <v>1797.3500000000001</v>
      </c>
      <c r="Y7" s="35">
        <f t="shared" si="1"/>
        <v>1805.55</v>
      </c>
      <c r="Z7" s="35">
        <f t="shared" si="1"/>
        <v>1865.15</v>
      </c>
      <c r="AA7" s="35">
        <f t="shared" si="1"/>
        <v>1865.15</v>
      </c>
      <c r="AB7" s="35">
        <f t="shared" si="1"/>
        <v>1926.4500000000003</v>
      </c>
      <c r="AC7" s="35">
        <f t="shared" si="1"/>
        <v>1926.4500000000003</v>
      </c>
      <c r="AD7" s="35">
        <f t="shared" si="1"/>
        <v>1913.85</v>
      </c>
      <c r="AE7" s="35">
        <f t="shared" si="1"/>
        <v>1837.95</v>
      </c>
      <c r="AF7" s="35">
        <f t="shared" si="1"/>
        <v>1835.25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60.6</v>
      </c>
      <c r="C11" s="45">
        <v>60.6</v>
      </c>
      <c r="D11" s="45">
        <v>60.6</v>
      </c>
      <c r="E11" s="45">
        <v>60.6</v>
      </c>
      <c r="F11" s="45">
        <v>60.6</v>
      </c>
      <c r="G11" s="45">
        <v>60.6</v>
      </c>
      <c r="H11" s="45">
        <v>60.6</v>
      </c>
      <c r="I11" s="45">
        <v>60.6</v>
      </c>
      <c r="J11" s="45">
        <v>60.6</v>
      </c>
      <c r="K11" s="45">
        <v>60.6</v>
      </c>
      <c r="L11" s="45">
        <v>60.6</v>
      </c>
      <c r="M11" s="45">
        <v>60.6</v>
      </c>
      <c r="N11" s="45">
        <v>60.6</v>
      </c>
      <c r="O11" s="45">
        <v>60.6</v>
      </c>
      <c r="P11" s="45">
        <v>60.6</v>
      </c>
      <c r="Q11" s="45">
        <v>60.6</v>
      </c>
      <c r="R11" s="45">
        <v>60.6</v>
      </c>
      <c r="S11" s="45">
        <v>60.6</v>
      </c>
      <c r="T11" s="45">
        <v>60.6</v>
      </c>
      <c r="U11" s="45">
        <v>60.6</v>
      </c>
      <c r="V11" s="45">
        <v>60.6</v>
      </c>
      <c r="W11" s="45">
        <v>60.6</v>
      </c>
      <c r="X11" s="45">
        <v>60.6</v>
      </c>
      <c r="Y11" s="45">
        <v>60.6</v>
      </c>
      <c r="Z11" s="45">
        <v>60.6</v>
      </c>
      <c r="AA11" s="45">
        <v>60.6</v>
      </c>
      <c r="AB11" s="45">
        <v>60.6</v>
      </c>
      <c r="AC11" s="45">
        <v>60.6</v>
      </c>
      <c r="AD11" s="45">
        <v>60.6</v>
      </c>
      <c r="AE11" s="45">
        <v>60.6</v>
      </c>
      <c r="AF11" s="45">
        <v>60.6</v>
      </c>
      <c r="AG11" s="46">
        <v>86</v>
      </c>
      <c r="AH11" s="47">
        <f t="shared" ref="AH11:AH76" si="2">MAX(B11:AF11)</f>
        <v>60.6</v>
      </c>
      <c r="AI11" s="48">
        <f t="shared" ref="AI11:AI76" si="3">MIN(B11:AF11)</f>
        <v>60.6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15</v>
      </c>
      <c r="C12" s="45">
        <v>8</v>
      </c>
      <c r="D12" s="45">
        <v>8</v>
      </c>
      <c r="E12" s="45">
        <v>5</v>
      </c>
      <c r="F12" s="45">
        <v>0</v>
      </c>
      <c r="G12" s="45">
        <v>0</v>
      </c>
      <c r="H12" s="45">
        <v>5</v>
      </c>
      <c r="I12" s="45">
        <v>10</v>
      </c>
      <c r="J12" s="45">
        <v>5</v>
      </c>
      <c r="K12" s="45">
        <v>0</v>
      </c>
      <c r="L12" s="45">
        <v>10</v>
      </c>
      <c r="M12" s="45">
        <v>10</v>
      </c>
      <c r="N12" s="45">
        <v>10</v>
      </c>
      <c r="O12" s="45">
        <v>10</v>
      </c>
      <c r="P12" s="45">
        <v>10</v>
      </c>
      <c r="Q12" s="45">
        <v>10</v>
      </c>
      <c r="R12" s="45">
        <v>0</v>
      </c>
      <c r="S12" s="45">
        <v>0</v>
      </c>
      <c r="T12" s="45">
        <v>0</v>
      </c>
      <c r="U12" s="45">
        <v>20</v>
      </c>
      <c r="V12" s="45">
        <v>20</v>
      </c>
      <c r="W12" s="45">
        <v>28</v>
      </c>
      <c r="X12" s="45">
        <v>28</v>
      </c>
      <c r="Y12" s="45">
        <v>28</v>
      </c>
      <c r="Z12" s="45">
        <v>28</v>
      </c>
      <c r="AA12" s="45">
        <v>28</v>
      </c>
      <c r="AB12" s="45">
        <v>28</v>
      </c>
      <c r="AC12" s="45">
        <v>20</v>
      </c>
      <c r="AD12" s="45">
        <v>20</v>
      </c>
      <c r="AE12" s="45">
        <v>10</v>
      </c>
      <c r="AF12" s="45">
        <v>10</v>
      </c>
      <c r="AG12" s="49">
        <v>54</v>
      </c>
      <c r="AH12" s="47">
        <f t="shared" si="2"/>
        <v>28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54.5</v>
      </c>
      <c r="C13" s="45">
        <v>54.5</v>
      </c>
      <c r="D13" s="45">
        <v>54.5</v>
      </c>
      <c r="E13" s="45">
        <v>54.5</v>
      </c>
      <c r="F13" s="45">
        <v>54.5</v>
      </c>
      <c r="G13" s="45">
        <v>54.5</v>
      </c>
      <c r="H13" s="45">
        <v>54.5</v>
      </c>
      <c r="I13" s="45">
        <v>54.5</v>
      </c>
      <c r="J13" s="45">
        <v>54.5</v>
      </c>
      <c r="K13" s="45">
        <v>54.5</v>
      </c>
      <c r="L13" s="45">
        <v>54.5</v>
      </c>
      <c r="M13" s="45">
        <v>54.5</v>
      </c>
      <c r="N13" s="45">
        <v>54.5</v>
      </c>
      <c r="O13" s="45">
        <v>54.5</v>
      </c>
      <c r="P13" s="45">
        <v>54.5</v>
      </c>
      <c r="Q13" s="45">
        <v>54.5</v>
      </c>
      <c r="R13" s="45">
        <v>54.5</v>
      </c>
      <c r="S13" s="45">
        <v>54.5</v>
      </c>
      <c r="T13" s="45">
        <v>54.5</v>
      </c>
      <c r="U13" s="45">
        <v>54.7</v>
      </c>
      <c r="V13" s="45">
        <v>54.7</v>
      </c>
      <c r="W13" s="45">
        <v>54.7</v>
      </c>
      <c r="X13" s="45">
        <v>54.7</v>
      </c>
      <c r="Y13" s="45">
        <v>54.7</v>
      </c>
      <c r="Z13" s="45">
        <v>54.7</v>
      </c>
      <c r="AA13" s="45">
        <v>54.7</v>
      </c>
      <c r="AB13" s="45">
        <v>54.7</v>
      </c>
      <c r="AC13" s="45">
        <v>54.7</v>
      </c>
      <c r="AD13" s="45">
        <v>54.7</v>
      </c>
      <c r="AE13" s="45">
        <v>54.7</v>
      </c>
      <c r="AF13" s="45">
        <v>54.7</v>
      </c>
      <c r="AG13" s="46">
        <v>52.4</v>
      </c>
      <c r="AH13" s="47">
        <f t="shared" si="2"/>
        <v>54.7</v>
      </c>
      <c r="AI13" s="48">
        <f t="shared" si="3"/>
        <v>54.5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</v>
      </c>
      <c r="C14" s="50">
        <v>50</v>
      </c>
      <c r="D14" s="50">
        <v>50</v>
      </c>
      <c r="E14" s="50">
        <v>0</v>
      </c>
      <c r="F14" s="50">
        <v>50.6</v>
      </c>
      <c r="G14" s="50">
        <v>50.6</v>
      </c>
      <c r="H14" s="50">
        <v>50.6</v>
      </c>
      <c r="I14" s="50">
        <v>50.6</v>
      </c>
      <c r="J14" s="50">
        <v>50.6</v>
      </c>
      <c r="K14" s="50">
        <v>50.6</v>
      </c>
      <c r="L14" s="50">
        <v>50.6</v>
      </c>
      <c r="M14" s="50">
        <v>50.6</v>
      </c>
      <c r="N14" s="50">
        <v>50.6</v>
      </c>
      <c r="O14" s="50">
        <v>50.6</v>
      </c>
      <c r="P14" s="50">
        <v>50.6</v>
      </c>
      <c r="Q14" s="50">
        <v>50.6</v>
      </c>
      <c r="R14" s="50">
        <v>50.6</v>
      </c>
      <c r="S14" s="50">
        <v>50.6</v>
      </c>
      <c r="T14" s="50">
        <v>50.6</v>
      </c>
      <c r="U14" s="50">
        <v>50.4</v>
      </c>
      <c r="V14" s="50">
        <v>50.4</v>
      </c>
      <c r="W14" s="50">
        <v>50.4</v>
      </c>
      <c r="X14" s="50">
        <v>50.4</v>
      </c>
      <c r="Y14" s="50">
        <v>50.4</v>
      </c>
      <c r="Z14" s="50">
        <v>50.4</v>
      </c>
      <c r="AA14" s="50">
        <v>50.4</v>
      </c>
      <c r="AB14" s="50">
        <v>50.4</v>
      </c>
      <c r="AC14" s="50">
        <v>50.4</v>
      </c>
      <c r="AD14" s="50">
        <v>50.4</v>
      </c>
      <c r="AE14" s="50">
        <v>50.4</v>
      </c>
      <c r="AF14" s="50">
        <v>50.4</v>
      </c>
      <c r="AG14" s="49">
        <v>50</v>
      </c>
      <c r="AH14" s="47">
        <f t="shared" si="2"/>
        <v>50.6</v>
      </c>
      <c r="AI14" s="48">
        <f t="shared" si="3"/>
        <v>0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45.9</v>
      </c>
      <c r="C15" s="45">
        <v>45.9</v>
      </c>
      <c r="D15" s="45">
        <v>45.9</v>
      </c>
      <c r="E15" s="45">
        <v>37</v>
      </c>
      <c r="F15" s="45">
        <v>37</v>
      </c>
      <c r="G15" s="45">
        <v>37</v>
      </c>
      <c r="H15" s="45">
        <v>45</v>
      </c>
      <c r="I15" s="45">
        <v>45</v>
      </c>
      <c r="J15" s="45">
        <v>45</v>
      </c>
      <c r="K15" s="45">
        <v>45</v>
      </c>
      <c r="L15" s="45">
        <v>45</v>
      </c>
      <c r="M15" s="45">
        <v>45</v>
      </c>
      <c r="N15" s="45">
        <v>45</v>
      </c>
      <c r="O15" s="45">
        <v>45</v>
      </c>
      <c r="P15" s="45">
        <v>45</v>
      </c>
      <c r="Q15" s="45">
        <v>45</v>
      </c>
      <c r="R15" s="45">
        <v>45</v>
      </c>
      <c r="S15" s="45">
        <v>45</v>
      </c>
      <c r="T15" s="45">
        <v>45</v>
      </c>
      <c r="U15" s="45">
        <v>45.9</v>
      </c>
      <c r="V15" s="45">
        <v>45.9</v>
      </c>
      <c r="W15" s="45">
        <v>45.9</v>
      </c>
      <c r="X15" s="45">
        <v>45.9</v>
      </c>
      <c r="Y15" s="45">
        <v>45.9</v>
      </c>
      <c r="Z15" s="45">
        <v>45.9</v>
      </c>
      <c r="AA15" s="45">
        <v>45.9</v>
      </c>
      <c r="AB15" s="45">
        <v>45.9</v>
      </c>
      <c r="AC15" s="45">
        <v>45.9</v>
      </c>
      <c r="AD15" s="45">
        <v>45.9</v>
      </c>
      <c r="AE15" s="45">
        <v>45.9</v>
      </c>
      <c r="AF15" s="45">
        <v>36</v>
      </c>
      <c r="AG15" s="49">
        <v>45</v>
      </c>
      <c r="AH15" s="47">
        <f t="shared" si="2"/>
        <v>45.9</v>
      </c>
      <c r="AI15" s="48">
        <f t="shared" si="3"/>
        <v>36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0</v>
      </c>
      <c r="V16" s="45">
        <v>0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29</v>
      </c>
      <c r="C17" s="45">
        <v>27</v>
      </c>
      <c r="D17" s="45">
        <v>27</v>
      </c>
      <c r="E17" s="45">
        <v>27</v>
      </c>
      <c r="F17" s="45">
        <v>27</v>
      </c>
      <c r="G17" s="45">
        <v>27</v>
      </c>
      <c r="H17" s="45">
        <v>27</v>
      </c>
      <c r="I17" s="45">
        <v>31</v>
      </c>
      <c r="J17" s="45">
        <v>31</v>
      </c>
      <c r="K17" s="45">
        <v>31</v>
      </c>
      <c r="L17" s="45">
        <v>31</v>
      </c>
      <c r="M17" s="45">
        <v>31</v>
      </c>
      <c r="N17" s="45">
        <v>31</v>
      </c>
      <c r="O17" s="45">
        <v>31</v>
      </c>
      <c r="P17" s="45">
        <v>31</v>
      </c>
      <c r="Q17" s="45">
        <v>31</v>
      </c>
      <c r="R17" s="45">
        <v>31</v>
      </c>
      <c r="S17" s="45">
        <v>31</v>
      </c>
      <c r="T17" s="45">
        <v>28.2</v>
      </c>
      <c r="U17" s="45">
        <v>28.2</v>
      </c>
      <c r="V17" s="45">
        <v>28.2</v>
      </c>
      <c r="W17" s="45">
        <v>28.2</v>
      </c>
      <c r="X17" s="45">
        <v>28.2</v>
      </c>
      <c r="Y17" s="45">
        <v>28.2</v>
      </c>
      <c r="Z17" s="45">
        <v>31</v>
      </c>
      <c r="AA17" s="45">
        <v>31</v>
      </c>
      <c r="AB17" s="45">
        <v>31</v>
      </c>
      <c r="AC17" s="45">
        <v>31</v>
      </c>
      <c r="AD17" s="45">
        <v>31</v>
      </c>
      <c r="AE17" s="45">
        <v>28</v>
      </c>
      <c r="AF17" s="45">
        <v>28</v>
      </c>
      <c r="AG17" s="49">
        <v>42</v>
      </c>
      <c r="AH17" s="47">
        <f t="shared" si="2"/>
        <v>31</v>
      </c>
      <c r="AI17" s="48">
        <f t="shared" si="3"/>
        <v>27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0</v>
      </c>
      <c r="E18" s="45">
        <v>0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0</v>
      </c>
      <c r="U19" s="45">
        <v>20</v>
      </c>
      <c r="V19" s="45">
        <v>20</v>
      </c>
      <c r="W19" s="45">
        <v>20</v>
      </c>
      <c r="X19" s="45">
        <v>20</v>
      </c>
      <c r="Y19" s="45">
        <v>20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6</v>
      </c>
      <c r="C20" s="45">
        <v>4.5</v>
      </c>
      <c r="D20" s="45">
        <v>4.5</v>
      </c>
      <c r="E20" s="45">
        <v>5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10</v>
      </c>
      <c r="L20" s="45">
        <v>15</v>
      </c>
      <c r="M20" s="45">
        <v>15</v>
      </c>
      <c r="N20" s="45">
        <v>15</v>
      </c>
      <c r="O20" s="45">
        <v>15</v>
      </c>
      <c r="P20" s="45">
        <v>15</v>
      </c>
      <c r="Q20" s="45">
        <v>5</v>
      </c>
      <c r="R20" s="45">
        <v>5</v>
      </c>
      <c r="S20" s="45">
        <v>5</v>
      </c>
      <c r="T20" s="45">
        <v>5</v>
      </c>
      <c r="U20" s="45">
        <v>5</v>
      </c>
      <c r="V20" s="45">
        <v>5</v>
      </c>
      <c r="W20" s="45">
        <v>15</v>
      </c>
      <c r="X20" s="45">
        <v>15</v>
      </c>
      <c r="Y20" s="45">
        <v>20.5</v>
      </c>
      <c r="Z20" s="45">
        <v>20.5</v>
      </c>
      <c r="AA20" s="45">
        <v>20.5</v>
      </c>
      <c r="AB20" s="45">
        <v>20.5</v>
      </c>
      <c r="AC20" s="45">
        <v>20.5</v>
      </c>
      <c r="AD20" s="45">
        <v>10</v>
      </c>
      <c r="AE20" s="45">
        <v>5</v>
      </c>
      <c r="AF20" s="45">
        <v>5</v>
      </c>
      <c r="AG20" s="51">
        <v>30</v>
      </c>
      <c r="AH20" s="47">
        <f t="shared" si="2"/>
        <v>20.5</v>
      </c>
      <c r="AI20" s="48">
        <f t="shared" si="3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21</v>
      </c>
      <c r="C21" s="45">
        <v>21</v>
      </c>
      <c r="D21" s="45">
        <v>21</v>
      </c>
      <c r="E21" s="45">
        <v>21</v>
      </c>
      <c r="F21" s="45">
        <v>21</v>
      </c>
      <c r="G21" s="45">
        <v>21</v>
      </c>
      <c r="H21" s="45">
        <v>21</v>
      </c>
      <c r="I21" s="45">
        <v>21</v>
      </c>
      <c r="J21" s="45">
        <v>21</v>
      </c>
      <c r="K21" s="45">
        <v>21</v>
      </c>
      <c r="L21" s="45">
        <v>21</v>
      </c>
      <c r="M21" s="45">
        <v>21</v>
      </c>
      <c r="N21" s="45">
        <v>21</v>
      </c>
      <c r="O21" s="45">
        <v>21</v>
      </c>
      <c r="P21" s="45">
        <v>21</v>
      </c>
      <c r="Q21" s="45">
        <v>21</v>
      </c>
      <c r="R21" s="45">
        <v>21</v>
      </c>
      <c r="S21" s="45">
        <v>21</v>
      </c>
      <c r="T21" s="45">
        <v>21</v>
      </c>
      <c r="U21" s="45">
        <v>20.6</v>
      </c>
      <c r="V21" s="45">
        <v>20.6</v>
      </c>
      <c r="W21" s="45">
        <v>20.6</v>
      </c>
      <c r="X21" s="45">
        <v>20.6</v>
      </c>
      <c r="Y21" s="45">
        <v>20.6</v>
      </c>
      <c r="Z21" s="45">
        <v>20.6</v>
      </c>
      <c r="AA21" s="45">
        <v>20.6</v>
      </c>
      <c r="AB21" s="45">
        <v>20.6</v>
      </c>
      <c r="AC21" s="45">
        <v>20.6</v>
      </c>
      <c r="AD21" s="45">
        <v>20.6</v>
      </c>
      <c r="AE21" s="45">
        <v>20.6</v>
      </c>
      <c r="AF21" s="45">
        <v>20.6</v>
      </c>
      <c r="AG21" s="49">
        <v>24.2</v>
      </c>
      <c r="AH21" s="47">
        <f t="shared" si="2"/>
        <v>21</v>
      </c>
      <c r="AI21" s="48">
        <f t="shared" si="3"/>
        <v>20.6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20</v>
      </c>
      <c r="Q22" s="45">
        <v>20</v>
      </c>
      <c r="R22" s="45">
        <v>20</v>
      </c>
      <c r="S22" s="45">
        <v>20</v>
      </c>
      <c r="T22" s="45">
        <v>20</v>
      </c>
      <c r="U22" s="45">
        <v>20</v>
      </c>
      <c r="V22" s="45">
        <v>20</v>
      </c>
      <c r="W22" s="45">
        <v>20</v>
      </c>
      <c r="X22" s="45">
        <v>20</v>
      </c>
      <c r="Y22" s="45">
        <v>20</v>
      </c>
      <c r="Z22" s="45">
        <v>20</v>
      </c>
      <c r="AA22" s="45">
        <v>20</v>
      </c>
      <c r="AB22" s="45">
        <v>20</v>
      </c>
      <c r="AC22" s="45">
        <v>20</v>
      </c>
      <c r="AD22" s="45">
        <v>20</v>
      </c>
      <c r="AE22" s="45">
        <v>20</v>
      </c>
      <c r="AF22" s="45">
        <v>20</v>
      </c>
      <c r="AG22" s="49">
        <v>28</v>
      </c>
      <c r="AH22" s="47">
        <f t="shared" si="2"/>
        <v>20</v>
      </c>
      <c r="AI22" s="48">
        <f t="shared" si="3"/>
        <v>20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5.5</v>
      </c>
      <c r="C23" s="45">
        <v>4</v>
      </c>
      <c r="D23" s="45">
        <v>4</v>
      </c>
      <c r="E23" s="45">
        <v>4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5</v>
      </c>
      <c r="M23" s="45">
        <v>5</v>
      </c>
      <c r="N23" s="45">
        <v>5</v>
      </c>
      <c r="O23" s="45">
        <v>5</v>
      </c>
      <c r="P23" s="45">
        <v>5</v>
      </c>
      <c r="Q23" s="45">
        <v>5</v>
      </c>
      <c r="R23" s="45">
        <v>0</v>
      </c>
      <c r="S23" s="45">
        <v>0</v>
      </c>
      <c r="T23" s="45">
        <v>0</v>
      </c>
      <c r="U23" s="45">
        <v>9</v>
      </c>
      <c r="V23" s="45">
        <v>9</v>
      </c>
      <c r="W23" s="45">
        <v>15</v>
      </c>
      <c r="X23" s="45">
        <v>15</v>
      </c>
      <c r="Y23" s="45">
        <v>15</v>
      </c>
      <c r="Z23" s="45">
        <v>15</v>
      </c>
      <c r="AA23" s="45">
        <v>15</v>
      </c>
      <c r="AB23" s="45">
        <v>15</v>
      </c>
      <c r="AC23" s="45">
        <v>9</v>
      </c>
      <c r="AD23" s="45">
        <v>9</v>
      </c>
      <c r="AE23" s="45">
        <v>5</v>
      </c>
      <c r="AF23" s="45">
        <v>5</v>
      </c>
      <c r="AG23" s="51">
        <v>30</v>
      </c>
      <c r="AH23" s="47">
        <f t="shared" si="2"/>
        <v>15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</v>
      </c>
      <c r="C24" s="45">
        <v>24.2</v>
      </c>
      <c r="D24" s="45">
        <v>24.2</v>
      </c>
      <c r="E24" s="45">
        <v>24.2</v>
      </c>
      <c r="F24" s="45">
        <v>24.2</v>
      </c>
      <c r="G24" s="45">
        <v>24.2</v>
      </c>
      <c r="H24" s="45">
        <v>24.2</v>
      </c>
      <c r="I24" s="45">
        <v>24.2</v>
      </c>
      <c r="J24" s="45">
        <v>24.2</v>
      </c>
      <c r="K24" s="45">
        <v>24.2</v>
      </c>
      <c r="L24" s="45">
        <v>24.2</v>
      </c>
      <c r="M24" s="45">
        <v>24.2</v>
      </c>
      <c r="N24" s="45">
        <v>24.2</v>
      </c>
      <c r="O24" s="45">
        <v>24.2</v>
      </c>
      <c r="P24" s="45">
        <v>23.2</v>
      </c>
      <c r="Q24" s="45">
        <v>23.2</v>
      </c>
      <c r="R24" s="45">
        <v>23.2</v>
      </c>
      <c r="S24" s="45">
        <v>24</v>
      </c>
      <c r="T24" s="45">
        <v>24</v>
      </c>
      <c r="U24" s="45">
        <v>24</v>
      </c>
      <c r="V24" s="45">
        <v>24</v>
      </c>
      <c r="W24" s="45">
        <v>24</v>
      </c>
      <c r="X24" s="45">
        <v>24</v>
      </c>
      <c r="Y24" s="45">
        <v>24</v>
      </c>
      <c r="Z24" s="45">
        <v>24</v>
      </c>
      <c r="AA24" s="45">
        <v>24</v>
      </c>
      <c r="AB24" s="45">
        <v>24</v>
      </c>
      <c r="AC24" s="45">
        <v>24</v>
      </c>
      <c r="AD24" s="45">
        <v>24</v>
      </c>
      <c r="AE24" s="45">
        <v>23</v>
      </c>
      <c r="AF24" s="45">
        <v>23</v>
      </c>
      <c r="AG24" s="49">
        <v>25</v>
      </c>
      <c r="AH24" s="47">
        <f t="shared" si="2"/>
        <v>26</v>
      </c>
      <c r="AI24" s="48">
        <f t="shared" si="3"/>
        <v>23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5</v>
      </c>
      <c r="C27" s="45">
        <v>4</v>
      </c>
      <c r="D27" s="45">
        <v>4</v>
      </c>
      <c r="E27" s="45">
        <v>4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5</v>
      </c>
      <c r="O27" s="45">
        <v>5</v>
      </c>
      <c r="P27" s="45">
        <v>5</v>
      </c>
      <c r="Q27" s="45">
        <v>5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10</v>
      </c>
      <c r="Y27" s="45">
        <v>15</v>
      </c>
      <c r="Z27" s="45">
        <v>20</v>
      </c>
      <c r="AA27" s="45">
        <v>20</v>
      </c>
      <c r="AB27" s="45">
        <v>20</v>
      </c>
      <c r="AC27" s="45">
        <v>10</v>
      </c>
      <c r="AD27" s="45">
        <v>10</v>
      </c>
      <c r="AE27" s="45">
        <v>4</v>
      </c>
      <c r="AF27" s="45">
        <v>4</v>
      </c>
      <c r="AG27" s="49">
        <v>25</v>
      </c>
      <c r="AH27" s="47">
        <f t="shared" si="2"/>
        <v>20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23</v>
      </c>
      <c r="C28" s="45">
        <v>23</v>
      </c>
      <c r="D28" s="45">
        <v>23</v>
      </c>
      <c r="E28" s="45">
        <v>23</v>
      </c>
      <c r="F28" s="45">
        <v>23</v>
      </c>
      <c r="G28" s="45">
        <v>23</v>
      </c>
      <c r="H28" s="45">
        <v>23</v>
      </c>
      <c r="I28" s="45">
        <v>23</v>
      </c>
      <c r="J28" s="45">
        <v>23</v>
      </c>
      <c r="K28" s="45">
        <v>23</v>
      </c>
      <c r="L28" s="45">
        <v>23</v>
      </c>
      <c r="M28" s="45">
        <v>23</v>
      </c>
      <c r="N28" s="45">
        <v>23</v>
      </c>
      <c r="O28" s="45">
        <v>23</v>
      </c>
      <c r="P28" s="45">
        <v>21.8</v>
      </c>
      <c r="Q28" s="45">
        <v>21.8</v>
      </c>
      <c r="R28" s="45">
        <v>21.8</v>
      </c>
      <c r="S28" s="45">
        <v>21.8</v>
      </c>
      <c r="T28" s="45">
        <v>21.8</v>
      </c>
      <c r="U28" s="45">
        <v>22</v>
      </c>
      <c r="V28" s="45">
        <v>22</v>
      </c>
      <c r="W28" s="45">
        <v>22</v>
      </c>
      <c r="X28" s="45">
        <v>22</v>
      </c>
      <c r="Y28" s="45">
        <v>22</v>
      </c>
      <c r="Z28" s="45">
        <v>22</v>
      </c>
      <c r="AA28" s="45">
        <v>22</v>
      </c>
      <c r="AB28" s="45">
        <v>22</v>
      </c>
      <c r="AC28" s="45">
        <v>22</v>
      </c>
      <c r="AD28" s="45">
        <v>22</v>
      </c>
      <c r="AE28" s="45">
        <v>22</v>
      </c>
      <c r="AF28" s="45">
        <v>22</v>
      </c>
      <c r="AG28" s="49">
        <v>23.5</v>
      </c>
      <c r="AH28" s="47">
        <f t="shared" si="2"/>
        <v>23</v>
      </c>
      <c r="AI28" s="48">
        <f t="shared" si="3"/>
        <v>21.8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10</v>
      </c>
      <c r="AA33" s="45">
        <v>10</v>
      </c>
      <c r="AB33" s="45">
        <v>10</v>
      </c>
      <c r="AC33" s="45">
        <v>10</v>
      </c>
      <c r="AD33" s="45">
        <v>10</v>
      </c>
      <c r="AE33" s="45">
        <v>5</v>
      </c>
      <c r="AF33" s="45">
        <v>5</v>
      </c>
      <c r="AG33" s="49">
        <v>20</v>
      </c>
      <c r="AH33" s="47">
        <f t="shared" si="2"/>
        <v>10</v>
      </c>
      <c r="AI33" s="48">
        <f t="shared" si="3"/>
        <v>5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3</v>
      </c>
      <c r="M34" s="45">
        <v>3</v>
      </c>
      <c r="N34" s="45">
        <v>3</v>
      </c>
      <c r="O34" s="45">
        <v>3</v>
      </c>
      <c r="P34" s="45">
        <v>3</v>
      </c>
      <c r="Q34" s="45">
        <v>3</v>
      </c>
      <c r="R34" s="45">
        <v>3</v>
      </c>
      <c r="S34" s="45">
        <v>3</v>
      </c>
      <c r="T34" s="45">
        <v>3</v>
      </c>
      <c r="U34" s="45">
        <v>3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0</v>
      </c>
      <c r="AF34" s="45">
        <v>0</v>
      </c>
      <c r="AG34" s="49">
        <v>18</v>
      </c>
      <c r="AH34" s="47">
        <f t="shared" si="2"/>
        <v>10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2.5</v>
      </c>
      <c r="C39" s="45">
        <v>2.5</v>
      </c>
      <c r="D39" s="45">
        <v>2.5</v>
      </c>
      <c r="E39" s="45">
        <v>2.5</v>
      </c>
      <c r="F39" s="45">
        <v>2.5</v>
      </c>
      <c r="G39" s="45">
        <v>2.5</v>
      </c>
      <c r="H39" s="45">
        <v>2.5</v>
      </c>
      <c r="I39" s="45">
        <v>2.5</v>
      </c>
      <c r="J39" s="45">
        <v>2.5</v>
      </c>
      <c r="K39" s="45">
        <v>2.5</v>
      </c>
      <c r="L39" s="45">
        <v>2.5</v>
      </c>
      <c r="M39" s="45">
        <v>2.5</v>
      </c>
      <c r="N39" s="45">
        <v>2.5</v>
      </c>
      <c r="O39" s="45">
        <v>2.5</v>
      </c>
      <c r="P39" s="45">
        <v>3</v>
      </c>
      <c r="Q39" s="45">
        <v>3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12</v>
      </c>
      <c r="X39" s="45">
        <v>12</v>
      </c>
      <c r="Y39" s="45">
        <v>12</v>
      </c>
      <c r="Z39" s="45">
        <v>12</v>
      </c>
      <c r="AA39" s="45">
        <v>12</v>
      </c>
      <c r="AB39" s="45">
        <v>12</v>
      </c>
      <c r="AC39" s="45">
        <v>6</v>
      </c>
      <c r="AD39" s="45">
        <v>6</v>
      </c>
      <c r="AE39" s="45">
        <v>3</v>
      </c>
      <c r="AF39" s="45">
        <v>3</v>
      </c>
      <c r="AG39" s="49">
        <v>12</v>
      </c>
      <c r="AH39" s="47">
        <f t="shared" si="2"/>
        <v>12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12</v>
      </c>
      <c r="C41" s="45">
        <v>12</v>
      </c>
      <c r="D41" s="45">
        <v>12</v>
      </c>
      <c r="E41" s="45">
        <v>12</v>
      </c>
      <c r="F41" s="45">
        <v>12</v>
      </c>
      <c r="G41" s="45">
        <v>12</v>
      </c>
      <c r="H41" s="45">
        <v>12</v>
      </c>
      <c r="I41" s="45">
        <v>12</v>
      </c>
      <c r="J41" s="45">
        <v>12</v>
      </c>
      <c r="K41" s="45">
        <v>12</v>
      </c>
      <c r="L41" s="45">
        <v>12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6</v>
      </c>
      <c r="AF41" s="45">
        <v>6</v>
      </c>
      <c r="AG41" s="49">
        <v>12</v>
      </c>
      <c r="AH41" s="47">
        <f t="shared" si="2"/>
        <v>12</v>
      </c>
      <c r="AI41" s="48">
        <f t="shared" si="3"/>
        <v>6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10.199999999999999</v>
      </c>
      <c r="C42" s="45">
        <v>10.199999999999999</v>
      </c>
      <c r="D42" s="45">
        <v>10.199999999999999</v>
      </c>
      <c r="E42" s="45">
        <v>10.199999999999999</v>
      </c>
      <c r="F42" s="45">
        <v>10.199999999999999</v>
      </c>
      <c r="G42" s="45">
        <v>10.199999999999999</v>
      </c>
      <c r="H42" s="45">
        <v>10.199999999999999</v>
      </c>
      <c r="I42" s="45">
        <v>10.199999999999999</v>
      </c>
      <c r="J42" s="45">
        <v>10.199999999999999</v>
      </c>
      <c r="K42" s="45">
        <v>10.199999999999999</v>
      </c>
      <c r="L42" s="45">
        <v>10.199999999999999</v>
      </c>
      <c r="M42" s="45">
        <v>10.199999999999999</v>
      </c>
      <c r="N42" s="45">
        <v>10.199999999999999</v>
      </c>
      <c r="O42" s="45">
        <v>10.199999999999999</v>
      </c>
      <c r="P42" s="45">
        <v>10.199999999999999</v>
      </c>
      <c r="Q42" s="45">
        <v>10.199999999999999</v>
      </c>
      <c r="R42" s="45">
        <v>10.199999999999999</v>
      </c>
      <c r="S42" s="45">
        <v>10.199999999999999</v>
      </c>
      <c r="T42" s="45">
        <v>10.199999999999999</v>
      </c>
      <c r="U42" s="45">
        <v>10.199999999999999</v>
      </c>
      <c r="V42" s="45">
        <v>10.199999999999999</v>
      </c>
      <c r="W42" s="45">
        <v>10.199999999999999</v>
      </c>
      <c r="X42" s="45">
        <v>10.199999999999999</v>
      </c>
      <c r="Y42" s="45">
        <v>10.199999999999999</v>
      </c>
      <c r="Z42" s="45">
        <v>10.199999999999999</v>
      </c>
      <c r="AA42" s="45">
        <v>10.199999999999999</v>
      </c>
      <c r="AB42" s="45">
        <v>10.199999999999999</v>
      </c>
      <c r="AC42" s="45">
        <v>10.199999999999999</v>
      </c>
      <c r="AD42" s="45">
        <v>10.199999999999999</v>
      </c>
      <c r="AE42" s="45">
        <v>10.199999999999999</v>
      </c>
      <c r="AF42" s="45">
        <v>10.199999999999999</v>
      </c>
      <c r="AG42" s="52">
        <v>22</v>
      </c>
      <c r="AH42" s="47">
        <f t="shared" si="2"/>
        <v>10.199999999999999</v>
      </c>
      <c r="AI42" s="48">
        <f t="shared" si="3"/>
        <v>10.199999999999999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10.210000000000001</v>
      </c>
      <c r="C44" s="45">
        <v>10.210000000000001</v>
      </c>
      <c r="D44" s="45">
        <v>10.210000000000001</v>
      </c>
      <c r="E44" s="45">
        <v>10.210000000000001</v>
      </c>
      <c r="F44" s="45">
        <v>10.210000000000001</v>
      </c>
      <c r="G44" s="45">
        <v>10.210000000000001</v>
      </c>
      <c r="H44" s="45">
        <v>10.210000000000001</v>
      </c>
      <c r="I44" s="45">
        <v>10.210000000000001</v>
      </c>
      <c r="J44" s="45">
        <v>10.210000000000001</v>
      </c>
      <c r="K44" s="45">
        <v>10.210000000000001</v>
      </c>
      <c r="L44" s="45">
        <v>10.210000000000001</v>
      </c>
      <c r="M44" s="45">
        <v>10.210000000000001</v>
      </c>
      <c r="N44" s="45">
        <v>10.210000000000001</v>
      </c>
      <c r="O44" s="45">
        <v>10.210000000000001</v>
      </c>
      <c r="P44" s="45">
        <v>10.210000000000001</v>
      </c>
      <c r="Q44" s="45">
        <v>10.210000000000001</v>
      </c>
      <c r="R44" s="45">
        <v>10.210000000000001</v>
      </c>
      <c r="S44" s="45">
        <v>10.210000000000001</v>
      </c>
      <c r="T44" s="45">
        <v>10.210000000000001</v>
      </c>
      <c r="U44" s="45">
        <v>10.210000000000001</v>
      </c>
      <c r="V44" s="45">
        <v>10.210000000000001</v>
      </c>
      <c r="W44" s="45">
        <v>10.210000000000001</v>
      </c>
      <c r="X44" s="45">
        <v>10.210000000000001</v>
      </c>
      <c r="Y44" s="45">
        <v>10.210000000000001</v>
      </c>
      <c r="Z44" s="45">
        <v>10.210000000000001</v>
      </c>
      <c r="AA44" s="45">
        <v>10.210000000000001</v>
      </c>
      <c r="AB44" s="45">
        <v>10.210000000000001</v>
      </c>
      <c r="AC44" s="45">
        <v>10.210000000000001</v>
      </c>
      <c r="AD44" s="45">
        <v>10.210000000000001</v>
      </c>
      <c r="AE44" s="45">
        <v>10.210000000000001</v>
      </c>
      <c r="AF44" s="45">
        <v>10.210000000000001</v>
      </c>
      <c r="AG44" s="54">
        <v>11</v>
      </c>
      <c r="AH44" s="47">
        <f t="shared" si="2"/>
        <v>10.210000000000001</v>
      </c>
      <c r="AI44" s="48">
        <f t="shared" si="3"/>
        <v>10.210000000000001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5</v>
      </c>
      <c r="C45" s="45">
        <v>5</v>
      </c>
      <c r="D45" s="45">
        <v>5</v>
      </c>
      <c r="E45" s="45">
        <v>5</v>
      </c>
      <c r="F45" s="45">
        <v>5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10</v>
      </c>
      <c r="Z45" s="45">
        <v>10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5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AF50" si="4">SUM(B11:B48)</f>
        <v>929.71</v>
      </c>
      <c r="C50" s="59">
        <f t="shared" si="4"/>
        <v>914.91000000000008</v>
      </c>
      <c r="D50" s="59">
        <f t="shared" si="4"/>
        <v>876.91000000000008</v>
      </c>
      <c r="E50" s="59">
        <f t="shared" si="4"/>
        <v>815.51</v>
      </c>
      <c r="F50" s="59">
        <f t="shared" si="4"/>
        <v>886.11</v>
      </c>
      <c r="G50" s="59">
        <f t="shared" si="4"/>
        <v>891.11</v>
      </c>
      <c r="H50" s="59">
        <f t="shared" si="4"/>
        <v>904.11</v>
      </c>
      <c r="I50" s="59">
        <f t="shared" si="4"/>
        <v>913.11</v>
      </c>
      <c r="J50" s="59">
        <f t="shared" si="4"/>
        <v>908.11</v>
      </c>
      <c r="K50" s="59">
        <f t="shared" si="4"/>
        <v>913.11</v>
      </c>
      <c r="L50" s="59">
        <f t="shared" si="4"/>
        <v>936.11</v>
      </c>
      <c r="M50" s="59">
        <f t="shared" si="4"/>
        <v>936.11</v>
      </c>
      <c r="N50" s="59">
        <f t="shared" si="4"/>
        <v>941.11</v>
      </c>
      <c r="O50" s="59">
        <f t="shared" si="4"/>
        <v>941.11</v>
      </c>
      <c r="P50" s="59">
        <f t="shared" si="4"/>
        <v>939.41000000000008</v>
      </c>
      <c r="Q50" s="59">
        <f t="shared" si="4"/>
        <v>929.41000000000008</v>
      </c>
      <c r="R50" s="59">
        <f t="shared" si="4"/>
        <v>906.41000000000008</v>
      </c>
      <c r="S50" s="59">
        <f t="shared" si="4"/>
        <v>907.21</v>
      </c>
      <c r="T50" s="59">
        <f t="shared" si="4"/>
        <v>868.41000000000008</v>
      </c>
      <c r="U50" s="59">
        <f t="shared" si="4"/>
        <v>874.11000000000013</v>
      </c>
      <c r="V50" s="59">
        <f t="shared" si="4"/>
        <v>881.11000000000013</v>
      </c>
      <c r="W50" s="59">
        <f t="shared" si="4"/>
        <v>961.11000000000013</v>
      </c>
      <c r="X50" s="59">
        <f t="shared" si="4"/>
        <v>971.11000000000013</v>
      </c>
      <c r="Y50" s="59">
        <f t="shared" si="4"/>
        <v>981.61000000000013</v>
      </c>
      <c r="Z50" s="59">
        <f t="shared" si="4"/>
        <v>1010.4100000000001</v>
      </c>
      <c r="AA50" s="59">
        <f t="shared" si="4"/>
        <v>1010.4100000000001</v>
      </c>
      <c r="AB50" s="59">
        <f t="shared" si="4"/>
        <v>1010.4100000000001</v>
      </c>
      <c r="AC50" s="59">
        <f t="shared" si="4"/>
        <v>980.41000000000008</v>
      </c>
      <c r="AD50" s="59">
        <f t="shared" si="4"/>
        <v>969.91000000000008</v>
      </c>
      <c r="AE50" s="59">
        <f t="shared" si="4"/>
        <v>916.91000000000008</v>
      </c>
      <c r="AF50" s="59">
        <f t="shared" si="4"/>
        <v>907.01</v>
      </c>
      <c r="AG50" s="60">
        <f>SUM(AG13:AG48)</f>
        <v>922.14</v>
      </c>
      <c r="AH50" s="47">
        <f t="shared" si="2"/>
        <v>1010.4100000000001</v>
      </c>
      <c r="AI50" s="48">
        <f t="shared" si="3"/>
        <v>815.51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22.4</v>
      </c>
      <c r="C53" s="66">
        <v>22.4</v>
      </c>
      <c r="D53" s="66">
        <v>22.4</v>
      </c>
      <c r="E53" s="66">
        <v>22</v>
      </c>
      <c r="F53" s="66">
        <v>22</v>
      </c>
      <c r="G53" s="66">
        <v>22</v>
      </c>
      <c r="H53" s="66">
        <v>22</v>
      </c>
      <c r="I53" s="66">
        <v>22</v>
      </c>
      <c r="J53" s="66">
        <v>22</v>
      </c>
      <c r="K53" s="66">
        <v>22</v>
      </c>
      <c r="L53" s="66">
        <v>22</v>
      </c>
      <c r="M53" s="66">
        <v>22</v>
      </c>
      <c r="N53" s="66">
        <v>22</v>
      </c>
      <c r="O53" s="66">
        <v>22</v>
      </c>
      <c r="P53" s="66">
        <v>22</v>
      </c>
      <c r="Q53" s="66">
        <v>22</v>
      </c>
      <c r="R53" s="66">
        <v>22</v>
      </c>
      <c r="S53" s="66">
        <v>22</v>
      </c>
      <c r="T53" s="66">
        <v>22</v>
      </c>
      <c r="U53" s="66">
        <v>22</v>
      </c>
      <c r="V53" s="66">
        <v>22</v>
      </c>
      <c r="W53" s="66">
        <v>22</v>
      </c>
      <c r="X53" s="66">
        <v>22</v>
      </c>
      <c r="Y53" s="66">
        <v>22</v>
      </c>
      <c r="Z53" s="66">
        <v>22</v>
      </c>
      <c r="AA53" s="66">
        <v>22</v>
      </c>
      <c r="AB53" s="66">
        <v>22</v>
      </c>
      <c r="AC53" s="66">
        <v>22</v>
      </c>
      <c r="AD53" s="66">
        <v>22</v>
      </c>
      <c r="AE53" s="66">
        <v>22</v>
      </c>
      <c r="AF53" s="66">
        <v>22</v>
      </c>
      <c r="AG53" s="67">
        <v>22.1</v>
      </c>
      <c r="AH53" s="47">
        <f t="shared" si="2"/>
        <v>22.4</v>
      </c>
      <c r="AI53" s="48">
        <f t="shared" si="3"/>
        <v>22</v>
      </c>
      <c r="AK53" s="74"/>
    </row>
    <row r="54" spans="1:41" ht="15.75" thickBot="1" x14ac:dyDescent="0.3">
      <c r="A54" s="68" t="s">
        <v>70</v>
      </c>
      <c r="B54" s="59">
        <f t="shared" ref="B54:AG54" si="5">SUM(B51:B53)</f>
        <v>533.4</v>
      </c>
      <c r="C54" s="59">
        <f t="shared" si="5"/>
        <v>533.4</v>
      </c>
      <c r="D54" s="59">
        <f t="shared" si="5"/>
        <v>533.4</v>
      </c>
      <c r="E54" s="59">
        <f t="shared" si="5"/>
        <v>533</v>
      </c>
      <c r="F54" s="59">
        <f t="shared" si="5"/>
        <v>533</v>
      </c>
      <c r="G54" s="59">
        <f t="shared" si="5"/>
        <v>533</v>
      </c>
      <c r="H54" s="59">
        <f t="shared" si="5"/>
        <v>533</v>
      </c>
      <c r="I54" s="59">
        <f t="shared" si="5"/>
        <v>533</v>
      </c>
      <c r="J54" s="59">
        <f t="shared" si="5"/>
        <v>533</v>
      </c>
      <c r="K54" s="59">
        <f t="shared" si="5"/>
        <v>533</v>
      </c>
      <c r="L54" s="59">
        <f t="shared" si="5"/>
        <v>533</v>
      </c>
      <c r="M54" s="59">
        <f t="shared" si="5"/>
        <v>533</v>
      </c>
      <c r="N54" s="59">
        <f t="shared" si="5"/>
        <v>533</v>
      </c>
      <c r="O54" s="59">
        <f t="shared" si="5"/>
        <v>533</v>
      </c>
      <c r="P54" s="59">
        <f t="shared" si="5"/>
        <v>533</v>
      </c>
      <c r="Q54" s="59">
        <f t="shared" si="5"/>
        <v>533</v>
      </c>
      <c r="R54" s="59">
        <f t="shared" si="5"/>
        <v>533</v>
      </c>
      <c r="S54" s="59">
        <f t="shared" si="5"/>
        <v>533</v>
      </c>
      <c r="T54" s="59">
        <f t="shared" si="5"/>
        <v>533</v>
      </c>
      <c r="U54" s="59">
        <f t="shared" si="5"/>
        <v>533</v>
      </c>
      <c r="V54" s="59">
        <f t="shared" si="5"/>
        <v>533</v>
      </c>
      <c r="W54" s="59">
        <f t="shared" si="5"/>
        <v>533</v>
      </c>
      <c r="X54" s="59">
        <f t="shared" si="5"/>
        <v>533</v>
      </c>
      <c r="Y54" s="59">
        <f t="shared" si="5"/>
        <v>533</v>
      </c>
      <c r="Z54" s="59">
        <f t="shared" si="5"/>
        <v>533</v>
      </c>
      <c r="AA54" s="59">
        <f t="shared" si="5"/>
        <v>533</v>
      </c>
      <c r="AB54" s="59">
        <f t="shared" si="5"/>
        <v>533</v>
      </c>
      <c r="AC54" s="59">
        <f t="shared" si="5"/>
        <v>533</v>
      </c>
      <c r="AD54" s="59">
        <f t="shared" si="5"/>
        <v>533</v>
      </c>
      <c r="AE54" s="59">
        <f t="shared" si="5"/>
        <v>533</v>
      </c>
      <c r="AF54" s="59">
        <f t="shared" si="5"/>
        <v>533</v>
      </c>
      <c r="AG54" s="60">
        <f t="shared" si="5"/>
        <v>538.1</v>
      </c>
      <c r="AH54" s="47">
        <f t="shared" si="2"/>
        <v>533.4</v>
      </c>
      <c r="AI54" s="48">
        <f t="shared" si="3"/>
        <v>533</v>
      </c>
      <c r="AK54" s="74"/>
    </row>
    <row r="55" spans="1:41" x14ac:dyDescent="0.25">
      <c r="A55" s="44" t="s">
        <v>71</v>
      </c>
      <c r="B55" s="45">
        <v>94.8</v>
      </c>
      <c r="C55" s="45">
        <v>91</v>
      </c>
      <c r="D55" s="45">
        <v>91</v>
      </c>
      <c r="E55" s="45">
        <v>96</v>
      </c>
      <c r="F55" s="45">
        <v>70.400000000000006</v>
      </c>
      <c r="G55" s="45">
        <v>70.400000000000006</v>
      </c>
      <c r="H55" s="45">
        <v>70.900000000000006</v>
      </c>
      <c r="I55" s="45">
        <v>70.7</v>
      </c>
      <c r="J55" s="45">
        <v>70.7</v>
      </c>
      <c r="K55" s="45">
        <v>70.7</v>
      </c>
      <c r="L55" s="45">
        <v>70.7</v>
      </c>
      <c r="M55" s="45">
        <v>70.7</v>
      </c>
      <c r="N55" s="45">
        <v>70.7</v>
      </c>
      <c r="O55" s="45">
        <v>95</v>
      </c>
      <c r="P55" s="45">
        <v>95.5</v>
      </c>
      <c r="Q55" s="45">
        <v>95.5</v>
      </c>
      <c r="R55" s="45">
        <v>95.5</v>
      </c>
      <c r="S55" s="45">
        <v>95.5</v>
      </c>
      <c r="T55" s="45">
        <v>95.5</v>
      </c>
      <c r="U55" s="45">
        <v>90.9</v>
      </c>
      <c r="V55" s="45">
        <v>60</v>
      </c>
      <c r="W55" s="45">
        <v>0</v>
      </c>
      <c r="X55" s="45">
        <v>35</v>
      </c>
      <c r="Y55" s="45">
        <v>35</v>
      </c>
      <c r="Z55" s="45">
        <v>60.2</v>
      </c>
      <c r="AA55" s="45">
        <v>60.2</v>
      </c>
      <c r="AB55" s="45">
        <v>90.2</v>
      </c>
      <c r="AC55" s="45">
        <v>90.2</v>
      </c>
      <c r="AD55" s="45">
        <v>90.2</v>
      </c>
      <c r="AE55" s="45">
        <v>91</v>
      </c>
      <c r="AF55" s="45">
        <v>91</v>
      </c>
      <c r="AG55" s="51">
        <v>144</v>
      </c>
      <c r="AH55" s="47">
        <f t="shared" si="2"/>
        <v>96</v>
      </c>
      <c r="AI55" s="48">
        <f t="shared" si="3"/>
        <v>0</v>
      </c>
      <c r="AK55" s="74"/>
    </row>
    <row r="56" spans="1:41" x14ac:dyDescent="0.25">
      <c r="A56" s="53" t="s">
        <v>72</v>
      </c>
      <c r="B56" s="64">
        <v>70.400000000000006</v>
      </c>
      <c r="C56" s="64">
        <v>70.400000000000006</v>
      </c>
      <c r="D56" s="64">
        <v>70.400000000000006</v>
      </c>
      <c r="E56" s="64">
        <v>70.2</v>
      </c>
      <c r="F56" s="64">
        <v>69</v>
      </c>
      <c r="G56" s="64">
        <v>69</v>
      </c>
      <c r="H56" s="64">
        <v>70.599999999999994</v>
      </c>
      <c r="I56" s="64">
        <v>72</v>
      </c>
      <c r="J56" s="64">
        <v>72</v>
      </c>
      <c r="K56" s="64">
        <v>72</v>
      </c>
      <c r="L56" s="64">
        <v>72</v>
      </c>
      <c r="M56" s="64">
        <v>72</v>
      </c>
      <c r="N56" s="64">
        <v>72</v>
      </c>
      <c r="O56" s="64">
        <v>70</v>
      </c>
      <c r="P56" s="64">
        <v>70.099999999999994</v>
      </c>
      <c r="Q56" s="64">
        <v>70.099999999999994</v>
      </c>
      <c r="R56" s="64">
        <v>70.099999999999994</v>
      </c>
      <c r="S56" s="64">
        <v>71</v>
      </c>
      <c r="T56" s="64">
        <v>71</v>
      </c>
      <c r="U56" s="45">
        <v>69.8</v>
      </c>
      <c r="V56" s="45">
        <v>69.8</v>
      </c>
      <c r="W56" s="45">
        <v>69.8</v>
      </c>
      <c r="X56" s="45">
        <v>69.8</v>
      </c>
      <c r="Y56" s="45">
        <v>69.8</v>
      </c>
      <c r="Z56" s="45">
        <v>69.8</v>
      </c>
      <c r="AA56" s="45">
        <v>69.8</v>
      </c>
      <c r="AB56" s="45">
        <v>70.7</v>
      </c>
      <c r="AC56" s="45">
        <v>70.7</v>
      </c>
      <c r="AD56" s="45">
        <v>70.7</v>
      </c>
      <c r="AE56" s="45">
        <v>63.7</v>
      </c>
      <c r="AF56" s="45">
        <v>63.7</v>
      </c>
      <c r="AG56" s="54">
        <v>70</v>
      </c>
      <c r="AH56" s="47">
        <f t="shared" si="2"/>
        <v>72</v>
      </c>
      <c r="AI56" s="48">
        <f t="shared" si="3"/>
        <v>63.7</v>
      </c>
      <c r="AK56" s="74"/>
    </row>
    <row r="57" spans="1:41" x14ac:dyDescent="0.25">
      <c r="A57" s="53" t="s">
        <v>73</v>
      </c>
      <c r="B57" s="64">
        <v>43.7</v>
      </c>
      <c r="C57" s="64">
        <v>45.5</v>
      </c>
      <c r="D57" s="64">
        <v>45.5</v>
      </c>
      <c r="E57" s="64">
        <v>44.6</v>
      </c>
      <c r="F57" s="64">
        <v>45</v>
      </c>
      <c r="G57" s="64">
        <v>45</v>
      </c>
      <c r="H57" s="64">
        <v>45</v>
      </c>
      <c r="I57" s="64">
        <v>45</v>
      </c>
      <c r="J57" s="64">
        <v>45</v>
      </c>
      <c r="K57" s="64">
        <v>45</v>
      </c>
      <c r="L57" s="64">
        <v>45</v>
      </c>
      <c r="M57" s="64">
        <v>45</v>
      </c>
      <c r="N57" s="64">
        <v>45</v>
      </c>
      <c r="O57" s="64">
        <v>43.1</v>
      </c>
      <c r="P57" s="64">
        <v>42.9</v>
      </c>
      <c r="Q57" s="64">
        <v>43.2</v>
      </c>
      <c r="R57" s="64">
        <v>33</v>
      </c>
      <c r="S57" s="64">
        <v>45</v>
      </c>
      <c r="T57" s="64">
        <v>45</v>
      </c>
      <c r="U57" s="45">
        <v>45.1</v>
      </c>
      <c r="V57" s="45">
        <v>45.1</v>
      </c>
      <c r="W57" s="45">
        <v>45.1</v>
      </c>
      <c r="X57" s="45">
        <v>45.1</v>
      </c>
      <c r="Y57" s="45">
        <v>45.1</v>
      </c>
      <c r="Z57" s="45">
        <v>45.1</v>
      </c>
      <c r="AA57" s="45">
        <v>45.1</v>
      </c>
      <c r="AB57" s="45">
        <v>66.599999999999994</v>
      </c>
      <c r="AC57" s="45">
        <v>66.599999999999994</v>
      </c>
      <c r="AD57" s="45">
        <v>66.599999999999994</v>
      </c>
      <c r="AE57" s="45">
        <v>66.3</v>
      </c>
      <c r="AF57" s="45">
        <v>66.3</v>
      </c>
      <c r="AG57" s="54">
        <v>69</v>
      </c>
      <c r="AH57" s="47">
        <f t="shared" si="2"/>
        <v>66.599999999999994</v>
      </c>
      <c r="AI57" s="48">
        <f t="shared" si="3"/>
        <v>33</v>
      </c>
      <c r="AK57" s="74"/>
    </row>
    <row r="58" spans="1:41" x14ac:dyDescent="0.25">
      <c r="A58" s="53" t="s">
        <v>74</v>
      </c>
      <c r="B58" s="64">
        <v>61.4</v>
      </c>
      <c r="C58" s="64">
        <v>61.4</v>
      </c>
      <c r="D58" s="64">
        <v>61.4</v>
      </c>
      <c r="E58" s="56">
        <v>60.9</v>
      </c>
      <c r="F58" s="56">
        <v>60</v>
      </c>
      <c r="G58" s="56">
        <v>60</v>
      </c>
      <c r="H58" s="56">
        <v>60</v>
      </c>
      <c r="I58" s="56">
        <v>60</v>
      </c>
      <c r="J58" s="56">
        <v>60</v>
      </c>
      <c r="K58" s="56">
        <v>60</v>
      </c>
      <c r="L58" s="56">
        <v>60</v>
      </c>
      <c r="M58" s="56">
        <v>60</v>
      </c>
      <c r="N58" s="56">
        <v>60</v>
      </c>
      <c r="O58" s="56">
        <v>60</v>
      </c>
      <c r="P58" s="64">
        <v>60.9</v>
      </c>
      <c r="Q58" s="64">
        <v>60.9</v>
      </c>
      <c r="R58" s="64">
        <v>60.9</v>
      </c>
      <c r="S58" s="64">
        <v>60.9</v>
      </c>
      <c r="T58" s="64">
        <v>60.9</v>
      </c>
      <c r="U58" s="45">
        <v>60.9</v>
      </c>
      <c r="V58" s="45">
        <v>60.9</v>
      </c>
      <c r="W58" s="45">
        <v>60.9</v>
      </c>
      <c r="X58" s="45">
        <v>60.9</v>
      </c>
      <c r="Y58" s="45">
        <v>60.9</v>
      </c>
      <c r="Z58" s="45">
        <v>60.9</v>
      </c>
      <c r="AA58" s="45">
        <v>60.9</v>
      </c>
      <c r="AB58" s="45">
        <v>61.5</v>
      </c>
      <c r="AC58" s="45">
        <v>61.5</v>
      </c>
      <c r="AD58" s="45">
        <v>61.5</v>
      </c>
      <c r="AE58" s="45">
        <v>61.5</v>
      </c>
      <c r="AF58" s="45">
        <v>61.5</v>
      </c>
      <c r="AG58" s="54">
        <v>60</v>
      </c>
      <c r="AH58" s="47">
        <f t="shared" si="2"/>
        <v>61.5</v>
      </c>
      <c r="AI58" s="48">
        <f t="shared" si="3"/>
        <v>60</v>
      </c>
      <c r="AK58" s="74"/>
    </row>
    <row r="59" spans="1:41" x14ac:dyDescent="0.25">
      <c r="A59" s="53" t="s">
        <v>75</v>
      </c>
      <c r="B59" s="64">
        <v>0</v>
      </c>
      <c r="C59" s="64">
        <v>0</v>
      </c>
      <c r="D59" s="64">
        <v>0</v>
      </c>
      <c r="E59" s="64">
        <v>0</v>
      </c>
      <c r="F59" s="56">
        <v>30</v>
      </c>
      <c r="G59" s="56">
        <v>15</v>
      </c>
      <c r="H59" s="56">
        <v>15</v>
      </c>
      <c r="I59" s="56">
        <v>15</v>
      </c>
      <c r="J59" s="56">
        <v>15</v>
      </c>
      <c r="K59" s="56">
        <v>15</v>
      </c>
      <c r="L59" s="56">
        <v>15</v>
      </c>
      <c r="M59" s="64">
        <v>26</v>
      </c>
      <c r="N59" s="64">
        <v>26</v>
      </c>
      <c r="O59" s="64">
        <v>26</v>
      </c>
      <c r="P59" s="64">
        <v>26</v>
      </c>
      <c r="Q59" s="64">
        <v>26</v>
      </c>
      <c r="R59" s="64">
        <v>0</v>
      </c>
      <c r="S59" s="64">
        <v>0</v>
      </c>
      <c r="T59" s="64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3.9</v>
      </c>
      <c r="Q60" s="64">
        <v>3.9</v>
      </c>
      <c r="R60" s="64">
        <v>3.9</v>
      </c>
      <c r="S60" s="64">
        <v>3.9</v>
      </c>
      <c r="T60" s="64">
        <v>3.9</v>
      </c>
      <c r="U60" s="45">
        <v>7.3</v>
      </c>
      <c r="V60" s="45">
        <v>6</v>
      </c>
      <c r="W60" s="45">
        <v>4.5999999999999996</v>
      </c>
      <c r="X60" s="45">
        <v>2.2999999999999998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7.3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14</v>
      </c>
      <c r="C61" s="64">
        <v>14</v>
      </c>
      <c r="D61" s="64">
        <v>18</v>
      </c>
      <c r="E61" s="64">
        <v>18</v>
      </c>
      <c r="F61" s="64">
        <v>18</v>
      </c>
      <c r="G61" s="64">
        <v>18</v>
      </c>
      <c r="H61" s="64">
        <v>18</v>
      </c>
      <c r="I61" s="64">
        <v>18</v>
      </c>
      <c r="J61" s="64">
        <v>18</v>
      </c>
      <c r="K61" s="64">
        <v>18</v>
      </c>
      <c r="L61" s="64">
        <v>18</v>
      </c>
      <c r="M61" s="64">
        <v>18</v>
      </c>
      <c r="N61" s="64">
        <v>18</v>
      </c>
      <c r="O61" s="64">
        <v>18</v>
      </c>
      <c r="P61" s="64">
        <v>18</v>
      </c>
      <c r="Q61" s="64">
        <v>18</v>
      </c>
      <c r="R61" s="64">
        <v>18</v>
      </c>
      <c r="S61" s="64">
        <v>18</v>
      </c>
      <c r="T61" s="64">
        <v>18</v>
      </c>
      <c r="U61" s="64">
        <v>22.5</v>
      </c>
      <c r="V61" s="64">
        <v>22.5</v>
      </c>
      <c r="W61" s="64">
        <v>22.5</v>
      </c>
      <c r="X61" s="64">
        <v>22.5</v>
      </c>
      <c r="Y61" s="64">
        <v>22.5</v>
      </c>
      <c r="Z61" s="64">
        <v>22.5</v>
      </c>
      <c r="AA61" s="64">
        <v>22.5</v>
      </c>
      <c r="AB61" s="64">
        <v>22.5</v>
      </c>
      <c r="AC61" s="64">
        <v>22.5</v>
      </c>
      <c r="AD61" s="64">
        <v>22.5</v>
      </c>
      <c r="AE61" s="64">
        <v>22.5</v>
      </c>
      <c r="AF61" s="64">
        <v>22.5</v>
      </c>
      <c r="AG61" s="54">
        <v>24</v>
      </c>
      <c r="AH61" s="47">
        <f t="shared" si="2"/>
        <v>22.5</v>
      </c>
      <c r="AI61" s="48">
        <f t="shared" si="3"/>
        <v>14</v>
      </c>
      <c r="AK61" s="74"/>
    </row>
    <row r="62" spans="1:41" x14ac:dyDescent="0.25">
      <c r="A62" s="53" t="s">
        <v>78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>
        <v>4</v>
      </c>
      <c r="P62" s="64">
        <v>4</v>
      </c>
      <c r="Q62" s="64">
        <v>4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2"/>
        <v>4</v>
      </c>
      <c r="AI62" s="48">
        <f t="shared" si="3"/>
        <v>4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11.7</v>
      </c>
      <c r="C63" s="64">
        <v>11.7</v>
      </c>
      <c r="D63" s="64">
        <v>13</v>
      </c>
      <c r="E63" s="64">
        <v>13</v>
      </c>
      <c r="F63" s="64">
        <v>13</v>
      </c>
      <c r="G63" s="64">
        <v>13</v>
      </c>
      <c r="H63" s="64">
        <v>13</v>
      </c>
      <c r="I63" s="64">
        <v>13</v>
      </c>
      <c r="J63" s="64">
        <v>13</v>
      </c>
      <c r="K63" s="64">
        <v>13</v>
      </c>
      <c r="L63" s="64">
        <v>13</v>
      </c>
      <c r="M63" s="64">
        <v>13</v>
      </c>
      <c r="N63" s="64">
        <v>13</v>
      </c>
      <c r="O63" s="64">
        <v>13</v>
      </c>
      <c r="P63" s="64">
        <v>13.6</v>
      </c>
      <c r="Q63" s="64">
        <v>13.6</v>
      </c>
      <c r="R63" s="64">
        <v>13.6</v>
      </c>
      <c r="S63" s="64">
        <v>13.6</v>
      </c>
      <c r="T63" s="64">
        <v>13.6</v>
      </c>
      <c r="U63" s="64">
        <v>13.6</v>
      </c>
      <c r="V63" s="64">
        <v>13.6</v>
      </c>
      <c r="W63" s="64">
        <v>13.6</v>
      </c>
      <c r="X63" s="64">
        <v>13.6</v>
      </c>
      <c r="Y63" s="64">
        <v>13.6</v>
      </c>
      <c r="Z63" s="64">
        <v>13.6</v>
      </c>
      <c r="AA63" s="64">
        <v>13.6</v>
      </c>
      <c r="AB63" s="64">
        <v>13.6</v>
      </c>
      <c r="AC63" s="64">
        <v>13.6</v>
      </c>
      <c r="AD63" s="64">
        <v>13.6</v>
      </c>
      <c r="AE63" s="64">
        <v>13.6</v>
      </c>
      <c r="AF63" s="64">
        <v>13.6</v>
      </c>
      <c r="AG63" s="54">
        <v>14.1</v>
      </c>
      <c r="AH63" s="47">
        <f t="shared" si="2"/>
        <v>13.6</v>
      </c>
      <c r="AI63" s="48">
        <f t="shared" si="3"/>
        <v>11.7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10</v>
      </c>
      <c r="C64" s="64">
        <v>10</v>
      </c>
      <c r="D64" s="64">
        <v>10</v>
      </c>
      <c r="E64" s="64">
        <v>10</v>
      </c>
      <c r="F64" s="64">
        <v>10</v>
      </c>
      <c r="G64" s="64">
        <v>10</v>
      </c>
      <c r="H64" s="64">
        <v>10</v>
      </c>
      <c r="I64" s="64">
        <v>10</v>
      </c>
      <c r="J64" s="64">
        <v>10</v>
      </c>
      <c r="K64" s="64">
        <v>10</v>
      </c>
      <c r="L64" s="64">
        <v>10</v>
      </c>
      <c r="M64" s="64">
        <v>10</v>
      </c>
      <c r="N64" s="64">
        <v>10</v>
      </c>
      <c r="O64" s="64">
        <v>10</v>
      </c>
      <c r="P64" s="64">
        <v>10</v>
      </c>
      <c r="Q64" s="64">
        <v>10</v>
      </c>
      <c r="R64" s="64">
        <v>10</v>
      </c>
      <c r="S64" s="64">
        <v>10</v>
      </c>
      <c r="T64" s="64">
        <v>10</v>
      </c>
      <c r="U64" s="64">
        <v>10</v>
      </c>
      <c r="V64" s="64">
        <v>10</v>
      </c>
      <c r="W64" s="64">
        <v>10</v>
      </c>
      <c r="X64" s="64">
        <v>10</v>
      </c>
      <c r="Y64" s="64">
        <v>10</v>
      </c>
      <c r="Z64" s="64">
        <v>10</v>
      </c>
      <c r="AA64" s="64">
        <v>10</v>
      </c>
      <c r="AB64" s="64">
        <v>10</v>
      </c>
      <c r="AC64" s="64">
        <v>10</v>
      </c>
      <c r="AD64" s="64">
        <v>10</v>
      </c>
      <c r="AE64" s="64">
        <v>10</v>
      </c>
      <c r="AF64" s="64">
        <v>10</v>
      </c>
      <c r="AG64" s="54">
        <v>14</v>
      </c>
      <c r="AH64" s="47">
        <f t="shared" si="2"/>
        <v>10</v>
      </c>
      <c r="AI64" s="48">
        <f t="shared" si="3"/>
        <v>10</v>
      </c>
      <c r="AK64" s="74"/>
    </row>
    <row r="65" spans="1:40" x14ac:dyDescent="0.25">
      <c r="A65" s="53" t="s">
        <v>81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AG68" si="6">SUM(B55:B67)</f>
        <v>329.23999999999995</v>
      </c>
      <c r="C68" s="59">
        <f t="shared" si="6"/>
        <v>327.24</v>
      </c>
      <c r="D68" s="59">
        <f t="shared" si="6"/>
        <v>332.54</v>
      </c>
      <c r="E68" s="59">
        <f t="shared" si="6"/>
        <v>335.94</v>
      </c>
      <c r="F68" s="59">
        <f t="shared" si="6"/>
        <v>338.64</v>
      </c>
      <c r="G68" s="59">
        <f t="shared" si="6"/>
        <v>323.64</v>
      </c>
      <c r="H68" s="59">
        <f t="shared" si="6"/>
        <v>325.74</v>
      </c>
      <c r="I68" s="59">
        <f t="shared" si="6"/>
        <v>326.94</v>
      </c>
      <c r="J68" s="59">
        <f t="shared" si="6"/>
        <v>326.94</v>
      </c>
      <c r="K68" s="59">
        <f t="shared" si="6"/>
        <v>326.94</v>
      </c>
      <c r="L68" s="59">
        <f t="shared" si="6"/>
        <v>326.94</v>
      </c>
      <c r="M68" s="59">
        <f t="shared" si="6"/>
        <v>337.94</v>
      </c>
      <c r="N68" s="59">
        <f t="shared" si="6"/>
        <v>337.94</v>
      </c>
      <c r="O68" s="59">
        <f t="shared" si="6"/>
        <v>358.34000000000003</v>
      </c>
      <c r="P68" s="59">
        <f t="shared" si="6"/>
        <v>364.14</v>
      </c>
      <c r="Q68" s="59">
        <f t="shared" si="6"/>
        <v>364.44</v>
      </c>
      <c r="R68" s="59">
        <f t="shared" si="6"/>
        <v>328.24</v>
      </c>
      <c r="S68" s="59">
        <f t="shared" si="6"/>
        <v>341.14</v>
      </c>
      <c r="T68" s="59">
        <f t="shared" si="6"/>
        <v>341.14</v>
      </c>
      <c r="U68" s="59">
        <f t="shared" si="6"/>
        <v>343.34000000000003</v>
      </c>
      <c r="V68" s="59">
        <f t="shared" si="6"/>
        <v>311.14000000000004</v>
      </c>
      <c r="W68" s="59">
        <f t="shared" si="6"/>
        <v>249.73999999999998</v>
      </c>
      <c r="X68" s="59">
        <f t="shared" si="6"/>
        <v>282.44000000000005</v>
      </c>
      <c r="Y68" s="59">
        <f t="shared" si="6"/>
        <v>280.14</v>
      </c>
      <c r="Z68" s="59">
        <f t="shared" si="6"/>
        <v>305.34000000000003</v>
      </c>
      <c r="AA68" s="59">
        <f t="shared" si="6"/>
        <v>305.34000000000003</v>
      </c>
      <c r="AB68" s="59">
        <f t="shared" si="6"/>
        <v>358.34000000000003</v>
      </c>
      <c r="AC68" s="59">
        <f t="shared" si="6"/>
        <v>388.34000000000003</v>
      </c>
      <c r="AD68" s="59">
        <f t="shared" si="6"/>
        <v>388.34000000000003</v>
      </c>
      <c r="AE68" s="59">
        <f t="shared" si="6"/>
        <v>381.84000000000003</v>
      </c>
      <c r="AF68" s="59">
        <f t="shared" si="6"/>
        <v>381.84000000000003</v>
      </c>
      <c r="AG68" s="60">
        <f t="shared" si="6"/>
        <v>489.91</v>
      </c>
      <c r="AH68" s="47">
        <f t="shared" si="2"/>
        <v>388.34000000000003</v>
      </c>
      <c r="AI68" s="48">
        <f t="shared" si="3"/>
        <v>249.73999999999998</v>
      </c>
      <c r="AK68" s="74"/>
    </row>
    <row r="69" spans="1:40" x14ac:dyDescent="0.25">
      <c r="A69" s="44" t="s">
        <v>85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0</v>
      </c>
      <c r="AI69" s="48">
        <f t="shared" si="3"/>
        <v>0</v>
      </c>
      <c r="AK69" s="74"/>
    </row>
    <row r="70" spans="1:40" x14ac:dyDescent="0.25">
      <c r="A70" s="53" t="s">
        <v>86</v>
      </c>
      <c r="B70" s="45"/>
      <c r="C70" s="45"/>
      <c r="D70" s="64"/>
      <c r="E70" s="64"/>
      <c r="F70" s="64"/>
      <c r="G70" s="64"/>
      <c r="H70" s="64"/>
      <c r="I70" s="64"/>
      <c r="J70" s="64"/>
      <c r="K70" s="64">
        <v>3.8</v>
      </c>
      <c r="L70" s="64"/>
      <c r="M70" s="45">
        <v>0</v>
      </c>
      <c r="N70" s="45">
        <v>0</v>
      </c>
      <c r="O70" s="45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6.8</v>
      </c>
      <c r="AC70" s="64">
        <v>6.8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6.8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/>
      <c r="C71" s="45"/>
      <c r="D71" s="66"/>
      <c r="E71" s="66"/>
      <c r="F71" s="66"/>
      <c r="G71" s="66"/>
      <c r="H71" s="66"/>
      <c r="I71" s="66"/>
      <c r="J71" s="66"/>
      <c r="K71" s="66">
        <v>1.4</v>
      </c>
      <c r="L71" s="66"/>
      <c r="M71" s="45">
        <v>0</v>
      </c>
      <c r="N71" s="45">
        <v>0</v>
      </c>
      <c r="O71" s="45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2.5</v>
      </c>
      <c r="AC71" s="66">
        <v>2.5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2.5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>B69+B70+B71</f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F72" si="7">M69+M70+M71</f>
        <v>0</v>
      </c>
      <c r="N72" s="59">
        <f t="shared" si="7"/>
        <v>0</v>
      </c>
      <c r="O72" s="59">
        <f t="shared" si="7"/>
        <v>0</v>
      </c>
      <c r="P72" s="59">
        <v>0</v>
      </c>
      <c r="Q72" s="59">
        <f t="shared" si="7"/>
        <v>0</v>
      </c>
      <c r="R72" s="59">
        <f t="shared" si="7"/>
        <v>0</v>
      </c>
      <c r="S72" s="59">
        <f t="shared" si="7"/>
        <v>0</v>
      </c>
      <c r="T72" s="59">
        <f t="shared" si="7"/>
        <v>0</v>
      </c>
      <c r="U72" s="59">
        <f t="shared" si="7"/>
        <v>0</v>
      </c>
      <c r="V72" s="59">
        <f t="shared" si="7"/>
        <v>0</v>
      </c>
      <c r="W72" s="59">
        <f t="shared" si="7"/>
        <v>0</v>
      </c>
      <c r="X72" s="59">
        <f t="shared" si="7"/>
        <v>0</v>
      </c>
      <c r="Y72" s="59">
        <f t="shared" si="7"/>
        <v>0</v>
      </c>
      <c r="Z72" s="59">
        <f t="shared" si="7"/>
        <v>0</v>
      </c>
      <c r="AA72" s="59">
        <f t="shared" si="7"/>
        <v>0</v>
      </c>
      <c r="AB72" s="59">
        <f t="shared" si="7"/>
        <v>9.3000000000000007</v>
      </c>
      <c r="AC72" s="59">
        <f t="shared" si="7"/>
        <v>9.3000000000000007</v>
      </c>
      <c r="AD72" s="59">
        <f t="shared" si="7"/>
        <v>0</v>
      </c>
      <c r="AE72" s="59">
        <f t="shared" si="7"/>
        <v>0</v>
      </c>
      <c r="AF72" s="59">
        <f t="shared" si="7"/>
        <v>0</v>
      </c>
      <c r="AG72" s="60">
        <f>SUM(AG69:AG71)</f>
        <v>106</v>
      </c>
      <c r="AH72" s="47">
        <f t="shared" si="2"/>
        <v>9.3000000000000007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34</v>
      </c>
      <c r="C73" s="45">
        <v>25</v>
      </c>
      <c r="D73" s="45">
        <v>70</v>
      </c>
      <c r="E73" s="45">
        <v>20</v>
      </c>
      <c r="F73" s="45">
        <v>-5</v>
      </c>
      <c r="G73" s="45">
        <v>-2</v>
      </c>
      <c r="H73" s="45">
        <v>-3</v>
      </c>
      <c r="I73" s="45">
        <v>-4</v>
      </c>
      <c r="J73" s="45">
        <v>4</v>
      </c>
      <c r="K73" s="45">
        <v>13.3</v>
      </c>
      <c r="L73" s="45">
        <v>13.3</v>
      </c>
      <c r="M73" s="45">
        <v>-1.3</v>
      </c>
      <c r="N73" s="45">
        <v>-1.3</v>
      </c>
      <c r="O73" s="45">
        <v>2.7</v>
      </c>
      <c r="P73" s="45">
        <v>9</v>
      </c>
      <c r="Q73" s="45">
        <v>-8.6999999999999993</v>
      </c>
      <c r="R73" s="45">
        <v>21.2</v>
      </c>
      <c r="S73" s="45">
        <v>12.7</v>
      </c>
      <c r="T73" s="45">
        <v>11</v>
      </c>
      <c r="U73" s="45">
        <v>10</v>
      </c>
      <c r="V73" s="45">
        <v>12.4</v>
      </c>
      <c r="W73" s="45">
        <v>10</v>
      </c>
      <c r="X73" s="45">
        <v>10.8</v>
      </c>
      <c r="Y73" s="45">
        <v>10.8</v>
      </c>
      <c r="Z73" s="45">
        <v>16.399999999999999</v>
      </c>
      <c r="AA73" s="45">
        <v>16.399999999999999</v>
      </c>
      <c r="AB73" s="45">
        <v>15.4</v>
      </c>
      <c r="AC73" s="45">
        <v>15.4</v>
      </c>
      <c r="AD73" s="45">
        <v>22.6</v>
      </c>
      <c r="AE73" s="45">
        <v>6.2</v>
      </c>
      <c r="AF73" s="45">
        <v>13.4</v>
      </c>
      <c r="AG73" s="51"/>
      <c r="AH73" s="47">
        <f t="shared" si="2"/>
        <v>70</v>
      </c>
      <c r="AI73" s="48">
        <f t="shared" si="3"/>
        <v>-8.6999999999999993</v>
      </c>
      <c r="AK73" s="74"/>
    </row>
    <row r="74" spans="1:40" x14ac:dyDescent="0.25">
      <c r="A74" s="53" t="s">
        <v>90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-289</v>
      </c>
      <c r="C75" s="64">
        <v>-315</v>
      </c>
      <c r="D75" s="64">
        <v>-337</v>
      </c>
      <c r="E75" s="64">
        <v>-340</v>
      </c>
      <c r="F75" s="64">
        <v>-380.9</v>
      </c>
      <c r="G75" s="64">
        <v>-394.6</v>
      </c>
      <c r="H75" s="64">
        <v>-457</v>
      </c>
      <c r="I75" s="64">
        <v>-422</v>
      </c>
      <c r="J75" s="64">
        <v>-456</v>
      </c>
      <c r="K75" s="64">
        <v>-450</v>
      </c>
      <c r="L75" s="64">
        <v>-450</v>
      </c>
      <c r="M75" s="64">
        <v>-450</v>
      </c>
      <c r="N75" s="64">
        <v>-450</v>
      </c>
      <c r="O75" s="64">
        <v>-465</v>
      </c>
      <c r="P75" s="64">
        <v>-485</v>
      </c>
      <c r="Q75" s="64">
        <v>-448</v>
      </c>
      <c r="R75" s="64">
        <v>-418</v>
      </c>
      <c r="S75" s="64">
        <v>-362</v>
      </c>
      <c r="T75" s="64">
        <v>-384</v>
      </c>
      <c r="U75" s="64">
        <v>-395</v>
      </c>
      <c r="V75" s="64">
        <v>-420</v>
      </c>
      <c r="W75" s="64">
        <v>-417</v>
      </c>
      <c r="X75" s="64">
        <v>-420</v>
      </c>
      <c r="Y75" s="64">
        <v>-430</v>
      </c>
      <c r="Z75" s="64">
        <v>-400</v>
      </c>
      <c r="AA75" s="64">
        <v>-400</v>
      </c>
      <c r="AB75" s="64">
        <v>-310</v>
      </c>
      <c r="AC75" s="64">
        <v>-310</v>
      </c>
      <c r="AD75" s="64">
        <v>-305</v>
      </c>
      <c r="AE75" s="64">
        <v>-325</v>
      </c>
      <c r="AF75" s="64">
        <v>-275</v>
      </c>
      <c r="AG75" s="75"/>
      <c r="AH75" s="47">
        <f t="shared" si="2"/>
        <v>-275</v>
      </c>
      <c r="AI75" s="48">
        <f t="shared" si="3"/>
        <v>-485</v>
      </c>
      <c r="AK75" s="74"/>
    </row>
    <row r="76" spans="1:40" x14ac:dyDescent="0.25">
      <c r="A76" s="53" t="s">
        <v>92</v>
      </c>
      <c r="B76" s="64"/>
      <c r="C76" s="64"/>
      <c r="D76" s="64"/>
      <c r="E76" s="76"/>
      <c r="F76" s="76"/>
      <c r="G76" s="76"/>
      <c r="H76" s="76"/>
      <c r="I76" s="76"/>
      <c r="J76" s="76"/>
      <c r="K76" s="76"/>
      <c r="L76" s="76"/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75"/>
      <c r="AH76" s="47">
        <f t="shared" si="2"/>
        <v>0</v>
      </c>
      <c r="AI76" s="48">
        <f t="shared" si="3"/>
        <v>0</v>
      </c>
      <c r="AK76" s="74"/>
    </row>
    <row r="77" spans="1:40" x14ac:dyDescent="0.25">
      <c r="A77" s="53" t="s">
        <v>93</v>
      </c>
      <c r="B77" s="45"/>
      <c r="C77" s="45"/>
      <c r="D77" s="64"/>
      <c r="E77" s="45"/>
      <c r="F77" s="45"/>
      <c r="G77" s="45"/>
      <c r="H77" s="45"/>
      <c r="I77" s="45"/>
      <c r="J77" s="45"/>
      <c r="K77" s="45"/>
      <c r="L77" s="45"/>
      <c r="M77" s="76">
        <v>0</v>
      </c>
      <c r="N77" s="76">
        <v>0</v>
      </c>
      <c r="O77" s="76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8">MAX(B77:AF77)</f>
        <v>0</v>
      </c>
      <c r="AI77" s="48">
        <f t="shared" ref="AI77:AI120" si="9">MIN(B77:AF77)</f>
        <v>0</v>
      </c>
      <c r="AK77" s="74"/>
    </row>
    <row r="78" spans="1:40" x14ac:dyDescent="0.25">
      <c r="A78" s="53" t="s">
        <v>94</v>
      </c>
      <c r="B78" s="45"/>
      <c r="C78" s="77"/>
      <c r="D78" s="64"/>
      <c r="E78" s="77"/>
      <c r="F78" s="77"/>
      <c r="G78" s="77"/>
      <c r="H78" s="77"/>
      <c r="I78" s="77"/>
      <c r="J78" s="77"/>
      <c r="K78" s="77"/>
      <c r="L78" s="77"/>
      <c r="M78" s="76">
        <v>0</v>
      </c>
      <c r="N78" s="76">
        <v>0</v>
      </c>
      <c r="O78" s="76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8"/>
        <v>0</v>
      </c>
      <c r="AI78" s="48">
        <f t="shared" si="9"/>
        <v>0</v>
      </c>
      <c r="AK78" s="74"/>
    </row>
    <row r="79" spans="1:40" ht="15.75" thickBot="1" x14ac:dyDescent="0.3">
      <c r="A79" s="53" t="s">
        <v>95</v>
      </c>
      <c r="B79" s="45"/>
      <c r="C79" s="77"/>
      <c r="D79" s="64"/>
      <c r="E79" s="77"/>
      <c r="F79" s="77"/>
      <c r="G79" s="77"/>
      <c r="H79" s="77"/>
      <c r="I79" s="77"/>
      <c r="J79" s="77"/>
      <c r="K79" s="77"/>
      <c r="L79" s="77"/>
      <c r="M79" s="76">
        <v>0</v>
      </c>
      <c r="N79" s="76">
        <v>0</v>
      </c>
      <c r="O79" s="76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8"/>
        <v>0</v>
      </c>
      <c r="AI79" s="48">
        <f t="shared" si="9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/>
      <c r="C80" s="77"/>
      <c r="D80" s="64"/>
      <c r="E80" s="77"/>
      <c r="F80" s="77"/>
      <c r="G80" s="77"/>
      <c r="H80" s="77"/>
      <c r="I80" s="77"/>
      <c r="J80" s="77"/>
      <c r="K80" s="77"/>
      <c r="L80" s="77"/>
      <c r="M80" s="76">
        <v>0</v>
      </c>
      <c r="N80" s="76">
        <v>0</v>
      </c>
      <c r="O80" s="76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/>
      <c r="C81" s="77"/>
      <c r="D81" s="64"/>
      <c r="E81" s="77"/>
      <c r="F81" s="77"/>
      <c r="G81" s="77"/>
      <c r="H81" s="77"/>
      <c r="I81" s="77"/>
      <c r="J81" s="77"/>
      <c r="K81" s="77"/>
      <c r="L81" s="77"/>
      <c r="M81" s="76">
        <v>0</v>
      </c>
      <c r="N81" s="76">
        <v>0</v>
      </c>
      <c r="O81" s="76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8"/>
        <v>0</v>
      </c>
      <c r="AI81" s="48">
        <f t="shared" si="9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/>
      <c r="C82" s="77"/>
      <c r="D82" s="64"/>
      <c r="E82" s="77"/>
      <c r="F82" s="77"/>
      <c r="G82" s="77"/>
      <c r="H82" s="77"/>
      <c r="I82" s="77"/>
      <c r="J82" s="77"/>
      <c r="K82" s="77"/>
      <c r="L82" s="77"/>
      <c r="M82" s="76">
        <v>0</v>
      </c>
      <c r="N82" s="76">
        <v>0</v>
      </c>
      <c r="O82" s="76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8"/>
        <v>0</v>
      </c>
      <c r="AI82" s="48">
        <f t="shared" si="9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/>
      <c r="C83" s="77"/>
      <c r="D83" s="64"/>
      <c r="E83" s="77"/>
      <c r="F83" s="77"/>
      <c r="G83" s="77"/>
      <c r="H83" s="77"/>
      <c r="I83" s="77"/>
      <c r="J83" s="77"/>
      <c r="K83" s="77"/>
      <c r="L83" s="77"/>
      <c r="M83" s="76">
        <v>0</v>
      </c>
      <c r="N83" s="76">
        <v>0</v>
      </c>
      <c r="O83" s="76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0">SUMIF(B73:B83,"&gt;0")</f>
        <v>34</v>
      </c>
      <c r="C84" s="59">
        <f t="shared" si="10"/>
        <v>25</v>
      </c>
      <c r="D84" s="59">
        <f t="shared" si="10"/>
        <v>70</v>
      </c>
      <c r="E84" s="59">
        <f t="shared" si="10"/>
        <v>20</v>
      </c>
      <c r="F84" s="59">
        <f t="shared" si="10"/>
        <v>0</v>
      </c>
      <c r="G84" s="59">
        <f t="shared" si="10"/>
        <v>0</v>
      </c>
      <c r="H84" s="59">
        <f t="shared" si="10"/>
        <v>0</v>
      </c>
      <c r="I84" s="59">
        <f t="shared" si="10"/>
        <v>0</v>
      </c>
      <c r="J84" s="59">
        <f t="shared" si="10"/>
        <v>4</v>
      </c>
      <c r="K84" s="59">
        <f t="shared" si="10"/>
        <v>13.3</v>
      </c>
      <c r="L84" s="59">
        <f t="shared" si="10"/>
        <v>13.3</v>
      </c>
      <c r="M84" s="59">
        <f t="shared" si="10"/>
        <v>0</v>
      </c>
      <c r="N84" s="59">
        <f t="shared" si="10"/>
        <v>0</v>
      </c>
      <c r="O84" s="59">
        <f t="shared" si="10"/>
        <v>2.7</v>
      </c>
      <c r="P84" s="59">
        <f t="shared" si="10"/>
        <v>9</v>
      </c>
      <c r="Q84" s="59">
        <f t="shared" si="10"/>
        <v>0</v>
      </c>
      <c r="R84" s="59">
        <f t="shared" si="10"/>
        <v>21.2</v>
      </c>
      <c r="S84" s="59">
        <f t="shared" si="10"/>
        <v>12.7</v>
      </c>
      <c r="T84" s="59">
        <f t="shared" si="10"/>
        <v>11</v>
      </c>
      <c r="U84" s="59">
        <f t="shared" si="10"/>
        <v>10</v>
      </c>
      <c r="V84" s="59">
        <f t="shared" si="10"/>
        <v>12.4</v>
      </c>
      <c r="W84" s="59">
        <f t="shared" si="10"/>
        <v>10</v>
      </c>
      <c r="X84" s="59">
        <f t="shared" si="10"/>
        <v>10.8</v>
      </c>
      <c r="Y84" s="59">
        <f t="shared" si="10"/>
        <v>10.8</v>
      </c>
      <c r="Z84" s="59">
        <f t="shared" si="10"/>
        <v>16.399999999999999</v>
      </c>
      <c r="AA84" s="59">
        <f t="shared" si="10"/>
        <v>16.399999999999999</v>
      </c>
      <c r="AB84" s="59">
        <f t="shared" si="10"/>
        <v>15.4</v>
      </c>
      <c r="AC84" s="59">
        <f t="shared" si="10"/>
        <v>15.4</v>
      </c>
      <c r="AD84" s="59">
        <f t="shared" si="10"/>
        <v>22.6</v>
      </c>
      <c r="AE84" s="59">
        <f t="shared" si="10"/>
        <v>6.2</v>
      </c>
      <c r="AF84" s="59">
        <f t="shared" si="10"/>
        <v>13.4</v>
      </c>
      <c r="AG84" s="88">
        <f>SUM(AG73:AG83)</f>
        <v>0</v>
      </c>
      <c r="AH84" s="47">
        <f t="shared" si="8"/>
        <v>70</v>
      </c>
      <c r="AI84" s="48">
        <f t="shared" si="9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3" t="s">
        <v>108</v>
      </c>
      <c r="B89" s="95">
        <f t="shared" ref="B89:AG89" si="11">B50+B54+B72+B68+B84+B88</f>
        <v>1826.3500000000001</v>
      </c>
      <c r="C89" s="95">
        <f t="shared" si="11"/>
        <v>1800.55</v>
      </c>
      <c r="D89" s="95">
        <f t="shared" si="11"/>
        <v>1812.85</v>
      </c>
      <c r="E89" s="95">
        <f t="shared" si="11"/>
        <v>1704.45</v>
      </c>
      <c r="F89" s="95">
        <f t="shared" si="11"/>
        <v>1757.75</v>
      </c>
      <c r="G89" s="95">
        <f t="shared" si="11"/>
        <v>1747.75</v>
      </c>
      <c r="H89" s="95">
        <f t="shared" si="11"/>
        <v>1762.8500000000001</v>
      </c>
      <c r="I89" s="95">
        <f t="shared" si="11"/>
        <v>1773.0500000000002</v>
      </c>
      <c r="J89" s="95">
        <f t="shared" si="11"/>
        <v>1772.0500000000002</v>
      </c>
      <c r="K89" s="95">
        <f t="shared" si="11"/>
        <v>1786.3500000000001</v>
      </c>
      <c r="L89" s="95">
        <f t="shared" si="11"/>
        <v>1809.3500000000001</v>
      </c>
      <c r="M89" s="95">
        <f t="shared" si="11"/>
        <v>1807.0500000000002</v>
      </c>
      <c r="N89" s="95">
        <f t="shared" si="11"/>
        <v>1812.0500000000002</v>
      </c>
      <c r="O89" s="95">
        <f t="shared" si="11"/>
        <v>1835.1500000000003</v>
      </c>
      <c r="P89" s="95">
        <f t="shared" si="11"/>
        <v>1845.5500000000002</v>
      </c>
      <c r="Q89" s="95">
        <f t="shared" si="11"/>
        <v>1826.8500000000001</v>
      </c>
      <c r="R89" s="95">
        <f t="shared" si="11"/>
        <v>1788.8500000000001</v>
      </c>
      <c r="S89" s="95">
        <f t="shared" si="11"/>
        <v>1794.05</v>
      </c>
      <c r="T89" s="95">
        <f t="shared" si="11"/>
        <v>1753.5500000000002</v>
      </c>
      <c r="U89" s="95">
        <f t="shared" si="11"/>
        <v>1760.4500000000003</v>
      </c>
      <c r="V89" s="95">
        <f t="shared" si="11"/>
        <v>1737.6500000000003</v>
      </c>
      <c r="W89" s="95">
        <f t="shared" si="11"/>
        <v>1753.8500000000001</v>
      </c>
      <c r="X89" s="95">
        <f t="shared" si="11"/>
        <v>1797.3500000000001</v>
      </c>
      <c r="Y89" s="95">
        <f t="shared" si="11"/>
        <v>1805.55</v>
      </c>
      <c r="Z89" s="95">
        <f t="shared" si="11"/>
        <v>1865.15</v>
      </c>
      <c r="AA89" s="95">
        <f t="shared" si="11"/>
        <v>1865.15</v>
      </c>
      <c r="AB89" s="95">
        <f t="shared" si="11"/>
        <v>1926.4500000000003</v>
      </c>
      <c r="AC89" s="95">
        <f t="shared" si="11"/>
        <v>1926.4500000000003</v>
      </c>
      <c r="AD89" s="95">
        <f t="shared" si="11"/>
        <v>1913.85</v>
      </c>
      <c r="AE89" s="95">
        <f t="shared" si="11"/>
        <v>1837.95</v>
      </c>
      <c r="AF89" s="95">
        <f t="shared" si="11"/>
        <v>1835.25</v>
      </c>
      <c r="AG89" s="60">
        <f t="shared" si="11"/>
        <v>2111.5500000000002</v>
      </c>
      <c r="AH89" s="47">
        <f t="shared" si="8"/>
        <v>1926.4500000000003</v>
      </c>
      <c r="AI89" s="48">
        <f t="shared" si="9"/>
        <v>1704.45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8"/>
        <v>0</v>
      </c>
      <c r="AI90" s="48">
        <f t="shared" si="9"/>
        <v>0</v>
      </c>
    </row>
    <row r="91" spans="1:40" ht="15.75" thickBot="1" x14ac:dyDescent="0.3">
      <c r="A91" s="73" t="s">
        <v>110</v>
      </c>
      <c r="B91" s="95">
        <f t="shared" ref="B91:AF91" si="12">B89+B90</f>
        <v>1826.3500000000001</v>
      </c>
      <c r="C91" s="95">
        <f t="shared" si="12"/>
        <v>1800.55</v>
      </c>
      <c r="D91" s="95">
        <f t="shared" si="12"/>
        <v>1812.85</v>
      </c>
      <c r="E91" s="95">
        <f t="shared" si="12"/>
        <v>1704.45</v>
      </c>
      <c r="F91" s="95">
        <f t="shared" si="12"/>
        <v>1757.75</v>
      </c>
      <c r="G91" s="95">
        <f t="shared" si="12"/>
        <v>1747.75</v>
      </c>
      <c r="H91" s="95">
        <f t="shared" si="12"/>
        <v>1762.8500000000001</v>
      </c>
      <c r="I91" s="95">
        <f t="shared" si="12"/>
        <v>1773.0500000000002</v>
      </c>
      <c r="J91" s="95">
        <f t="shared" si="12"/>
        <v>1772.0500000000002</v>
      </c>
      <c r="K91" s="95">
        <f t="shared" si="12"/>
        <v>1786.3500000000001</v>
      </c>
      <c r="L91" s="95">
        <f t="shared" si="12"/>
        <v>1809.3500000000001</v>
      </c>
      <c r="M91" s="95">
        <f t="shared" si="12"/>
        <v>1807.0500000000002</v>
      </c>
      <c r="N91" s="95">
        <f t="shared" si="12"/>
        <v>1812.0500000000002</v>
      </c>
      <c r="O91" s="95">
        <f t="shared" si="12"/>
        <v>1835.1500000000003</v>
      </c>
      <c r="P91" s="95">
        <f t="shared" si="12"/>
        <v>1845.5500000000002</v>
      </c>
      <c r="Q91" s="95">
        <f t="shared" si="12"/>
        <v>1826.8500000000001</v>
      </c>
      <c r="R91" s="95">
        <f t="shared" si="12"/>
        <v>1788.8500000000001</v>
      </c>
      <c r="S91" s="95">
        <f t="shared" si="12"/>
        <v>1794.05</v>
      </c>
      <c r="T91" s="95">
        <f t="shared" si="12"/>
        <v>1753.5500000000002</v>
      </c>
      <c r="U91" s="95">
        <f t="shared" si="12"/>
        <v>1760.4500000000003</v>
      </c>
      <c r="V91" s="95">
        <f t="shared" si="12"/>
        <v>1737.6500000000003</v>
      </c>
      <c r="W91" s="95">
        <f t="shared" si="12"/>
        <v>1753.8500000000001</v>
      </c>
      <c r="X91" s="95">
        <f t="shared" si="12"/>
        <v>1797.3500000000001</v>
      </c>
      <c r="Y91" s="95">
        <f t="shared" si="12"/>
        <v>1805.55</v>
      </c>
      <c r="Z91" s="95">
        <f t="shared" si="12"/>
        <v>1865.15</v>
      </c>
      <c r="AA91" s="95">
        <f t="shared" si="12"/>
        <v>1865.15</v>
      </c>
      <c r="AB91" s="95">
        <f t="shared" si="12"/>
        <v>1926.4500000000003</v>
      </c>
      <c r="AC91" s="95">
        <f t="shared" si="12"/>
        <v>1926.4500000000003</v>
      </c>
      <c r="AD91" s="95">
        <f t="shared" si="12"/>
        <v>1913.85</v>
      </c>
      <c r="AE91" s="95">
        <f t="shared" si="12"/>
        <v>1837.95</v>
      </c>
      <c r="AF91" s="95">
        <f t="shared" si="12"/>
        <v>1835.25</v>
      </c>
      <c r="AG91" s="88">
        <f>AG88+AG84+AG72+AG68+AG50+AG90</f>
        <v>1573.45</v>
      </c>
      <c r="AH91" s="47">
        <f t="shared" si="8"/>
        <v>1926.4500000000003</v>
      </c>
      <c r="AI91" s="48">
        <f t="shared" si="9"/>
        <v>1704.45</v>
      </c>
    </row>
    <row r="92" spans="1:40" ht="15.75" thickBot="1" x14ac:dyDescent="0.3">
      <c r="A92" s="73" t="s">
        <v>111</v>
      </c>
      <c r="B92" s="95">
        <f t="shared" ref="B92:AF92" si="13">B91-B99</f>
        <v>1826.3500000000001</v>
      </c>
      <c r="C92" s="95">
        <f t="shared" si="13"/>
        <v>1800.55</v>
      </c>
      <c r="D92" s="95">
        <f t="shared" si="13"/>
        <v>1812.85</v>
      </c>
      <c r="E92" s="95">
        <f t="shared" si="13"/>
        <v>1704.45</v>
      </c>
      <c r="F92" s="95">
        <f t="shared" si="13"/>
        <v>1757.75</v>
      </c>
      <c r="G92" s="95">
        <f t="shared" si="13"/>
        <v>1747.75</v>
      </c>
      <c r="H92" s="95">
        <f t="shared" si="13"/>
        <v>1762.8500000000001</v>
      </c>
      <c r="I92" s="95">
        <f t="shared" si="13"/>
        <v>1773.0500000000002</v>
      </c>
      <c r="J92" s="95">
        <f t="shared" si="13"/>
        <v>1772.0500000000002</v>
      </c>
      <c r="K92" s="95">
        <f t="shared" si="13"/>
        <v>1786.3500000000001</v>
      </c>
      <c r="L92" s="95">
        <f t="shared" si="13"/>
        <v>1809.3500000000001</v>
      </c>
      <c r="M92" s="95">
        <f t="shared" si="13"/>
        <v>1807.0500000000002</v>
      </c>
      <c r="N92" s="95">
        <f t="shared" si="13"/>
        <v>1812.0500000000002</v>
      </c>
      <c r="O92" s="95">
        <f t="shared" si="13"/>
        <v>1835.1500000000003</v>
      </c>
      <c r="P92" s="95">
        <f t="shared" si="13"/>
        <v>1845.5500000000002</v>
      </c>
      <c r="Q92" s="95">
        <f t="shared" si="13"/>
        <v>1826.8500000000001</v>
      </c>
      <c r="R92" s="95">
        <f t="shared" si="13"/>
        <v>1788.8500000000001</v>
      </c>
      <c r="S92" s="95">
        <f t="shared" si="13"/>
        <v>1794.05</v>
      </c>
      <c r="T92" s="95">
        <f t="shared" si="13"/>
        <v>1753.5500000000002</v>
      </c>
      <c r="U92" s="95">
        <f t="shared" si="13"/>
        <v>1760.4500000000003</v>
      </c>
      <c r="V92" s="95">
        <f t="shared" si="13"/>
        <v>1737.6500000000003</v>
      </c>
      <c r="W92" s="95">
        <f t="shared" si="13"/>
        <v>1753.8500000000001</v>
      </c>
      <c r="X92" s="95">
        <f t="shared" si="13"/>
        <v>1797.3500000000001</v>
      </c>
      <c r="Y92" s="95">
        <f t="shared" si="13"/>
        <v>1805.55</v>
      </c>
      <c r="Z92" s="95">
        <f t="shared" si="13"/>
        <v>1865.15</v>
      </c>
      <c r="AA92" s="95">
        <f t="shared" si="13"/>
        <v>1865.15</v>
      </c>
      <c r="AB92" s="95">
        <f t="shared" si="13"/>
        <v>1926.4500000000003</v>
      </c>
      <c r="AC92" s="95">
        <f t="shared" si="13"/>
        <v>1926.4500000000003</v>
      </c>
      <c r="AD92" s="95">
        <f t="shared" si="13"/>
        <v>1913.85</v>
      </c>
      <c r="AE92" s="95">
        <f t="shared" si="13"/>
        <v>1837.95</v>
      </c>
      <c r="AF92" s="95">
        <f t="shared" si="13"/>
        <v>1835.25</v>
      </c>
      <c r="AG92" s="88"/>
      <c r="AH92" s="47">
        <f t="shared" si="8"/>
        <v>1926.4500000000003</v>
      </c>
      <c r="AI92" s="48">
        <f t="shared" si="9"/>
        <v>1704.45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8"/>
        <v>0</v>
      </c>
      <c r="AI99" s="48">
        <f t="shared" si="9"/>
        <v>0</v>
      </c>
      <c r="AK99" s="74"/>
    </row>
    <row r="100" spans="1:37" ht="15.75" thickBot="1" x14ac:dyDescent="0.3">
      <c r="A100" s="73" t="s">
        <v>116</v>
      </c>
      <c r="B100" s="59">
        <f t="shared" ref="B100:AF100" si="14">B84-B99</f>
        <v>34</v>
      </c>
      <c r="C100" s="59">
        <f t="shared" si="14"/>
        <v>25</v>
      </c>
      <c r="D100" s="59">
        <f t="shared" si="14"/>
        <v>70</v>
      </c>
      <c r="E100" s="59">
        <f t="shared" si="14"/>
        <v>20</v>
      </c>
      <c r="F100" s="59">
        <f t="shared" si="14"/>
        <v>0</v>
      </c>
      <c r="G100" s="59">
        <f t="shared" si="14"/>
        <v>0</v>
      </c>
      <c r="H100" s="59">
        <f t="shared" si="14"/>
        <v>0</v>
      </c>
      <c r="I100" s="59">
        <f t="shared" si="14"/>
        <v>0</v>
      </c>
      <c r="J100" s="59">
        <f t="shared" si="14"/>
        <v>4</v>
      </c>
      <c r="K100" s="59">
        <f t="shared" si="14"/>
        <v>13.3</v>
      </c>
      <c r="L100" s="59">
        <f t="shared" si="14"/>
        <v>13.3</v>
      </c>
      <c r="M100" s="59">
        <f t="shared" si="14"/>
        <v>0</v>
      </c>
      <c r="N100" s="59">
        <f t="shared" si="14"/>
        <v>0</v>
      </c>
      <c r="O100" s="59">
        <f t="shared" si="14"/>
        <v>2.7</v>
      </c>
      <c r="P100" s="59">
        <f t="shared" si="14"/>
        <v>9</v>
      </c>
      <c r="Q100" s="59">
        <f t="shared" si="14"/>
        <v>0</v>
      </c>
      <c r="R100" s="59">
        <f t="shared" si="14"/>
        <v>21.2</v>
      </c>
      <c r="S100" s="59">
        <f t="shared" si="14"/>
        <v>12.7</v>
      </c>
      <c r="T100" s="59">
        <f t="shared" si="14"/>
        <v>11</v>
      </c>
      <c r="U100" s="59">
        <f t="shared" si="14"/>
        <v>10</v>
      </c>
      <c r="V100" s="59">
        <f t="shared" si="14"/>
        <v>12.4</v>
      </c>
      <c r="W100" s="59">
        <f t="shared" si="14"/>
        <v>10</v>
      </c>
      <c r="X100" s="59">
        <f t="shared" si="14"/>
        <v>10.8</v>
      </c>
      <c r="Y100" s="59">
        <f t="shared" si="14"/>
        <v>10.8</v>
      </c>
      <c r="Z100" s="59">
        <f t="shared" si="14"/>
        <v>16.399999999999999</v>
      </c>
      <c r="AA100" s="59">
        <f t="shared" si="14"/>
        <v>16.399999999999999</v>
      </c>
      <c r="AB100" s="59">
        <f t="shared" si="14"/>
        <v>15.4</v>
      </c>
      <c r="AC100" s="59">
        <f t="shared" si="14"/>
        <v>15.4</v>
      </c>
      <c r="AD100" s="59">
        <f t="shared" si="14"/>
        <v>22.6</v>
      </c>
      <c r="AE100" s="59">
        <f t="shared" si="14"/>
        <v>6.2</v>
      </c>
      <c r="AF100" s="59">
        <f t="shared" si="14"/>
        <v>13.4</v>
      </c>
      <c r="AG100" s="88"/>
      <c r="AH100" s="47">
        <f t="shared" si="8"/>
        <v>70</v>
      </c>
      <c r="AI100" s="48">
        <f t="shared" si="9"/>
        <v>0</v>
      </c>
    </row>
    <row r="101" spans="1:37" x14ac:dyDescent="0.25">
      <c r="A101" s="100" t="s">
        <v>117</v>
      </c>
      <c r="B101" s="101">
        <v>50.066000000000003</v>
      </c>
      <c r="C101" s="101">
        <v>49.976999999999997</v>
      </c>
      <c r="D101" s="101">
        <v>49.944000000000003</v>
      </c>
      <c r="E101" s="101">
        <v>50.07</v>
      </c>
      <c r="F101" s="101">
        <v>49.959000000000003</v>
      </c>
      <c r="G101" s="101">
        <v>49.975999999999999</v>
      </c>
      <c r="H101" s="101">
        <v>49.997</v>
      </c>
      <c r="I101" s="101">
        <v>49.951000000000001</v>
      </c>
      <c r="J101" s="101">
        <v>50.56</v>
      </c>
      <c r="K101" s="101">
        <v>49.95</v>
      </c>
      <c r="L101" s="101">
        <v>49.95</v>
      </c>
      <c r="M101" s="101">
        <v>49.954000000000001</v>
      </c>
      <c r="N101" s="101">
        <v>49.954000000000001</v>
      </c>
      <c r="O101" s="101">
        <v>49.936</v>
      </c>
      <c r="P101" s="101">
        <v>49.929000000000002</v>
      </c>
      <c r="Q101" s="101">
        <v>50.030999999999999</v>
      </c>
      <c r="R101" s="101">
        <v>50.067</v>
      </c>
      <c r="S101" s="101">
        <v>49.94</v>
      </c>
      <c r="T101" s="101">
        <v>49.92</v>
      </c>
      <c r="U101" s="101">
        <v>49.94</v>
      </c>
      <c r="V101" s="101">
        <v>50.08</v>
      </c>
      <c r="W101" s="101">
        <v>50.08</v>
      </c>
      <c r="X101" s="101">
        <v>49.95</v>
      </c>
      <c r="Y101" s="101">
        <v>50.04</v>
      </c>
      <c r="Z101" s="101">
        <v>50.02</v>
      </c>
      <c r="AA101" s="101">
        <v>50.02</v>
      </c>
      <c r="AB101" s="101">
        <v>49.978999999999999</v>
      </c>
      <c r="AC101" s="101">
        <v>49.978999999999999</v>
      </c>
      <c r="AD101" s="101">
        <v>49.920999999999999</v>
      </c>
      <c r="AE101" s="101">
        <v>50.018999999999998</v>
      </c>
      <c r="AF101" s="101">
        <v>50.015000000000001</v>
      </c>
      <c r="AG101" s="102"/>
      <c r="AH101" s="47">
        <f t="shared" si="8"/>
        <v>50.56</v>
      </c>
      <c r="AI101" s="48">
        <f t="shared" si="9"/>
        <v>49.92</v>
      </c>
    </row>
    <row r="102" spans="1:37" x14ac:dyDescent="0.25">
      <c r="A102" s="103" t="s">
        <v>118</v>
      </c>
      <c r="B102" s="64">
        <v>120.9</v>
      </c>
      <c r="C102" s="64">
        <v>122.5</v>
      </c>
      <c r="D102" s="64">
        <v>123.7</v>
      </c>
      <c r="E102" s="64">
        <v>125</v>
      </c>
      <c r="F102" s="64">
        <v>125</v>
      </c>
      <c r="G102" s="64">
        <v>125</v>
      </c>
      <c r="H102" s="64">
        <v>125</v>
      </c>
      <c r="I102" s="64">
        <v>125</v>
      </c>
      <c r="J102" s="64">
        <v>122</v>
      </c>
      <c r="K102" s="64">
        <v>122</v>
      </c>
      <c r="L102" s="64">
        <v>122</v>
      </c>
      <c r="M102" s="64">
        <v>123.6</v>
      </c>
      <c r="N102" s="64">
        <v>123.6</v>
      </c>
      <c r="O102" s="64">
        <v>121.3</v>
      </c>
      <c r="P102" s="64">
        <v>124.1</v>
      </c>
      <c r="Q102" s="64">
        <v>124.8</v>
      </c>
      <c r="R102" s="64">
        <v>124.4</v>
      </c>
      <c r="S102" s="64">
        <v>123.2</v>
      </c>
      <c r="T102" s="64">
        <v>122.7</v>
      </c>
      <c r="U102" s="64">
        <v>124.3</v>
      </c>
      <c r="V102" s="64">
        <v>123.3</v>
      </c>
      <c r="W102" s="64">
        <v>123</v>
      </c>
      <c r="X102" s="64">
        <v>123.5</v>
      </c>
      <c r="Y102" s="64">
        <v>124.3</v>
      </c>
      <c r="Z102" s="64">
        <v>123.7</v>
      </c>
      <c r="AA102" s="64">
        <v>123.7</v>
      </c>
      <c r="AB102" s="64">
        <v>119.8</v>
      </c>
      <c r="AC102" s="64">
        <v>119.8</v>
      </c>
      <c r="AD102" s="64">
        <v>122.5</v>
      </c>
      <c r="AE102" s="64">
        <v>124.2</v>
      </c>
      <c r="AF102" s="64">
        <v>125.4</v>
      </c>
      <c r="AG102" s="104"/>
      <c r="AH102" s="47">
        <f t="shared" si="8"/>
        <v>125.4</v>
      </c>
      <c r="AI102" s="48">
        <f t="shared" si="9"/>
        <v>119.8</v>
      </c>
    </row>
    <row r="103" spans="1:37" x14ac:dyDescent="0.25">
      <c r="A103" s="103" t="s">
        <v>119</v>
      </c>
      <c r="B103" s="64">
        <v>127.7</v>
      </c>
      <c r="C103" s="64">
        <v>128.69999999999999</v>
      </c>
      <c r="D103" s="64">
        <v>129.5</v>
      </c>
      <c r="E103" s="64">
        <v>130</v>
      </c>
      <c r="F103" s="64">
        <v>130</v>
      </c>
      <c r="G103" s="64">
        <v>130</v>
      </c>
      <c r="H103" s="64">
        <v>129.80000000000001</v>
      </c>
      <c r="I103" s="64">
        <v>129.80000000000001</v>
      </c>
      <c r="J103" s="64">
        <v>127</v>
      </c>
      <c r="K103" s="64">
        <v>127</v>
      </c>
      <c r="L103" s="64">
        <v>127</v>
      </c>
      <c r="M103" s="64">
        <v>127.4</v>
      </c>
      <c r="N103" s="64">
        <v>127.4</v>
      </c>
      <c r="O103" s="64">
        <v>126.2</v>
      </c>
      <c r="P103" s="64">
        <v>128.1</v>
      </c>
      <c r="Q103" s="64">
        <v>128.80000000000001</v>
      </c>
      <c r="R103" s="64">
        <v>127.9</v>
      </c>
      <c r="S103" s="64">
        <v>123.3</v>
      </c>
      <c r="T103" s="64">
        <v>127.5</v>
      </c>
      <c r="U103" s="64">
        <v>128.1</v>
      </c>
      <c r="V103" s="64">
        <v>127.7</v>
      </c>
      <c r="W103" s="64">
        <v>127.7</v>
      </c>
      <c r="X103" s="64">
        <v>127.7</v>
      </c>
      <c r="Y103" s="64">
        <v>128.19999999999999</v>
      </c>
      <c r="Z103" s="64">
        <v>127.4</v>
      </c>
      <c r="AA103" s="64">
        <v>127.4</v>
      </c>
      <c r="AB103" s="64">
        <v>125.4</v>
      </c>
      <c r="AC103" s="64">
        <v>125.4</v>
      </c>
      <c r="AD103" s="64">
        <v>127.5</v>
      </c>
      <c r="AE103" s="64">
        <v>129.30000000000001</v>
      </c>
      <c r="AF103" s="64">
        <v>130.4</v>
      </c>
      <c r="AG103" s="104"/>
      <c r="AH103" s="47">
        <f t="shared" si="8"/>
        <v>130.4</v>
      </c>
      <c r="AI103" s="48">
        <f t="shared" si="9"/>
        <v>123.3</v>
      </c>
    </row>
    <row r="104" spans="1:37" x14ac:dyDescent="0.25">
      <c r="A104" s="103" t="s">
        <v>120</v>
      </c>
      <c r="B104" s="64">
        <v>130.30000000000001</v>
      </c>
      <c r="C104" s="64">
        <v>130.9</v>
      </c>
      <c r="D104" s="64">
        <v>130.4</v>
      </c>
      <c r="E104" s="64">
        <v>131.80000000000001</v>
      </c>
      <c r="F104" s="64">
        <v>131.80000000000001</v>
      </c>
      <c r="G104" s="64">
        <v>131</v>
      </c>
      <c r="H104" s="64">
        <v>131.6</v>
      </c>
      <c r="I104" s="64">
        <v>131.6</v>
      </c>
      <c r="J104" s="64">
        <v>130</v>
      </c>
      <c r="K104" s="64">
        <v>129.69999999999999</v>
      </c>
      <c r="L104" s="64">
        <v>129.69999999999999</v>
      </c>
      <c r="M104" s="64">
        <v>127.7</v>
      </c>
      <c r="N104" s="64">
        <v>127.7</v>
      </c>
      <c r="O104" s="64">
        <v>129</v>
      </c>
      <c r="P104" s="64">
        <v>129.4</v>
      </c>
      <c r="Q104" s="64">
        <v>126.8</v>
      </c>
      <c r="R104" s="64">
        <v>128.9</v>
      </c>
      <c r="S104" s="64">
        <v>129.19999999999999</v>
      </c>
      <c r="T104" s="64">
        <v>128.19999999999999</v>
      </c>
      <c r="U104" s="64">
        <v>128.80000000000001</v>
      </c>
      <c r="V104" s="64">
        <v>127.4</v>
      </c>
      <c r="W104" s="64">
        <v>129.6</v>
      </c>
      <c r="X104" s="64">
        <v>129.9</v>
      </c>
      <c r="Y104" s="64">
        <v>129.4</v>
      </c>
      <c r="Z104" s="64">
        <v>129.19999999999999</v>
      </c>
      <c r="AA104" s="64">
        <v>129.19999999999999</v>
      </c>
      <c r="AB104" s="64">
        <v>126.6</v>
      </c>
      <c r="AC104" s="64">
        <v>126.6</v>
      </c>
      <c r="AD104" s="64">
        <v>128.30000000000001</v>
      </c>
      <c r="AE104" s="64">
        <v>127.4</v>
      </c>
      <c r="AF104" s="64">
        <v>129.19999999999999</v>
      </c>
      <c r="AG104" s="104"/>
      <c r="AH104" s="47">
        <f t="shared" si="8"/>
        <v>131.80000000000001</v>
      </c>
      <c r="AI104" s="48">
        <f t="shared" si="9"/>
        <v>126.6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122</v>
      </c>
      <c r="B106" s="106">
        <v>131.69999999999999</v>
      </c>
      <c r="C106" s="106">
        <v>128.1</v>
      </c>
      <c r="D106" s="106">
        <v>130.69999999999999</v>
      </c>
      <c r="E106" s="106">
        <v>129</v>
      </c>
      <c r="F106" s="106">
        <v>129</v>
      </c>
      <c r="G106" s="106">
        <v>133.69999999999999</v>
      </c>
      <c r="H106" s="106">
        <v>133.5</v>
      </c>
      <c r="I106" s="106">
        <v>133.5</v>
      </c>
      <c r="J106" s="106">
        <v>130</v>
      </c>
      <c r="K106" s="106">
        <v>131.69999999999999</v>
      </c>
      <c r="L106" s="106">
        <v>131.69999999999999</v>
      </c>
      <c r="M106" s="106">
        <v>133.30000000000001</v>
      </c>
      <c r="N106" s="106">
        <v>133.30000000000001</v>
      </c>
      <c r="O106" s="106">
        <v>131</v>
      </c>
      <c r="P106" s="106">
        <v>131.4</v>
      </c>
      <c r="Q106" s="106">
        <v>131.4</v>
      </c>
      <c r="R106" s="106">
        <v>130.30000000000001</v>
      </c>
      <c r="S106" s="106">
        <v>132.30000000000001</v>
      </c>
      <c r="T106" s="106">
        <v>132.9</v>
      </c>
      <c r="U106" s="106">
        <v>132.30000000000001</v>
      </c>
      <c r="V106" s="106">
        <v>128.80000000000001</v>
      </c>
      <c r="W106" s="106">
        <v>128</v>
      </c>
      <c r="X106" s="106">
        <v>128.4</v>
      </c>
      <c r="Y106" s="106">
        <v>131.19999999999999</v>
      </c>
      <c r="Z106" s="106">
        <v>132</v>
      </c>
      <c r="AA106" s="106">
        <v>132</v>
      </c>
      <c r="AB106" s="106">
        <v>127.7</v>
      </c>
      <c r="AC106" s="106">
        <v>127.7</v>
      </c>
      <c r="AD106" s="106">
        <v>132.69999999999999</v>
      </c>
      <c r="AE106" s="106">
        <v>132.4</v>
      </c>
      <c r="AF106" s="106">
        <v>131.1</v>
      </c>
      <c r="AG106" s="107"/>
      <c r="AH106" s="47">
        <f t="shared" si="8"/>
        <v>133.69999999999999</v>
      </c>
      <c r="AI106" s="48">
        <f t="shared" si="9"/>
        <v>127.7</v>
      </c>
    </row>
    <row r="107" spans="1:37" x14ac:dyDescent="0.25">
      <c r="A107" s="103" t="s">
        <v>123</v>
      </c>
      <c r="B107" s="64">
        <v>126.4</v>
      </c>
      <c r="C107" s="64">
        <v>127</v>
      </c>
      <c r="D107" s="64">
        <v>131</v>
      </c>
      <c r="E107" s="64">
        <v>127</v>
      </c>
      <c r="F107" s="64">
        <v>127</v>
      </c>
      <c r="G107" s="64">
        <v>132</v>
      </c>
      <c r="H107" s="64">
        <v>135</v>
      </c>
      <c r="I107" s="64">
        <v>135</v>
      </c>
      <c r="J107" s="64">
        <v>132</v>
      </c>
      <c r="K107" s="64">
        <v>129.5</v>
      </c>
      <c r="L107" s="64">
        <v>129.5</v>
      </c>
      <c r="M107" s="64">
        <v>128.30000000000001</v>
      </c>
      <c r="N107" s="64">
        <v>128.30000000000001</v>
      </c>
      <c r="O107" s="64">
        <v>129</v>
      </c>
      <c r="P107" s="64">
        <v>129.19999999999999</v>
      </c>
      <c r="Q107" s="64">
        <v>130.30000000000001</v>
      </c>
      <c r="R107" s="64">
        <v>130.1</v>
      </c>
      <c r="S107" s="64">
        <v>131.5</v>
      </c>
      <c r="T107" s="64">
        <v>133.80000000000001</v>
      </c>
      <c r="U107" s="64">
        <v>130.69999999999999</v>
      </c>
      <c r="V107" s="64">
        <v>132.69999999999999</v>
      </c>
      <c r="W107" s="64">
        <v>128.5</v>
      </c>
      <c r="X107" s="64">
        <v>130.9</v>
      </c>
      <c r="Y107" s="64">
        <v>131.4</v>
      </c>
      <c r="Z107" s="64">
        <v>127.8</v>
      </c>
      <c r="AA107" s="64">
        <v>127.8</v>
      </c>
      <c r="AB107" s="64">
        <v>126.7</v>
      </c>
      <c r="AC107" s="64">
        <v>126.7</v>
      </c>
      <c r="AD107" s="64">
        <v>123.7</v>
      </c>
      <c r="AE107" s="64">
        <v>126.8</v>
      </c>
      <c r="AF107" s="64">
        <v>127.7</v>
      </c>
      <c r="AG107" s="104"/>
      <c r="AH107" s="47">
        <f t="shared" si="8"/>
        <v>135</v>
      </c>
      <c r="AI107" s="48">
        <f t="shared" si="9"/>
        <v>123.7</v>
      </c>
    </row>
    <row r="108" spans="1:37" ht="15.75" thickBot="1" x14ac:dyDescent="0.3">
      <c r="A108" s="103" t="s">
        <v>124</v>
      </c>
      <c r="B108" s="92">
        <v>64.2</v>
      </c>
      <c r="C108" s="92">
        <v>64.7</v>
      </c>
      <c r="D108" s="92">
        <v>65.400000000000006</v>
      </c>
      <c r="E108" s="92">
        <v>66</v>
      </c>
      <c r="F108" s="92">
        <v>66</v>
      </c>
      <c r="G108" s="92">
        <v>65.3</v>
      </c>
      <c r="H108" s="92">
        <v>65</v>
      </c>
      <c r="I108" s="92">
        <v>65</v>
      </c>
      <c r="J108" s="92">
        <v>64</v>
      </c>
      <c r="K108" s="92">
        <v>63.8</v>
      </c>
      <c r="L108" s="92">
        <v>63.8</v>
      </c>
      <c r="M108" s="92">
        <v>63.7</v>
      </c>
      <c r="N108" s="92">
        <v>63.7</v>
      </c>
      <c r="O108" s="92">
        <v>63.3</v>
      </c>
      <c r="P108" s="92">
        <v>64.400000000000006</v>
      </c>
      <c r="Q108" s="92">
        <v>64.8</v>
      </c>
      <c r="R108" s="92">
        <v>63.8</v>
      </c>
      <c r="S108" s="92">
        <v>63.5</v>
      </c>
      <c r="T108" s="92">
        <v>63.9</v>
      </c>
      <c r="U108" s="92">
        <v>64</v>
      </c>
      <c r="V108" s="92">
        <v>64.2</v>
      </c>
      <c r="W108" s="92">
        <v>64.400000000000006</v>
      </c>
      <c r="X108" s="92">
        <v>64.3</v>
      </c>
      <c r="Y108" s="92">
        <v>64.7</v>
      </c>
      <c r="Z108" s="92">
        <v>64.099999999999994</v>
      </c>
      <c r="AA108" s="92">
        <v>64.099999999999994</v>
      </c>
      <c r="AB108" s="92">
        <v>63.1</v>
      </c>
      <c r="AC108" s="92">
        <v>63.1</v>
      </c>
      <c r="AD108" s="92">
        <v>64.2</v>
      </c>
      <c r="AE108" s="92">
        <v>65.3</v>
      </c>
      <c r="AF108" s="92">
        <v>65.5</v>
      </c>
      <c r="AG108" s="108"/>
      <c r="AH108" s="47">
        <f t="shared" si="8"/>
        <v>66</v>
      </c>
      <c r="AI108" s="48">
        <f t="shared" si="9"/>
        <v>63.1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126</v>
      </c>
      <c r="B110" s="111">
        <f t="shared" ref="B110:O110" si="15">SUM(B20,B26,B29:B30,B58,B60:B61,B63,B65,B111:B115,B138,B144,B150,B159,B161,B173,B180,B183:B184,B191,B193,B195,B199:B201,B203:B205,B210,B216:B217,B219:B221,B229,B234)</f>
        <v>54.600000000000023</v>
      </c>
      <c r="C110" s="111">
        <f t="shared" si="15"/>
        <v>26.339999999999996</v>
      </c>
      <c r="D110" s="111">
        <f t="shared" si="15"/>
        <v>25.640000000000011</v>
      </c>
      <c r="E110" s="111">
        <f t="shared" si="15"/>
        <v>-7.26</v>
      </c>
      <c r="F110" s="111">
        <f t="shared" si="15"/>
        <v>36.840000000000018</v>
      </c>
      <c r="G110" s="111">
        <f t="shared" si="15"/>
        <v>33.340000000000003</v>
      </c>
      <c r="H110" s="111">
        <f t="shared" si="15"/>
        <v>51.540000000000013</v>
      </c>
      <c r="I110" s="111">
        <f t="shared" si="15"/>
        <v>70.739999999999995</v>
      </c>
      <c r="J110" s="111">
        <f t="shared" si="15"/>
        <v>89.679999999999993</v>
      </c>
      <c r="K110" s="111">
        <f t="shared" si="15"/>
        <v>111.13999999999997</v>
      </c>
      <c r="L110" s="111">
        <f t="shared" si="15"/>
        <v>116.13999999999997</v>
      </c>
      <c r="M110" s="111">
        <f t="shared" si="15"/>
        <v>157.44</v>
      </c>
      <c r="N110" s="111">
        <f t="shared" si="15"/>
        <v>157.44</v>
      </c>
      <c r="O110" s="111">
        <f t="shared" si="15"/>
        <v>153.63999999999999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117.7</v>
      </c>
      <c r="R110" s="111">
        <f t="shared" si="16"/>
        <v>110.80000000000001</v>
      </c>
      <c r="S110" s="111">
        <f t="shared" si="16"/>
        <v>119.20000000000002</v>
      </c>
      <c r="T110" s="111">
        <f t="shared" si="16"/>
        <v>142.20000000000002</v>
      </c>
      <c r="U110" s="111">
        <f t="shared" si="16"/>
        <v>144</v>
      </c>
      <c r="V110" s="111">
        <f t="shared" si="16"/>
        <v>204.49999999999997</v>
      </c>
      <c r="W110" s="111">
        <f t="shared" si="16"/>
        <v>137.20000000000002</v>
      </c>
      <c r="X110" s="111">
        <f t="shared" si="16"/>
        <v>144.79999999999995</v>
      </c>
      <c r="Y110" s="111">
        <f t="shared" si="16"/>
        <v>169</v>
      </c>
      <c r="Z110" s="111">
        <f t="shared" si="16"/>
        <v>188.4</v>
      </c>
      <c r="AA110" s="111">
        <f t="shared" si="16"/>
        <v>188.4</v>
      </c>
      <c r="AB110" s="111">
        <f t="shared" si="16"/>
        <v>161.9</v>
      </c>
      <c r="AC110" s="111">
        <f t="shared" si="16"/>
        <v>161.9</v>
      </c>
      <c r="AD110" s="111">
        <f t="shared" si="16"/>
        <v>145.5</v>
      </c>
      <c r="AE110" s="111">
        <f t="shared" si="16"/>
        <v>90.199999999999989</v>
      </c>
      <c r="AF110" s="111">
        <f t="shared" si="16"/>
        <v>52.8</v>
      </c>
      <c r="AG110" s="112"/>
      <c r="AH110" s="47">
        <f t="shared" si="8"/>
        <v>204.49999999999997</v>
      </c>
      <c r="AI110" s="48">
        <f t="shared" si="9"/>
        <v>-7.26</v>
      </c>
    </row>
    <row r="111" spans="1:37" x14ac:dyDescent="0.25">
      <c r="A111" s="100" t="s">
        <v>127</v>
      </c>
      <c r="B111" s="113">
        <v>29.3</v>
      </c>
      <c r="C111" s="113">
        <v>20</v>
      </c>
      <c r="D111" s="113">
        <v>24.9</v>
      </c>
      <c r="E111" s="113">
        <v>5.9</v>
      </c>
      <c r="F111" s="113">
        <v>11.8</v>
      </c>
      <c r="G111" s="113">
        <v>12.8</v>
      </c>
      <c r="H111" s="113">
        <v>15.8</v>
      </c>
      <c r="I111" s="113">
        <v>21.4</v>
      </c>
      <c r="J111" s="113">
        <v>30</v>
      </c>
      <c r="K111" s="113">
        <v>27.6</v>
      </c>
      <c r="L111" s="113">
        <v>27.6</v>
      </c>
      <c r="M111" s="113">
        <v>32.799999999999997</v>
      </c>
      <c r="N111" s="113">
        <v>32.799999999999997</v>
      </c>
      <c r="O111" s="113">
        <v>39.5</v>
      </c>
      <c r="P111" s="113">
        <v>39.1</v>
      </c>
      <c r="Q111" s="113">
        <v>29</v>
      </c>
      <c r="R111" s="113">
        <v>24.5</v>
      </c>
      <c r="S111" s="113">
        <v>33.1</v>
      </c>
      <c r="T111" s="113">
        <v>34.6</v>
      </c>
      <c r="U111" s="113">
        <v>43.8</v>
      </c>
      <c r="V111" s="113">
        <v>37.4</v>
      </c>
      <c r="W111" s="113">
        <v>34.5</v>
      </c>
      <c r="X111" s="113">
        <v>40</v>
      </c>
      <c r="Y111" s="113">
        <v>45.9</v>
      </c>
      <c r="Z111" s="113">
        <v>57</v>
      </c>
      <c r="AA111" s="113">
        <v>57</v>
      </c>
      <c r="AB111" s="113">
        <v>60</v>
      </c>
      <c r="AC111" s="113">
        <v>60</v>
      </c>
      <c r="AD111" s="113">
        <v>34.200000000000003</v>
      </c>
      <c r="AE111" s="113">
        <v>25.9</v>
      </c>
      <c r="AF111" s="113">
        <v>12.5</v>
      </c>
      <c r="AG111" s="114">
        <v>75</v>
      </c>
      <c r="AH111" s="47">
        <f t="shared" si="8"/>
        <v>60</v>
      </c>
      <c r="AI111" s="48">
        <f t="shared" si="9"/>
        <v>5.9</v>
      </c>
    </row>
    <row r="112" spans="1:37" x14ac:dyDescent="0.25">
      <c r="A112" s="103" t="s">
        <v>128</v>
      </c>
      <c r="B112" s="115">
        <v>52.7</v>
      </c>
      <c r="C112" s="115">
        <v>39</v>
      </c>
      <c r="D112" s="115">
        <v>45</v>
      </c>
      <c r="E112" s="115">
        <v>17.7</v>
      </c>
      <c r="F112" s="115">
        <v>26.4</v>
      </c>
      <c r="G112" s="115">
        <v>25.6</v>
      </c>
      <c r="H112" s="115">
        <v>31.9</v>
      </c>
      <c r="I112" s="115">
        <v>38.9</v>
      </c>
      <c r="J112" s="115">
        <v>42</v>
      </c>
      <c r="K112" s="115">
        <v>44.8</v>
      </c>
      <c r="L112" s="115">
        <v>44.8</v>
      </c>
      <c r="M112" s="115">
        <v>50.6</v>
      </c>
      <c r="N112" s="115">
        <v>50.6</v>
      </c>
      <c r="O112" s="115">
        <v>61.3</v>
      </c>
      <c r="P112" s="115">
        <v>60.9</v>
      </c>
      <c r="Q112" s="115">
        <v>47.1</v>
      </c>
      <c r="R112" s="115">
        <v>38.4</v>
      </c>
      <c r="S112" s="115">
        <v>49.8</v>
      </c>
      <c r="T112" s="115">
        <v>51.8</v>
      </c>
      <c r="U112" s="115">
        <v>68.900000000000006</v>
      </c>
      <c r="V112" s="115">
        <v>60.8</v>
      </c>
      <c r="W112" s="115">
        <v>57.2</v>
      </c>
      <c r="X112" s="115">
        <v>70</v>
      </c>
      <c r="Y112" s="115">
        <v>72.3</v>
      </c>
      <c r="Z112" s="115">
        <v>86.6</v>
      </c>
      <c r="AA112" s="115">
        <v>86.6</v>
      </c>
      <c r="AB112" s="115">
        <v>91.7</v>
      </c>
      <c r="AC112" s="115">
        <v>91.7</v>
      </c>
      <c r="AD112" s="115">
        <v>52.7</v>
      </c>
      <c r="AE112" s="115">
        <v>41.1</v>
      </c>
      <c r="AF112" s="115">
        <v>26.4</v>
      </c>
      <c r="AG112" s="114">
        <v>240</v>
      </c>
      <c r="AH112" s="47">
        <f t="shared" si="8"/>
        <v>91.7</v>
      </c>
      <c r="AI112" s="48">
        <f t="shared" si="9"/>
        <v>17.7</v>
      </c>
    </row>
    <row r="113" spans="1:37" x14ac:dyDescent="0.25">
      <c r="A113" s="103" t="s">
        <v>129</v>
      </c>
      <c r="B113" s="115">
        <v>-173</v>
      </c>
      <c r="C113" s="115">
        <v>-173</v>
      </c>
      <c r="D113" s="115">
        <v>-188</v>
      </c>
      <c r="E113" s="115">
        <v>-180</v>
      </c>
      <c r="F113" s="115">
        <v>-145</v>
      </c>
      <c r="G113" s="115">
        <v>-150</v>
      </c>
      <c r="H113" s="115">
        <v>-143</v>
      </c>
      <c r="I113" s="115">
        <v>-137.80000000000001</v>
      </c>
      <c r="J113" s="115">
        <v>-132</v>
      </c>
      <c r="K113" s="115">
        <v>-122</v>
      </c>
      <c r="L113" s="115">
        <v>-122</v>
      </c>
      <c r="M113" s="115">
        <v>-105</v>
      </c>
      <c r="N113" s="115">
        <v>-105</v>
      </c>
      <c r="O113" s="115">
        <v>-125</v>
      </c>
      <c r="P113" s="115">
        <v>-132</v>
      </c>
      <c r="Q113" s="115">
        <v>-127</v>
      </c>
      <c r="R113" s="115">
        <v>-110</v>
      </c>
      <c r="S113" s="115">
        <f>-58.2-63.4</f>
        <v>-121.6</v>
      </c>
      <c r="T113" s="115">
        <f>-58.4-62.6</f>
        <v>-121</v>
      </c>
      <c r="U113" s="115">
        <f>-74.1-79.5</f>
        <v>-153.6</v>
      </c>
      <c r="V113" s="115">
        <v>-72.3</v>
      </c>
      <c r="W113" s="115">
        <f>-69.1-73.9</f>
        <v>-143</v>
      </c>
      <c r="X113" s="115">
        <f>-72-80</f>
        <v>-152</v>
      </c>
      <c r="Y113" s="115">
        <f>-67.9-73</f>
        <v>-140.9</v>
      </c>
      <c r="Z113" s="115">
        <f>-72.5-76.3</f>
        <v>-148.80000000000001</v>
      </c>
      <c r="AA113" s="115">
        <f t="shared" ref="AA113" si="17">-72.5-76.3</f>
        <v>-148.80000000000001</v>
      </c>
      <c r="AB113" s="115">
        <v>-180</v>
      </c>
      <c r="AC113" s="115">
        <v>-180</v>
      </c>
      <c r="AD113" s="115">
        <v>-125</v>
      </c>
      <c r="AE113" s="115">
        <v>-140</v>
      </c>
      <c r="AF113" s="115">
        <v>-140</v>
      </c>
      <c r="AG113" s="114">
        <v>240</v>
      </c>
      <c r="AH113" s="47">
        <f t="shared" si="8"/>
        <v>-72.3</v>
      </c>
      <c r="AI113" s="48">
        <f t="shared" si="9"/>
        <v>-188</v>
      </c>
    </row>
    <row r="114" spans="1:37" x14ac:dyDescent="0.25">
      <c r="A114" s="103" t="s">
        <v>130</v>
      </c>
      <c r="B114" s="115">
        <v>-13</v>
      </c>
      <c r="C114" s="115">
        <v>-17</v>
      </c>
      <c r="D114" s="115">
        <v>-19</v>
      </c>
      <c r="E114" s="115">
        <v>-13.2</v>
      </c>
      <c r="F114" s="115">
        <v>-13.1</v>
      </c>
      <c r="G114" s="115">
        <v>-11.5</v>
      </c>
      <c r="H114" s="115">
        <v>-9.4</v>
      </c>
      <c r="I114" s="115">
        <v>-7.9</v>
      </c>
      <c r="J114" s="115">
        <v>-6.5</v>
      </c>
      <c r="K114" s="115">
        <v>-6.2</v>
      </c>
      <c r="L114" s="115">
        <v>-6.2</v>
      </c>
      <c r="M114" s="115">
        <v>1</v>
      </c>
      <c r="N114" s="115">
        <v>1</v>
      </c>
      <c r="O114" s="115">
        <v>-1.3</v>
      </c>
      <c r="P114" s="115">
        <v>-2.8</v>
      </c>
      <c r="Q114" s="115">
        <v>-5</v>
      </c>
      <c r="R114" s="115">
        <v>0</v>
      </c>
      <c r="S114" s="115">
        <v>0</v>
      </c>
      <c r="T114" s="115">
        <v>0</v>
      </c>
      <c r="U114" s="115">
        <v>0</v>
      </c>
      <c r="V114" s="115">
        <v>-4.4000000000000004</v>
      </c>
      <c r="W114" s="115">
        <v>-3.2</v>
      </c>
      <c r="X114" s="115">
        <v>-2.4</v>
      </c>
      <c r="Y114" s="115">
        <v>-0.7</v>
      </c>
      <c r="Z114" s="115">
        <v>1.4</v>
      </c>
      <c r="AA114" s="115">
        <v>1.4</v>
      </c>
      <c r="AB114" s="115">
        <v>-1.5</v>
      </c>
      <c r="AC114" s="115">
        <v>-1.5</v>
      </c>
      <c r="AD114" s="115">
        <v>2.1</v>
      </c>
      <c r="AE114" s="115">
        <v>-4.2</v>
      </c>
      <c r="AF114" s="115">
        <v>-8.6999999999999993</v>
      </c>
      <c r="AG114" s="114">
        <v>60</v>
      </c>
      <c r="AH114" s="47">
        <f t="shared" si="8"/>
        <v>2.1</v>
      </c>
      <c r="AI114" s="48">
        <f t="shared" si="9"/>
        <v>-19</v>
      </c>
    </row>
    <row r="115" spans="1:37" x14ac:dyDescent="0.25">
      <c r="A115" s="116" t="s">
        <v>131</v>
      </c>
      <c r="B115" s="117">
        <v>9</v>
      </c>
      <c r="C115" s="117">
        <v>8.3000000000000007</v>
      </c>
      <c r="D115" s="117">
        <v>8.4</v>
      </c>
      <c r="E115" s="117">
        <v>8</v>
      </c>
      <c r="F115" s="117">
        <v>8.3000000000000007</v>
      </c>
      <c r="G115" s="117">
        <v>8</v>
      </c>
      <c r="H115" s="117">
        <v>7.8</v>
      </c>
      <c r="I115" s="117">
        <v>7.7</v>
      </c>
      <c r="J115" s="117">
        <v>7.74</v>
      </c>
      <c r="K115" s="117">
        <v>8.5</v>
      </c>
      <c r="L115" s="117">
        <v>8.5</v>
      </c>
      <c r="M115" s="117">
        <v>14.6</v>
      </c>
      <c r="N115" s="117">
        <v>14.6</v>
      </c>
      <c r="O115" s="117">
        <v>15.7</v>
      </c>
      <c r="P115" s="117">
        <v>15.9</v>
      </c>
      <c r="Q115" s="117">
        <v>15.7</v>
      </c>
      <c r="R115" s="117">
        <v>0</v>
      </c>
      <c r="S115" s="117">
        <v>0</v>
      </c>
      <c r="T115" s="117">
        <v>18.899999999999999</v>
      </c>
      <c r="U115" s="117">
        <v>19.100000000000001</v>
      </c>
      <c r="V115" s="117">
        <v>18.5</v>
      </c>
      <c r="W115" s="117">
        <v>18.600000000000001</v>
      </c>
      <c r="X115" s="117">
        <v>18.399999999999999</v>
      </c>
      <c r="Y115" s="117">
        <v>18.399999999999999</v>
      </c>
      <c r="Z115" s="117">
        <v>18.2</v>
      </c>
      <c r="AA115" s="117">
        <v>18.2</v>
      </c>
      <c r="AB115" s="117">
        <v>17.100000000000001</v>
      </c>
      <c r="AC115" s="117">
        <v>17.100000000000001</v>
      </c>
      <c r="AD115" s="117">
        <v>17.399999999999999</v>
      </c>
      <c r="AE115" s="117">
        <v>8.3000000000000007</v>
      </c>
      <c r="AF115" s="117">
        <v>3.5</v>
      </c>
      <c r="AG115" s="118">
        <v>120</v>
      </c>
      <c r="AH115" s="47">
        <f t="shared" si="8"/>
        <v>19.100000000000001</v>
      </c>
      <c r="AI115" s="48">
        <f t="shared" si="9"/>
        <v>0</v>
      </c>
    </row>
    <row r="116" spans="1:37" x14ac:dyDescent="0.25">
      <c r="A116" s="116" t="s">
        <v>132</v>
      </c>
      <c r="B116" s="117">
        <v>66</v>
      </c>
      <c r="C116" s="117">
        <v>68</v>
      </c>
      <c r="D116" s="117">
        <v>46</v>
      </c>
      <c r="E116" s="117">
        <v>59</v>
      </c>
      <c r="F116" s="117">
        <v>47.8</v>
      </c>
      <c r="G116" s="117">
        <v>37.700000000000003</v>
      </c>
      <c r="H116" s="117">
        <v>27</v>
      </c>
      <c r="I116" s="117">
        <v>34</v>
      </c>
      <c r="J116" s="117">
        <v>37</v>
      </c>
      <c r="K116" s="117">
        <v>70</v>
      </c>
      <c r="L116" s="117">
        <v>70</v>
      </c>
      <c r="M116" s="117">
        <v>42.4</v>
      </c>
      <c r="N116" s="117">
        <v>42.4</v>
      </c>
      <c r="O116" s="117">
        <v>14.3</v>
      </c>
      <c r="P116" s="117">
        <v>7.5</v>
      </c>
      <c r="Q116" s="117">
        <v>17</v>
      </c>
      <c r="R116" s="117">
        <v>42.7</v>
      </c>
      <c r="S116" s="117">
        <v>25.3</v>
      </c>
      <c r="T116" s="117">
        <v>43.5</v>
      </c>
      <c r="U116" s="117">
        <v>42.7</v>
      </c>
      <c r="V116" s="117">
        <v>28.3</v>
      </c>
      <c r="W116" s="117">
        <v>28.6</v>
      </c>
      <c r="X116" s="117">
        <v>14.3</v>
      </c>
      <c r="Y116" s="117">
        <v>21.7</v>
      </c>
      <c r="Z116" s="117">
        <v>20.7</v>
      </c>
      <c r="AA116" s="117">
        <v>20.7</v>
      </c>
      <c r="AB116" s="117">
        <v>41.4</v>
      </c>
      <c r="AC116" s="117">
        <v>41.4</v>
      </c>
      <c r="AD116" s="117">
        <v>43.9</v>
      </c>
      <c r="AE116" s="117">
        <v>33.6</v>
      </c>
      <c r="AF116" s="117">
        <v>58.7</v>
      </c>
      <c r="AG116" s="118"/>
      <c r="AH116" s="47">
        <f t="shared" si="8"/>
        <v>70</v>
      </c>
      <c r="AI116" s="48">
        <f t="shared" si="9"/>
        <v>7.5</v>
      </c>
    </row>
    <row r="117" spans="1:37" x14ac:dyDescent="0.25">
      <c r="A117" s="116" t="s">
        <v>133</v>
      </c>
      <c r="B117" s="117">
        <v>29</v>
      </c>
      <c r="C117" s="117">
        <v>30</v>
      </c>
      <c r="D117" s="117">
        <v>23</v>
      </c>
      <c r="E117" s="117">
        <v>35</v>
      </c>
      <c r="F117" s="117">
        <v>24.4</v>
      </c>
      <c r="G117" s="117">
        <v>16.2</v>
      </c>
      <c r="H117" s="117">
        <v>8.9</v>
      </c>
      <c r="I117" s="117">
        <v>5.2</v>
      </c>
      <c r="J117" s="117">
        <v>6</v>
      </c>
      <c r="K117" s="117">
        <v>-5.2</v>
      </c>
      <c r="L117" s="117">
        <v>-5.2</v>
      </c>
      <c r="M117" s="117">
        <v>-15.8</v>
      </c>
      <c r="N117" s="117">
        <v>-15.8</v>
      </c>
      <c r="O117" s="117">
        <v>-17.2</v>
      </c>
      <c r="P117" s="117">
        <v>-13.9</v>
      </c>
      <c r="Q117" s="117">
        <v>9.4</v>
      </c>
      <c r="R117" s="117">
        <v>1.6</v>
      </c>
      <c r="S117" s="117">
        <v>6.5</v>
      </c>
      <c r="T117" s="117">
        <v>-14.8</v>
      </c>
      <c r="U117" s="117">
        <v>29</v>
      </c>
      <c r="V117" s="117">
        <v>45.5</v>
      </c>
      <c r="W117" s="117">
        <v>52.2</v>
      </c>
      <c r="X117" s="117">
        <v>31.6</v>
      </c>
      <c r="Y117" s="117">
        <v>36.200000000000003</v>
      </c>
      <c r="Z117" s="117">
        <v>31.1</v>
      </c>
      <c r="AA117" s="117">
        <v>31.1</v>
      </c>
      <c r="AB117" s="117">
        <v>28.1</v>
      </c>
      <c r="AC117" s="117">
        <v>28.1</v>
      </c>
      <c r="AD117" s="117">
        <v>23.3</v>
      </c>
      <c r="AE117" s="117">
        <v>34.4</v>
      </c>
      <c r="AF117" s="117">
        <v>32.4</v>
      </c>
      <c r="AG117" s="119"/>
      <c r="AH117" s="47">
        <f t="shared" si="8"/>
        <v>52.2</v>
      </c>
      <c r="AI117" s="48">
        <f t="shared" si="9"/>
        <v>-17.2</v>
      </c>
    </row>
    <row r="118" spans="1:37" x14ac:dyDescent="0.25">
      <c r="A118" s="120" t="s">
        <v>134</v>
      </c>
      <c r="B118" s="106">
        <v>41</v>
      </c>
      <c r="C118" s="106">
        <v>45</v>
      </c>
      <c r="D118" s="106">
        <v>47</v>
      </c>
      <c r="E118" s="106">
        <v>47.2</v>
      </c>
      <c r="F118" s="106">
        <v>48.1</v>
      </c>
      <c r="G118" s="106">
        <v>39.200000000000003</v>
      </c>
      <c r="H118" s="106">
        <v>47.8</v>
      </c>
      <c r="I118" s="106">
        <v>42.2</v>
      </c>
      <c r="J118" s="106">
        <v>43</v>
      </c>
      <c r="K118" s="106">
        <v>40.6</v>
      </c>
      <c r="L118" s="106">
        <v>40.6</v>
      </c>
      <c r="M118" s="106">
        <v>33.9</v>
      </c>
      <c r="N118" s="106">
        <v>33.9</v>
      </c>
      <c r="O118" s="106">
        <v>32.799999999999997</v>
      </c>
      <c r="P118" s="106">
        <v>30.5</v>
      </c>
      <c r="Q118" s="106">
        <v>31.3</v>
      </c>
      <c r="R118" s="106">
        <v>29</v>
      </c>
      <c r="S118" s="106">
        <v>34.6</v>
      </c>
      <c r="T118" s="106">
        <v>34.4</v>
      </c>
      <c r="U118" s="106">
        <v>33.1</v>
      </c>
      <c r="V118" s="106">
        <v>27.5</v>
      </c>
      <c r="W118" s="106">
        <v>28.8</v>
      </c>
      <c r="X118" s="106">
        <v>31.1</v>
      </c>
      <c r="Y118" s="106">
        <v>27.1</v>
      </c>
      <c r="Z118" s="106">
        <v>23.3</v>
      </c>
      <c r="AA118" s="106">
        <v>23.3</v>
      </c>
      <c r="AB118" s="106">
        <v>23.9</v>
      </c>
      <c r="AC118" s="106">
        <v>23.9</v>
      </c>
      <c r="AD118" s="106">
        <v>23.8</v>
      </c>
      <c r="AE118" s="106">
        <v>32.6</v>
      </c>
      <c r="AF118" s="106">
        <v>36.6</v>
      </c>
      <c r="AG118" s="119"/>
      <c r="AH118" s="47">
        <f t="shared" si="8"/>
        <v>48.1</v>
      </c>
      <c r="AI118" s="48">
        <f t="shared" si="9"/>
        <v>23.3</v>
      </c>
    </row>
    <row r="119" spans="1:37" x14ac:dyDescent="0.25">
      <c r="A119" s="121" t="s">
        <v>135</v>
      </c>
      <c r="B119" s="106">
        <v>82</v>
      </c>
      <c r="C119" s="106">
        <v>87</v>
      </c>
      <c r="D119" s="106">
        <v>92</v>
      </c>
      <c r="E119" s="106">
        <v>95</v>
      </c>
      <c r="F119" s="106">
        <v>95.2</v>
      </c>
      <c r="G119" s="106">
        <v>102</v>
      </c>
      <c r="H119" s="106">
        <v>93</v>
      </c>
      <c r="I119" s="106">
        <v>91.8</v>
      </c>
      <c r="J119" s="106">
        <v>93</v>
      </c>
      <c r="K119" s="106">
        <v>88</v>
      </c>
      <c r="L119" s="106">
        <v>88</v>
      </c>
      <c r="M119" s="106">
        <v>75.7</v>
      </c>
      <c r="N119" s="106">
        <v>75.7</v>
      </c>
      <c r="O119" s="106">
        <v>90.7</v>
      </c>
      <c r="P119" s="106">
        <v>92.4</v>
      </c>
      <c r="Q119" s="106">
        <v>88.2</v>
      </c>
      <c r="R119" s="106">
        <v>71</v>
      </c>
      <c r="S119" s="106">
        <v>79.900000000000006</v>
      </c>
      <c r="T119" s="106">
        <v>80.400000000000006</v>
      </c>
      <c r="U119" s="106">
        <v>74.2</v>
      </c>
      <c r="V119" s="106">
        <v>71.2</v>
      </c>
      <c r="W119" s="106">
        <v>68.3</v>
      </c>
      <c r="X119" s="106">
        <v>80.2</v>
      </c>
      <c r="Y119" s="106">
        <v>70</v>
      </c>
      <c r="Z119" s="106">
        <v>72.5</v>
      </c>
      <c r="AA119" s="106">
        <v>72.5</v>
      </c>
      <c r="AB119" s="106">
        <v>84.4</v>
      </c>
      <c r="AC119" s="106">
        <v>84.4</v>
      </c>
      <c r="AD119" s="106">
        <v>84.2</v>
      </c>
      <c r="AE119" s="106">
        <v>84.1</v>
      </c>
      <c r="AF119" s="106">
        <v>82.5</v>
      </c>
      <c r="AG119" s="119"/>
      <c r="AH119" s="47">
        <f t="shared" si="8"/>
        <v>102</v>
      </c>
      <c r="AI119" s="48">
        <f t="shared" si="9"/>
        <v>68.3</v>
      </c>
    </row>
    <row r="120" spans="1:37" ht="15.75" thickBot="1" x14ac:dyDescent="0.3">
      <c r="A120" s="120" t="s">
        <v>136</v>
      </c>
      <c r="B120" s="106">
        <v>39</v>
      </c>
      <c r="C120" s="106">
        <v>32</v>
      </c>
      <c r="D120" s="106">
        <v>35</v>
      </c>
      <c r="E120" s="106">
        <v>31.2</v>
      </c>
      <c r="F120" s="106">
        <v>14.5</v>
      </c>
      <c r="G120" s="106">
        <v>23.6</v>
      </c>
      <c r="H120" s="106">
        <v>-2.9</v>
      </c>
      <c r="I120" s="106">
        <v>14.5</v>
      </c>
      <c r="J120" s="106">
        <v>5</v>
      </c>
      <c r="K120" s="106">
        <v>3.1</v>
      </c>
      <c r="L120" s="106">
        <v>3.1</v>
      </c>
      <c r="M120" s="106">
        <v>41.8</v>
      </c>
      <c r="N120" s="106">
        <v>41.8</v>
      </c>
      <c r="O120" s="106">
        <v>21</v>
      </c>
      <c r="P120" s="106">
        <v>29.2</v>
      </c>
      <c r="Q120" s="106">
        <v>30.6</v>
      </c>
      <c r="R120" s="106">
        <v>21.2</v>
      </c>
      <c r="S120" s="106">
        <v>51.2</v>
      </c>
      <c r="T120" s="106">
        <v>29.5</v>
      </c>
      <c r="U120" s="106">
        <v>24.3</v>
      </c>
      <c r="V120" s="106">
        <v>24.5</v>
      </c>
      <c r="W120" s="106">
        <v>22.5</v>
      </c>
      <c r="X120" s="106">
        <v>25.5</v>
      </c>
      <c r="Y120" s="106">
        <v>28.6</v>
      </c>
      <c r="Z120" s="106">
        <v>42.4</v>
      </c>
      <c r="AA120" s="106">
        <v>42.4</v>
      </c>
      <c r="AB120" s="106">
        <v>58.2</v>
      </c>
      <c r="AC120" s="106">
        <v>58.2</v>
      </c>
      <c r="AD120" s="106">
        <v>52.7</v>
      </c>
      <c r="AE120" s="106">
        <v>55.6</v>
      </c>
      <c r="AF120" s="106">
        <v>50.5</v>
      </c>
      <c r="AG120" s="119"/>
      <c r="AH120" s="47">
        <f t="shared" si="8"/>
        <v>58.2</v>
      </c>
      <c r="AI120" s="48">
        <f t="shared" si="9"/>
        <v>-2.9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18">SUM(B122:B226)</f>
        <v>0</v>
      </c>
      <c r="C227" s="137">
        <f t="shared" si="18"/>
        <v>0</v>
      </c>
      <c r="D227" s="137">
        <f t="shared" si="18"/>
        <v>0</v>
      </c>
      <c r="E227" s="137">
        <f t="shared" si="18"/>
        <v>0</v>
      </c>
      <c r="F227" s="137">
        <f t="shared" si="18"/>
        <v>0</v>
      </c>
      <c r="G227" s="137">
        <f t="shared" si="18"/>
        <v>0</v>
      </c>
      <c r="H227" s="137">
        <f t="shared" si="18"/>
        <v>0</v>
      </c>
      <c r="I227" s="137">
        <f t="shared" si="18"/>
        <v>0</v>
      </c>
      <c r="J227" s="137">
        <f t="shared" si="18"/>
        <v>0</v>
      </c>
      <c r="K227" s="137">
        <f t="shared" si="18"/>
        <v>0</v>
      </c>
      <c r="L227" s="137">
        <f t="shared" si="18"/>
        <v>0</v>
      </c>
      <c r="M227" s="137">
        <f t="shared" si="18"/>
        <v>0</v>
      </c>
      <c r="N227" s="137">
        <f t="shared" si="18"/>
        <v>0</v>
      </c>
      <c r="O227" s="137">
        <f t="shared" si="18"/>
        <v>0</v>
      </c>
      <c r="P227" s="137">
        <f t="shared" si="18"/>
        <v>0</v>
      </c>
      <c r="Q227" s="137">
        <f t="shared" si="18"/>
        <v>0</v>
      </c>
      <c r="R227" s="137">
        <f t="shared" si="18"/>
        <v>0</v>
      </c>
      <c r="S227" s="137">
        <f t="shared" si="18"/>
        <v>0</v>
      </c>
      <c r="T227" s="137">
        <f t="shared" si="18"/>
        <v>0</v>
      </c>
      <c r="U227" s="137">
        <f t="shared" si="18"/>
        <v>0</v>
      </c>
      <c r="V227" s="137">
        <f t="shared" si="18"/>
        <v>0</v>
      </c>
      <c r="W227" s="137">
        <f t="shared" si="18"/>
        <v>0</v>
      </c>
      <c r="X227" s="137">
        <f t="shared" si="18"/>
        <v>0</v>
      </c>
      <c r="Y227" s="137">
        <f t="shared" si="18"/>
        <v>0</v>
      </c>
      <c r="Z227" s="137">
        <f t="shared" si="18"/>
        <v>0</v>
      </c>
      <c r="AA227" s="137">
        <f t="shared" si="18"/>
        <v>0</v>
      </c>
      <c r="AB227" s="137">
        <f t="shared" si="18"/>
        <v>0</v>
      </c>
      <c r="AC227" s="137">
        <f t="shared" si="18"/>
        <v>0</v>
      </c>
      <c r="AD227" s="137">
        <f t="shared" si="18"/>
        <v>0</v>
      </c>
      <c r="AE227" s="137">
        <f t="shared" si="18"/>
        <v>0</v>
      </c>
      <c r="AF227" s="138">
        <f t="shared" si="18"/>
        <v>0</v>
      </c>
      <c r="AG227" s="139">
        <f t="shared" si="18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19">AF229</f>
        <v>0</v>
      </c>
      <c r="C229" s="141">
        <v>0.3</v>
      </c>
      <c r="D229" s="141">
        <f t="shared" ref="D229:P234" si="20">C229</f>
        <v>0.3</v>
      </c>
      <c r="E229" s="141">
        <f t="shared" si="20"/>
        <v>0.3</v>
      </c>
      <c r="F229" s="141">
        <f t="shared" si="20"/>
        <v>0.3</v>
      </c>
      <c r="G229" s="141">
        <f t="shared" si="20"/>
        <v>0.3</v>
      </c>
      <c r="H229" s="141">
        <f t="shared" si="20"/>
        <v>0.3</v>
      </c>
      <c r="I229" s="141">
        <f t="shared" si="20"/>
        <v>0.3</v>
      </c>
      <c r="J229" s="141">
        <f t="shared" si="20"/>
        <v>0.3</v>
      </c>
      <c r="K229" s="141">
        <f t="shared" si="20"/>
        <v>0.3</v>
      </c>
      <c r="L229" s="141">
        <f t="shared" si="20"/>
        <v>0.3</v>
      </c>
      <c r="M229" s="141">
        <f t="shared" si="20"/>
        <v>0.3</v>
      </c>
      <c r="N229" s="141">
        <f t="shared" si="20"/>
        <v>0.3</v>
      </c>
      <c r="O229" s="141">
        <f t="shared" si="20"/>
        <v>0.3</v>
      </c>
      <c r="P229" s="141">
        <f t="shared" si="20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19"/>
        <v>0</v>
      </c>
      <c r="C230" s="129">
        <v>0.4</v>
      </c>
      <c r="D230" s="129">
        <f t="shared" si="20"/>
        <v>0.4</v>
      </c>
      <c r="E230" s="129">
        <f t="shared" si="20"/>
        <v>0.4</v>
      </c>
      <c r="F230" s="129">
        <f t="shared" si="20"/>
        <v>0.4</v>
      </c>
      <c r="G230" s="129">
        <f t="shared" si="20"/>
        <v>0.4</v>
      </c>
      <c r="H230" s="129">
        <f t="shared" si="20"/>
        <v>0.4</v>
      </c>
      <c r="I230" s="129">
        <f t="shared" si="20"/>
        <v>0.4</v>
      </c>
      <c r="J230" s="129">
        <f t="shared" si="20"/>
        <v>0.4</v>
      </c>
      <c r="K230" s="129">
        <f t="shared" si="20"/>
        <v>0.4</v>
      </c>
      <c r="L230" s="129">
        <f t="shared" si="20"/>
        <v>0.4</v>
      </c>
      <c r="M230" s="129">
        <f t="shared" si="20"/>
        <v>0.4</v>
      </c>
      <c r="N230" s="129">
        <f t="shared" si="20"/>
        <v>0.4</v>
      </c>
      <c r="O230" s="129">
        <f t="shared" si="20"/>
        <v>0.4</v>
      </c>
      <c r="P230" s="129">
        <f t="shared" si="20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19"/>
        <v>0</v>
      </c>
      <c r="C231" s="129">
        <v>1.5</v>
      </c>
      <c r="D231" s="129">
        <f t="shared" si="20"/>
        <v>1.5</v>
      </c>
      <c r="E231" s="129">
        <f t="shared" si="20"/>
        <v>1.5</v>
      </c>
      <c r="F231" s="129">
        <f t="shared" si="20"/>
        <v>1.5</v>
      </c>
      <c r="G231" s="129">
        <f t="shared" si="20"/>
        <v>1.5</v>
      </c>
      <c r="H231" s="129">
        <f t="shared" si="20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20"/>
        <v>123.21900000000009</v>
      </c>
      <c r="K231" s="129">
        <f t="shared" ca="1" si="20"/>
        <v>123.21900000000009</v>
      </c>
      <c r="L231" s="129">
        <f t="shared" ca="1" si="20"/>
        <v>123.21900000000009</v>
      </c>
      <c r="M231" s="129">
        <f t="shared" ca="1" si="20"/>
        <v>119.19900000000008</v>
      </c>
      <c r="N231" s="129">
        <f t="shared" ca="1" si="20"/>
        <v>119.19900000000008</v>
      </c>
      <c r="O231" s="129">
        <f t="shared" ca="1" si="20"/>
        <v>119.19900000000008</v>
      </c>
      <c r="P231" s="129">
        <f t="shared" ca="1" si="20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19"/>
        <v>0</v>
      </c>
      <c r="C232" s="129">
        <v>0.3</v>
      </c>
      <c r="D232" s="129">
        <f t="shared" si="20"/>
        <v>0.3</v>
      </c>
      <c r="E232" s="129">
        <f t="shared" si="20"/>
        <v>0.3</v>
      </c>
      <c r="F232" s="129">
        <f t="shared" si="20"/>
        <v>0.3</v>
      </c>
      <c r="G232" s="129">
        <f t="shared" si="20"/>
        <v>0.3</v>
      </c>
      <c r="H232" s="129">
        <f t="shared" si="20"/>
        <v>0.3</v>
      </c>
      <c r="I232" s="129">
        <f t="shared" si="20"/>
        <v>0.3</v>
      </c>
      <c r="J232" s="129">
        <f t="shared" si="20"/>
        <v>0.3</v>
      </c>
      <c r="K232" s="129">
        <f t="shared" si="20"/>
        <v>0.3</v>
      </c>
      <c r="L232" s="129">
        <f t="shared" si="20"/>
        <v>0.3</v>
      </c>
      <c r="M232" s="129">
        <f t="shared" si="20"/>
        <v>0.3</v>
      </c>
      <c r="N232" s="129">
        <f t="shared" si="20"/>
        <v>0.3</v>
      </c>
      <c r="O232" s="129">
        <f t="shared" si="20"/>
        <v>0.3</v>
      </c>
      <c r="P232" s="129">
        <f t="shared" si="20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19"/>
        <v>0</v>
      </c>
      <c r="C233" s="129">
        <v>0.4</v>
      </c>
      <c r="D233" s="129">
        <f t="shared" si="20"/>
        <v>0.4</v>
      </c>
      <c r="E233" s="129">
        <f t="shared" si="20"/>
        <v>0.4</v>
      </c>
      <c r="F233" s="129">
        <f t="shared" si="20"/>
        <v>0.4</v>
      </c>
      <c r="G233" s="129">
        <f t="shared" si="20"/>
        <v>0.4</v>
      </c>
      <c r="H233" s="129">
        <f t="shared" si="20"/>
        <v>0.4</v>
      </c>
      <c r="I233" s="129">
        <f t="shared" si="20"/>
        <v>0.4</v>
      </c>
      <c r="J233" s="129">
        <f t="shared" si="20"/>
        <v>0.4</v>
      </c>
      <c r="K233" s="129">
        <f t="shared" si="20"/>
        <v>0.4</v>
      </c>
      <c r="L233" s="129">
        <f t="shared" si="20"/>
        <v>0.4</v>
      </c>
      <c r="M233" s="129">
        <f t="shared" si="20"/>
        <v>0.4</v>
      </c>
      <c r="N233" s="129">
        <f t="shared" si="20"/>
        <v>0.4</v>
      </c>
      <c r="O233" s="129">
        <f t="shared" si="20"/>
        <v>0.4</v>
      </c>
      <c r="P233" s="129">
        <f t="shared" si="20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19"/>
        <v>0</v>
      </c>
      <c r="C234" s="133">
        <v>0.64</v>
      </c>
      <c r="D234" s="133">
        <f t="shared" si="20"/>
        <v>0.64</v>
      </c>
      <c r="E234" s="133">
        <f t="shared" si="20"/>
        <v>0.64</v>
      </c>
      <c r="F234" s="133">
        <f t="shared" si="20"/>
        <v>0.64</v>
      </c>
      <c r="G234" s="133">
        <f t="shared" si="20"/>
        <v>0.64</v>
      </c>
      <c r="H234" s="133">
        <f t="shared" si="20"/>
        <v>0.64</v>
      </c>
      <c r="I234" s="133">
        <f t="shared" si="20"/>
        <v>0.64</v>
      </c>
      <c r="J234" s="133">
        <f t="shared" si="20"/>
        <v>0.64</v>
      </c>
      <c r="K234" s="133">
        <f t="shared" si="20"/>
        <v>0.64</v>
      </c>
      <c r="L234" s="133">
        <f t="shared" si="20"/>
        <v>0.64</v>
      </c>
      <c r="M234" s="133">
        <f t="shared" si="20"/>
        <v>0.64</v>
      </c>
      <c r="N234" s="133">
        <f t="shared" si="20"/>
        <v>0.64</v>
      </c>
      <c r="O234" s="133">
        <f t="shared" si="20"/>
        <v>0.64</v>
      </c>
      <c r="P234" s="133">
        <f t="shared" si="20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1">SUM(B229:B234)</f>
        <v>0</v>
      </c>
      <c r="C235" s="137">
        <f t="shared" si="21"/>
        <v>3.54</v>
      </c>
      <c r="D235" s="137">
        <f t="shared" si="21"/>
        <v>3.54</v>
      </c>
      <c r="E235" s="137">
        <f t="shared" si="21"/>
        <v>3.54</v>
      </c>
      <c r="F235" s="137">
        <f t="shared" si="21"/>
        <v>3.54</v>
      </c>
      <c r="G235" s="137">
        <f t="shared" si="21"/>
        <v>3.54</v>
      </c>
      <c r="H235" s="137">
        <f t="shared" si="21"/>
        <v>3.54</v>
      </c>
      <c r="I235" s="137">
        <f t="shared" ca="1" si="21"/>
        <v>121.23900000000009</v>
      </c>
      <c r="J235" s="137">
        <f t="shared" ca="1" si="21"/>
        <v>121.23900000000009</v>
      </c>
      <c r="K235" s="137">
        <f t="shared" ca="1" si="21"/>
        <v>121.23900000000009</v>
      </c>
      <c r="L235" s="137">
        <f t="shared" ca="1" si="21"/>
        <v>125.2590000000001</v>
      </c>
      <c r="M235" s="137">
        <f t="shared" ca="1" si="21"/>
        <v>121.23900000000009</v>
      </c>
      <c r="N235" s="137">
        <f t="shared" ca="1" si="21"/>
        <v>121.23900000000009</v>
      </c>
      <c r="O235" s="137">
        <f t="shared" ca="1" si="21"/>
        <v>121.23900000000009</v>
      </c>
      <c r="P235" s="137">
        <f t="shared" ca="1" si="21"/>
        <v>121.23900000000009</v>
      </c>
      <c r="Q235" s="137">
        <f t="shared" si="21"/>
        <v>0</v>
      </c>
      <c r="R235" s="137">
        <f t="shared" si="21"/>
        <v>0</v>
      </c>
      <c r="S235" s="137">
        <f t="shared" si="21"/>
        <v>0</v>
      </c>
      <c r="T235" s="137">
        <f t="shared" si="21"/>
        <v>0</v>
      </c>
      <c r="U235" s="137">
        <f t="shared" si="21"/>
        <v>0</v>
      </c>
      <c r="V235" s="137">
        <f t="shared" si="21"/>
        <v>0</v>
      </c>
      <c r="W235" s="137">
        <f t="shared" si="21"/>
        <v>0</v>
      </c>
      <c r="X235" s="137">
        <f t="shared" si="21"/>
        <v>0</v>
      </c>
      <c r="Y235" s="137">
        <f t="shared" si="21"/>
        <v>0</v>
      </c>
      <c r="Z235" s="137">
        <f t="shared" si="21"/>
        <v>0</v>
      </c>
      <c r="AA235" s="137">
        <f t="shared" si="21"/>
        <v>0</v>
      </c>
      <c r="AB235" s="137">
        <f t="shared" si="21"/>
        <v>0</v>
      </c>
      <c r="AC235" s="137">
        <f t="shared" si="21"/>
        <v>0</v>
      </c>
      <c r="AD235" s="137">
        <f t="shared" si="21"/>
        <v>0</v>
      </c>
      <c r="AE235" s="137">
        <f t="shared" si="21"/>
        <v>0</v>
      </c>
      <c r="AF235" s="137">
        <f t="shared" si="21"/>
        <v>0</v>
      </c>
      <c r="AG235" s="146">
        <f t="shared" si="21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1812.0500000000002</v>
      </c>
      <c r="C244" s="162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16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2080/03/16)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2080/03/16)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2">B91</f>
        <v>1826.3500000000001</v>
      </c>
      <c r="U249" s="171">
        <f t="shared" si="22"/>
        <v>1800.55</v>
      </c>
      <c r="V249" s="171">
        <f t="shared" si="22"/>
        <v>1812.85</v>
      </c>
      <c r="W249" s="171">
        <f t="shared" si="22"/>
        <v>1704.45</v>
      </c>
      <c r="X249" s="171">
        <f t="shared" si="22"/>
        <v>1757.75</v>
      </c>
      <c r="Y249" s="171">
        <f t="shared" si="22"/>
        <v>1747.75</v>
      </c>
      <c r="Z249" s="171">
        <f t="shared" si="22"/>
        <v>1762.8500000000001</v>
      </c>
      <c r="AA249" s="171">
        <f t="shared" si="22"/>
        <v>1773.0500000000002</v>
      </c>
      <c r="AB249" s="171">
        <f t="shared" si="22"/>
        <v>1772.0500000000002</v>
      </c>
      <c r="AC249" s="171">
        <f t="shared" si="22"/>
        <v>1786.3500000000001</v>
      </c>
      <c r="AD249" s="171">
        <f t="shared" si="22"/>
        <v>1809.3500000000001</v>
      </c>
      <c r="AE249" s="171">
        <f t="shared" si="22"/>
        <v>1807.0500000000002</v>
      </c>
      <c r="AF249" s="171">
        <f t="shared" si="22"/>
        <v>1812.0500000000002</v>
      </c>
      <c r="AG249" s="171">
        <f t="shared" si="22"/>
        <v>1835.1500000000003</v>
      </c>
      <c r="AH249" s="171">
        <f t="shared" si="22"/>
        <v>1845.5500000000002</v>
      </c>
      <c r="AI249" s="171">
        <f t="shared" si="22"/>
        <v>1826.8500000000001</v>
      </c>
      <c r="AJ249" s="171">
        <f t="shared" si="22"/>
        <v>1788.8500000000001</v>
      </c>
      <c r="AK249" s="171">
        <f t="shared" si="22"/>
        <v>1794.05</v>
      </c>
      <c r="AL249" s="171">
        <f t="shared" si="22"/>
        <v>1753.5500000000002</v>
      </c>
      <c r="AM249" s="171">
        <f t="shared" si="22"/>
        <v>1760.4500000000003</v>
      </c>
      <c r="AN249" s="171">
        <f t="shared" si="22"/>
        <v>1737.6500000000003</v>
      </c>
      <c r="AO249" s="171">
        <f t="shared" si="22"/>
        <v>1753.8500000000001</v>
      </c>
      <c r="AP249" s="171">
        <f t="shared" si="22"/>
        <v>1797.3500000000001</v>
      </c>
      <c r="AQ249" s="171">
        <f t="shared" si="22"/>
        <v>1805.55</v>
      </c>
      <c r="AR249" s="171">
        <f t="shared" si="22"/>
        <v>1865.15</v>
      </c>
      <c r="AS249" s="171">
        <f t="shared" si="22"/>
        <v>1865.15</v>
      </c>
      <c r="AT249" s="171">
        <f t="shared" si="22"/>
        <v>1926.4500000000003</v>
      </c>
      <c r="AU249" s="171">
        <f t="shared" si="22"/>
        <v>1926.4500000000003</v>
      </c>
      <c r="AV249" s="171">
        <f t="shared" si="22"/>
        <v>1913.85</v>
      </c>
      <c r="AW249" s="171">
        <f t="shared" si="22"/>
        <v>1837.95</v>
      </c>
      <c r="AX249" s="171">
        <f t="shared" si="22"/>
        <v>1835.25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23">C234</f>
        <v>0.64</v>
      </c>
      <c r="C270" s="174">
        <f t="shared" si="23"/>
        <v>0.64</v>
      </c>
      <c r="D270" s="174">
        <f t="shared" si="23"/>
        <v>0.64</v>
      </c>
      <c r="E270" s="174">
        <f t="shared" si="23"/>
        <v>0.64</v>
      </c>
      <c r="F270" s="174">
        <f t="shared" si="23"/>
        <v>0.64</v>
      </c>
      <c r="G270" s="174">
        <f t="shared" si="23"/>
        <v>0.64</v>
      </c>
      <c r="H270" s="174">
        <f t="shared" si="23"/>
        <v>0.64</v>
      </c>
      <c r="I270" s="174">
        <f t="shared" si="23"/>
        <v>0.64</v>
      </c>
      <c r="J270" s="174">
        <f t="shared" si="23"/>
        <v>0.64</v>
      </c>
      <c r="K270" s="174">
        <f t="shared" si="23"/>
        <v>0.64</v>
      </c>
      <c r="L270" s="174">
        <f t="shared" si="23"/>
        <v>0.64</v>
      </c>
      <c r="M270" s="174">
        <f t="shared" si="23"/>
        <v>0.64</v>
      </c>
      <c r="N270" s="174">
        <f t="shared" si="23"/>
        <v>0.64</v>
      </c>
      <c r="O270" s="174">
        <f t="shared" si="23"/>
        <v>0.64</v>
      </c>
      <c r="P270" s="174">
        <f t="shared" si="23"/>
        <v>0</v>
      </c>
      <c r="Q270" s="174">
        <f t="shared" si="23"/>
        <v>0</v>
      </c>
      <c r="R270" s="174">
        <f t="shared" si="23"/>
        <v>0</v>
      </c>
      <c r="S270" s="174">
        <f t="shared" si="23"/>
        <v>0</v>
      </c>
      <c r="T270" s="174">
        <f t="shared" si="23"/>
        <v>0</v>
      </c>
      <c r="U270" s="174">
        <f t="shared" si="23"/>
        <v>0</v>
      </c>
      <c r="V270" s="174">
        <f t="shared" si="23"/>
        <v>0</v>
      </c>
      <c r="W270" s="174">
        <f t="shared" si="23"/>
        <v>0</v>
      </c>
      <c r="X270" s="174">
        <f t="shared" si="23"/>
        <v>0</v>
      </c>
      <c r="Y270" s="174">
        <f t="shared" si="23"/>
        <v>0</v>
      </c>
      <c r="Z270" s="174">
        <f t="shared" si="23"/>
        <v>0</v>
      </c>
      <c r="AA270" s="174">
        <f t="shared" si="23"/>
        <v>0</v>
      </c>
      <c r="AB270" s="174">
        <f t="shared" si="23"/>
        <v>0</v>
      </c>
      <c r="AC270" s="174">
        <f t="shared" si="23"/>
        <v>0</v>
      </c>
      <c r="AD270" s="174">
        <f t="shared" si="23"/>
        <v>0</v>
      </c>
      <c r="AE270" s="174">
        <f t="shared" si="23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24">IF(B238&lt;100,"",B238-520)</f>
        <v/>
      </c>
      <c r="C271" s="175" t="str">
        <f t="shared" si="24"/>
        <v/>
      </c>
      <c r="D271" s="175" t="str">
        <f t="shared" si="24"/>
        <v/>
      </c>
      <c r="E271" s="175" t="str">
        <f t="shared" si="24"/>
        <v/>
      </c>
      <c r="F271" s="175" t="str">
        <f t="shared" si="24"/>
        <v/>
      </c>
      <c r="G271" s="175" t="str">
        <f t="shared" si="24"/>
        <v/>
      </c>
      <c r="H271" s="175" t="str">
        <f t="shared" si="24"/>
        <v/>
      </c>
      <c r="I271" s="175" t="str">
        <f t="shared" si="24"/>
        <v/>
      </c>
      <c r="J271" s="175" t="str">
        <f t="shared" si="24"/>
        <v/>
      </c>
      <c r="K271" s="175" t="str">
        <f t="shared" si="24"/>
        <v/>
      </c>
      <c r="L271" s="175" t="str">
        <f t="shared" si="24"/>
        <v/>
      </c>
      <c r="M271" s="175" t="str">
        <f t="shared" si="24"/>
        <v/>
      </c>
      <c r="N271" s="175" t="str">
        <f t="shared" si="24"/>
        <v/>
      </c>
      <c r="O271" s="175" t="str">
        <f t="shared" si="24"/>
        <v/>
      </c>
      <c r="P271" s="175" t="str">
        <f t="shared" si="24"/>
        <v/>
      </c>
      <c r="Q271" s="175" t="str">
        <f t="shared" si="24"/>
        <v/>
      </c>
      <c r="R271" s="175" t="str">
        <f t="shared" si="24"/>
        <v/>
      </c>
      <c r="S271" s="175" t="str">
        <f t="shared" si="24"/>
        <v/>
      </c>
      <c r="T271" s="175" t="str">
        <f t="shared" si="24"/>
        <v/>
      </c>
      <c r="U271" s="175" t="str">
        <f t="shared" si="24"/>
        <v/>
      </c>
      <c r="V271" s="175" t="str">
        <f t="shared" si="24"/>
        <v/>
      </c>
      <c r="W271" s="175" t="str">
        <f t="shared" si="24"/>
        <v/>
      </c>
      <c r="X271" s="175" t="str">
        <f t="shared" si="24"/>
        <v/>
      </c>
      <c r="Y271" s="175" t="str">
        <f t="shared" si="24"/>
        <v/>
      </c>
      <c r="Z271" s="175" t="str">
        <f t="shared" si="24"/>
        <v/>
      </c>
      <c r="AA271" s="175" t="str">
        <f t="shared" si="24"/>
        <v/>
      </c>
      <c r="AB271" s="175" t="str">
        <f t="shared" si="24"/>
        <v/>
      </c>
      <c r="AC271" s="175" t="str">
        <f t="shared" si="24"/>
        <v/>
      </c>
      <c r="AD271" s="175" t="str">
        <f t="shared" si="24"/>
        <v/>
      </c>
      <c r="AE271" s="175" t="str">
        <f t="shared" si="24"/>
        <v/>
      </c>
      <c r="AF271" s="175" t="str">
        <f t="shared" si="24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25">IF(B239&lt;100,"",B239-620)</f>
        <v/>
      </c>
      <c r="C272" s="175" t="str">
        <f t="shared" si="25"/>
        <v/>
      </c>
      <c r="D272" s="175" t="str">
        <f t="shared" si="25"/>
        <v/>
      </c>
      <c r="E272" s="175" t="str">
        <f t="shared" si="25"/>
        <v/>
      </c>
      <c r="F272" s="175" t="str">
        <f t="shared" si="25"/>
        <v/>
      </c>
      <c r="G272" s="175" t="str">
        <f t="shared" si="25"/>
        <v/>
      </c>
      <c r="H272" s="175" t="str">
        <f t="shared" si="25"/>
        <v/>
      </c>
      <c r="I272" s="175" t="str">
        <f t="shared" si="25"/>
        <v/>
      </c>
      <c r="J272" s="175" t="str">
        <f t="shared" si="25"/>
        <v/>
      </c>
      <c r="K272" s="175" t="str">
        <f t="shared" si="25"/>
        <v/>
      </c>
      <c r="L272" s="175" t="str">
        <f t="shared" si="25"/>
        <v/>
      </c>
      <c r="M272" s="175" t="str">
        <f t="shared" si="25"/>
        <v/>
      </c>
      <c r="N272" s="175" t="str">
        <f t="shared" si="25"/>
        <v/>
      </c>
      <c r="O272" s="175" t="str">
        <f t="shared" si="25"/>
        <v/>
      </c>
      <c r="P272" s="175" t="str">
        <f t="shared" si="25"/>
        <v/>
      </c>
      <c r="Q272" s="175" t="str">
        <f t="shared" si="25"/>
        <v/>
      </c>
      <c r="R272" s="175" t="str">
        <f t="shared" si="25"/>
        <v/>
      </c>
      <c r="S272" s="175" t="str">
        <f t="shared" si="25"/>
        <v/>
      </c>
      <c r="T272" s="175" t="str">
        <f t="shared" si="25"/>
        <v/>
      </c>
      <c r="U272" s="175" t="str">
        <f t="shared" si="25"/>
        <v/>
      </c>
      <c r="V272" s="175" t="str">
        <f t="shared" si="25"/>
        <v/>
      </c>
      <c r="W272" s="175" t="str">
        <f t="shared" si="25"/>
        <v/>
      </c>
      <c r="X272" s="175" t="str">
        <f t="shared" si="25"/>
        <v/>
      </c>
      <c r="Y272" s="175" t="str">
        <f t="shared" si="25"/>
        <v/>
      </c>
      <c r="Z272" s="175" t="str">
        <f t="shared" si="25"/>
        <v/>
      </c>
      <c r="AA272" s="175" t="str">
        <f t="shared" si="25"/>
        <v/>
      </c>
      <c r="AB272" s="175" t="str">
        <f t="shared" si="25"/>
        <v/>
      </c>
      <c r="AC272" s="175" t="str">
        <f t="shared" si="25"/>
        <v/>
      </c>
      <c r="AD272" s="175" t="str">
        <f t="shared" si="25"/>
        <v/>
      </c>
      <c r="AE272" s="175" t="str">
        <f t="shared" si="25"/>
        <v/>
      </c>
      <c r="AF272" s="175" t="str">
        <f t="shared" si="25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26">IF(B240&lt;100,"",B240-330)</f>
        <v/>
      </c>
      <c r="C273" s="175" t="str">
        <f t="shared" si="26"/>
        <v/>
      </c>
      <c r="D273" s="175" t="str">
        <f t="shared" si="26"/>
        <v/>
      </c>
      <c r="E273" s="175" t="str">
        <f t="shared" si="26"/>
        <v/>
      </c>
      <c r="F273" s="175" t="str">
        <f t="shared" si="26"/>
        <v/>
      </c>
      <c r="G273" s="175" t="str">
        <f t="shared" si="26"/>
        <v/>
      </c>
      <c r="H273" s="175" t="str">
        <f t="shared" si="26"/>
        <v/>
      </c>
      <c r="I273" s="175" t="str">
        <f t="shared" si="26"/>
        <v/>
      </c>
      <c r="J273" s="175" t="str">
        <f t="shared" si="26"/>
        <v/>
      </c>
      <c r="K273" s="175" t="str">
        <f t="shared" si="26"/>
        <v/>
      </c>
      <c r="L273" s="175" t="str">
        <f t="shared" si="26"/>
        <v/>
      </c>
      <c r="M273" s="175" t="str">
        <f t="shared" si="26"/>
        <v/>
      </c>
      <c r="N273" s="175" t="str">
        <f t="shared" si="26"/>
        <v/>
      </c>
      <c r="O273" s="175" t="str">
        <f t="shared" si="26"/>
        <v/>
      </c>
      <c r="P273" s="175" t="str">
        <f t="shared" si="26"/>
        <v/>
      </c>
      <c r="Q273" s="175" t="str">
        <f t="shared" si="26"/>
        <v/>
      </c>
      <c r="R273" s="175" t="str">
        <f t="shared" si="26"/>
        <v/>
      </c>
      <c r="S273" s="175" t="str">
        <f t="shared" si="26"/>
        <v/>
      </c>
      <c r="T273" s="175" t="str">
        <f t="shared" si="26"/>
        <v/>
      </c>
      <c r="U273" s="175" t="str">
        <f t="shared" si="26"/>
        <v/>
      </c>
      <c r="V273" s="175" t="str">
        <f t="shared" si="26"/>
        <v/>
      </c>
      <c r="W273" s="175" t="str">
        <f t="shared" si="26"/>
        <v/>
      </c>
      <c r="X273" s="175" t="str">
        <f t="shared" si="26"/>
        <v/>
      </c>
      <c r="Y273" s="175" t="str">
        <f t="shared" si="26"/>
        <v/>
      </c>
      <c r="Z273" s="175" t="str">
        <f t="shared" si="26"/>
        <v/>
      </c>
      <c r="AA273" s="175" t="str">
        <f t="shared" si="26"/>
        <v/>
      </c>
      <c r="AB273" s="175" t="str">
        <f t="shared" si="26"/>
        <v/>
      </c>
      <c r="AC273" s="175" t="str">
        <f t="shared" si="26"/>
        <v/>
      </c>
      <c r="AD273" s="175" t="str">
        <f t="shared" si="26"/>
        <v/>
      </c>
      <c r="AE273" s="175" t="str">
        <f t="shared" si="26"/>
        <v/>
      </c>
      <c r="AF273" s="175" t="str">
        <f t="shared" si="26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27">IF(B241&lt;100,"",B241-1500)</f>
        <v/>
      </c>
      <c r="C274" s="175" t="str">
        <f t="shared" si="27"/>
        <v/>
      </c>
      <c r="D274" s="175" t="str">
        <f t="shared" si="27"/>
        <v/>
      </c>
      <c r="E274" s="175" t="str">
        <f t="shared" si="27"/>
        <v/>
      </c>
      <c r="F274" s="175" t="str">
        <f t="shared" si="27"/>
        <v/>
      </c>
      <c r="G274" s="175" t="str">
        <f t="shared" si="27"/>
        <v/>
      </c>
      <c r="H274" s="175" t="str">
        <f t="shared" si="27"/>
        <v/>
      </c>
      <c r="I274" s="175" t="str">
        <f t="shared" si="27"/>
        <v/>
      </c>
      <c r="J274" s="175" t="str">
        <f t="shared" si="27"/>
        <v/>
      </c>
      <c r="K274" s="175" t="str">
        <f t="shared" si="27"/>
        <v/>
      </c>
      <c r="L274" s="175" t="str">
        <f t="shared" si="27"/>
        <v/>
      </c>
      <c r="M274" s="175" t="str">
        <f t="shared" si="27"/>
        <v/>
      </c>
      <c r="N274" s="175" t="str">
        <f t="shared" si="27"/>
        <v/>
      </c>
      <c r="O274" s="175" t="str">
        <f t="shared" si="27"/>
        <v/>
      </c>
      <c r="P274" s="175" t="str">
        <f t="shared" si="27"/>
        <v/>
      </c>
      <c r="Q274" s="175" t="str">
        <f t="shared" si="27"/>
        <v/>
      </c>
      <c r="R274" s="175" t="str">
        <f t="shared" si="27"/>
        <v/>
      </c>
      <c r="S274" s="175" t="str">
        <f t="shared" si="27"/>
        <v/>
      </c>
      <c r="T274" s="175" t="str">
        <f t="shared" si="27"/>
        <v/>
      </c>
      <c r="U274" s="175" t="str">
        <f t="shared" si="27"/>
        <v/>
      </c>
      <c r="V274" s="175" t="str">
        <f t="shared" si="27"/>
        <v/>
      </c>
      <c r="W274" s="175" t="str">
        <f t="shared" si="27"/>
        <v/>
      </c>
      <c r="X274" s="175" t="str">
        <f t="shared" si="27"/>
        <v/>
      </c>
      <c r="Y274" s="175" t="str">
        <f t="shared" si="27"/>
        <v/>
      </c>
      <c r="Z274" s="175" t="str">
        <f t="shared" si="27"/>
        <v/>
      </c>
      <c r="AA274" s="175" t="str">
        <f t="shared" si="27"/>
        <v/>
      </c>
      <c r="AB274" s="175" t="str">
        <f t="shared" si="27"/>
        <v/>
      </c>
      <c r="AC274" s="175" t="str">
        <f t="shared" si="27"/>
        <v/>
      </c>
      <c r="AD274" s="175" t="str">
        <f t="shared" si="27"/>
        <v/>
      </c>
      <c r="AE274" s="175" t="str">
        <f t="shared" si="27"/>
        <v/>
      </c>
      <c r="AF274" s="175" t="str">
        <f t="shared" si="27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1035" priority="156">
      <formula>$AH11=0</formula>
    </cfRule>
  </conditionalFormatting>
  <conditionalFormatting sqref="B8 M8 S8 AB8">
    <cfRule type="expression" dxfId="1034" priority="408">
      <formula>AND(C$9&gt;=14/24,C$9&lt;20/24)</formula>
    </cfRule>
    <cfRule type="expression" dxfId="1033" priority="409">
      <formula>AND(C$9&gt;=8/24,C$9&lt;14/24)</formula>
    </cfRule>
    <cfRule type="expression" dxfId="1032" priority="410">
      <formula>C$9&lt;8/24</formula>
    </cfRule>
  </conditionalFormatting>
  <conditionalFormatting sqref="B74:B91">
    <cfRule type="expression" dxfId="1031" priority="79">
      <formula>AND(B$9&gt;=8/24,B$9&lt;14/24)</formula>
    </cfRule>
    <cfRule type="expression" dxfId="1030" priority="80">
      <formula>B$9&lt;8/24</formula>
    </cfRule>
    <cfRule type="expression" dxfId="1029" priority="78">
      <formula>AND(B$9&gt;=14/24,B$9&lt;20/24)</formula>
    </cfRule>
    <cfRule type="expression" dxfId="1028" priority="77">
      <formula>B$9&gt;=20/24</formula>
    </cfRule>
  </conditionalFormatting>
  <conditionalFormatting sqref="B55:D59">
    <cfRule type="expression" dxfId="1027" priority="130">
      <formula>B$9&lt;8/24</formula>
    </cfRule>
    <cfRule type="expression" dxfId="1026" priority="129">
      <formula>AND(B$9&gt;=8/24,B$9&lt;14/24)</formula>
    </cfRule>
    <cfRule type="expression" dxfId="1025" priority="127">
      <formula>B$9&gt;=20/24</formula>
    </cfRule>
    <cfRule type="expression" dxfId="1024" priority="128">
      <formula>AND(B$9&gt;=14/24,B$9&lt;20/24)</formula>
    </cfRule>
  </conditionalFormatting>
  <conditionalFormatting sqref="B60:O60">
    <cfRule type="expression" dxfId="1023" priority="115">
      <formula>AND(B$9&gt;=8/24,B$9&lt;14/24)</formula>
    </cfRule>
    <cfRule type="expression" dxfId="1022" priority="116">
      <formula>B$9&lt;8/24</formula>
    </cfRule>
    <cfRule type="expression" dxfId="1021" priority="114">
      <formula>AND(B$9&gt;=14/24,B$9&lt;20/24)</formula>
    </cfRule>
    <cfRule type="expression" dxfId="1020" priority="113">
      <formula>B$9&gt;=20/24</formula>
    </cfRule>
  </conditionalFormatting>
  <conditionalFormatting sqref="B24:AB24 AC24:AF26 U25:AB26 B25:T34 U27:AF34">
    <cfRule type="expression" dxfId="1019" priority="92">
      <formula>AND(B$9&gt;=14/24,B$9&lt;20/24)</formula>
    </cfRule>
    <cfRule type="expression" dxfId="1018" priority="93">
      <formula>AND(B$9&gt;=8/24,B$9&lt;14/24)</formula>
    </cfRule>
    <cfRule type="expression" dxfId="1017" priority="94">
      <formula>B$9&lt;8/24</formula>
    </cfRule>
    <cfRule type="expression" dxfId="1016" priority="90">
      <formula>B24&gt;$AG24</formula>
    </cfRule>
    <cfRule type="expression" dxfId="1015" priority="91">
      <formula>B$9&gt;=20/24</formula>
    </cfRule>
  </conditionalFormatting>
  <conditionalFormatting sqref="B9:AF23">
    <cfRule type="expression" dxfId="1014" priority="42">
      <formula>B$9&gt;=20/24</formula>
    </cfRule>
    <cfRule type="expression" dxfId="1013" priority="43">
      <formula>AND(B$9&gt;=14/24,B$9&lt;20/24)</formula>
    </cfRule>
    <cfRule type="expression" dxfId="1012" priority="44">
      <formula>AND(B$9&gt;=8/24,B$9&lt;14/24)</formula>
    </cfRule>
    <cfRule type="expression" dxfId="1011" priority="45">
      <formula>B$9&lt;8/24</formula>
    </cfRule>
  </conditionalFormatting>
  <conditionalFormatting sqref="B11:AF23">
    <cfRule type="expression" dxfId="1010" priority="41">
      <formula>B11&gt;$AG11</formula>
    </cfRule>
  </conditionalFormatting>
  <conditionalFormatting sqref="B35:AF45">
    <cfRule type="expression" dxfId="1009" priority="37">
      <formula>B$9&gt;=20/24</formula>
    </cfRule>
    <cfRule type="expression" dxfId="1008" priority="39">
      <formula>AND(B$9&gt;=8/24,B$9&lt;14/24)</formula>
    </cfRule>
    <cfRule type="expression" dxfId="1007" priority="40">
      <formula>B$9&lt;8/24</formula>
    </cfRule>
    <cfRule type="expression" dxfId="1006" priority="38">
      <formula>AND(B$9&gt;=14/24,B$9&lt;20/24)</formula>
    </cfRule>
  </conditionalFormatting>
  <conditionalFormatting sqref="B35:AF46">
    <cfRule type="expression" dxfId="1005" priority="35">
      <formula>B35&gt;$AG35</formula>
    </cfRule>
  </conditionalFormatting>
  <conditionalFormatting sqref="B46:AF46">
    <cfRule type="expression" dxfId="1004" priority="34">
      <formula>B$9&lt;8/24</formula>
    </cfRule>
    <cfRule type="expression" dxfId="1003" priority="33">
      <formula>AND(B$9&gt;=8/24,B$9&lt;14/24)</formula>
    </cfRule>
    <cfRule type="expression" dxfId="1002" priority="32">
      <formula>AND(B$9&gt;=14/24,B$9&lt;20/24)</formula>
    </cfRule>
    <cfRule type="expression" dxfId="1001" priority="31">
      <formula>B$9&gt;=20/24</formula>
    </cfRule>
  </conditionalFormatting>
  <conditionalFormatting sqref="B47:AF47">
    <cfRule type="expression" dxfId="1000" priority="66">
      <formula>B47&gt;$AG47</formula>
    </cfRule>
  </conditionalFormatting>
  <conditionalFormatting sqref="B47:AF49">
    <cfRule type="expression" dxfId="999" priority="55">
      <formula>AND(B$9&gt;=8/24,B$9&lt;14/24)</formula>
    </cfRule>
    <cfRule type="expression" dxfId="998" priority="53">
      <formula>B$9&gt;=20/24</formula>
    </cfRule>
    <cfRule type="expression" dxfId="997" priority="54">
      <formula>AND(B$9&gt;=14/24,B$9&lt;20/24)</formula>
    </cfRule>
    <cfRule type="expression" dxfId="996" priority="56">
      <formula>B$9&lt;8/24</formula>
    </cfRule>
  </conditionalFormatting>
  <conditionalFormatting sqref="B48:AF53">
    <cfRule type="expression" dxfId="995" priority="51">
      <formula>B48&gt;$AG48</formula>
    </cfRule>
  </conditionalFormatting>
  <conditionalFormatting sqref="B51:AF53">
    <cfRule type="expression" dxfId="994" priority="106">
      <formula>AND(B$9&gt;=8/24,B$9&lt;14/24)</formula>
    </cfRule>
    <cfRule type="expression" dxfId="993" priority="104">
      <formula>B$9&gt;=20/24</formula>
    </cfRule>
    <cfRule type="expression" dxfId="992" priority="105">
      <formula>AND(B$9&gt;=14/24,B$9&lt;20/24)</formula>
    </cfRule>
    <cfRule type="expression" dxfId="991" priority="107">
      <formula>B$9&lt;8/24</formula>
    </cfRule>
  </conditionalFormatting>
  <conditionalFormatting sqref="B55:AF66">
    <cfRule type="expression" dxfId="990" priority="67">
      <formula>B55&gt;$AG55</formula>
    </cfRule>
  </conditionalFormatting>
  <conditionalFormatting sqref="B61:AF66">
    <cfRule type="expression" dxfId="989" priority="71">
      <formula>B$9&lt;8/24</formula>
    </cfRule>
    <cfRule type="expression" dxfId="988" priority="70">
      <formula>AND(B$9&gt;=8/24,B$9&lt;14/24)</formula>
    </cfRule>
    <cfRule type="expression" dxfId="987" priority="69">
      <formula>AND(B$9&gt;=14/24,B$9&lt;20/24)</formula>
    </cfRule>
    <cfRule type="expression" dxfId="986" priority="68">
      <formula>B$9&gt;=20/24</formula>
    </cfRule>
  </conditionalFormatting>
  <conditionalFormatting sqref="B69:AF71 C74:D75">
    <cfRule type="expression" dxfId="985" priority="122">
      <formula>B$9&gt;=20/24</formula>
    </cfRule>
    <cfRule type="expression" dxfId="984" priority="123">
      <formula>AND(B$9&gt;=14/24,B$9&lt;20/24)</formula>
    </cfRule>
    <cfRule type="expression" dxfId="983" priority="124">
      <formula>AND(B$9&gt;=8/24,B$9&lt;14/24)</formula>
    </cfRule>
    <cfRule type="expression" dxfId="982" priority="125">
      <formula>B$9&lt;8/24</formula>
    </cfRule>
  </conditionalFormatting>
  <conditionalFormatting sqref="B69:AF71">
    <cfRule type="expression" dxfId="981" priority="121">
      <formula>B69&gt;$AG69</formula>
    </cfRule>
  </conditionalFormatting>
  <conditionalFormatting sqref="B111:AF120">
    <cfRule type="expression" dxfId="980" priority="27">
      <formula>B$9&gt;=20/24</formula>
    </cfRule>
    <cfRule type="expression" dxfId="979" priority="30">
      <formula>B$9&lt;8/24</formula>
    </cfRule>
    <cfRule type="expression" dxfId="978" priority="29">
      <formula>AND(B$9&gt;=8/24,B$9&lt;14/24)</formula>
    </cfRule>
    <cfRule type="expression" dxfId="977" priority="28">
      <formula>AND(B$9&gt;=14/24,B$9&lt;20/24)</formula>
    </cfRule>
  </conditionalFormatting>
  <conditionalFormatting sqref="B227:AF227 D229:AF230 B229:B235 D231:H231 J231:AF231 D232:AF235 U248:AF248">
    <cfRule type="expression" dxfId="976" priority="404">
      <formula>B$9&lt;8/24</formula>
    </cfRule>
    <cfRule type="expression" dxfId="975" priority="403">
      <formula>AND(B$9&gt;=8/24,B$9&lt;14/24)</formula>
    </cfRule>
    <cfRule type="expression" dxfId="974" priority="402">
      <formula>AND(B$9&gt;=14/24,B$9&lt;20/24)</formula>
    </cfRule>
    <cfRule type="expression" dxfId="973" priority="401">
      <formula>B$9&gt;=20/24</formula>
    </cfRule>
  </conditionalFormatting>
  <conditionalFormatting sqref="B54:AG54">
    <cfRule type="expression" dxfId="972" priority="76">
      <formula>B$9&lt;8/24</formula>
    </cfRule>
    <cfRule type="expression" dxfId="971" priority="75">
      <formula>AND(B$9&gt;=8/24,B$9&lt;14/24)</formula>
    </cfRule>
    <cfRule type="expression" dxfId="970" priority="74">
      <formula>AND(B$9&gt;=14/24,B$9&lt;20/24)</formula>
    </cfRule>
    <cfRule type="expression" dxfId="969" priority="72">
      <formula>B54&gt;$AG54</formula>
    </cfRule>
    <cfRule type="expression" dxfId="968" priority="73">
      <formula>B$9&gt;=20/24</formula>
    </cfRule>
  </conditionalFormatting>
  <conditionalFormatting sqref="B67:AG68 B72:AG72">
    <cfRule type="expression" dxfId="967" priority="81">
      <formula>B67&gt;$AG67</formula>
    </cfRule>
  </conditionalFormatting>
  <conditionalFormatting sqref="B72:AG72 B93:AF109">
    <cfRule type="expression" dxfId="966" priority="84">
      <formula>AND(B$9&gt;=8/24,B$9&lt;14/24)</formula>
    </cfRule>
    <cfRule type="expression" dxfId="965" priority="83">
      <formula>AND(B$9&gt;=14/24,B$9&lt;20/24)</formula>
    </cfRule>
    <cfRule type="expression" dxfId="964" priority="85">
      <formula>B$9&lt;8/24</formula>
    </cfRule>
    <cfRule type="expression" dxfId="963" priority="82">
      <formula>B$9&gt;=20/24</formula>
    </cfRule>
  </conditionalFormatting>
  <conditionalFormatting sqref="C77:O83">
    <cfRule type="expression" dxfId="962" priority="178">
      <formula>C$9&gt;=20/24</formula>
    </cfRule>
    <cfRule type="expression" dxfId="961" priority="179">
      <formula>AND(C$9&gt;=14/24,C$9&lt;20/24)</formula>
    </cfRule>
    <cfRule type="expression" dxfId="960" priority="180">
      <formula>AND(C$9&gt;=8/24,C$9&lt;14/24)</formula>
    </cfRule>
    <cfRule type="expression" dxfId="959" priority="181">
      <formula>C$9&lt;8/24</formula>
    </cfRule>
  </conditionalFormatting>
  <conditionalFormatting sqref="C76:P76">
    <cfRule type="expression" dxfId="958" priority="210">
      <formula>C$9&lt;8/24</formula>
    </cfRule>
    <cfRule type="expression" dxfId="957" priority="209">
      <formula>AND(C$9&gt;=8/24,C$9&lt;14/24)</formula>
    </cfRule>
    <cfRule type="expression" dxfId="956" priority="208">
      <formula>AND(C$9&gt;=14/24,C$9&lt;20/24)</formula>
    </cfRule>
    <cfRule type="expression" dxfId="955" priority="207">
      <formula>C$9&gt;=20/24</formula>
    </cfRule>
  </conditionalFormatting>
  <conditionalFormatting sqref="C84:AF91">
    <cfRule type="expression" dxfId="954" priority="202">
      <formula>C$9&gt;=20/24</formula>
    </cfRule>
    <cfRule type="expression" dxfId="953" priority="203">
      <formula>AND(C$9&gt;=14/24,C$9&lt;20/24)</formula>
    </cfRule>
    <cfRule type="expression" dxfId="952" priority="204">
      <formula>AND(C$9&gt;=8/24,C$9&lt;14/24)</formula>
    </cfRule>
    <cfRule type="expression" dxfId="951" priority="205">
      <formula>C$9&lt;8/24</formula>
    </cfRule>
  </conditionalFormatting>
  <conditionalFormatting sqref="E59 B73:D73">
    <cfRule type="expression" dxfId="950" priority="133">
      <formula>AND(B$9&gt;=8/24,B$9&lt;14/24)</formula>
    </cfRule>
    <cfRule type="expression" dxfId="949" priority="134">
      <formula>B$9&lt;8/24</formula>
    </cfRule>
    <cfRule type="expression" dxfId="948" priority="131">
      <formula>B$9&gt;=20/24</formula>
    </cfRule>
    <cfRule type="expression" dxfId="947" priority="132">
      <formula>AND(B$9&gt;=14/24,B$9&lt;20/24)</formula>
    </cfRule>
  </conditionalFormatting>
  <conditionalFormatting sqref="E55:O57">
    <cfRule type="expression" dxfId="946" priority="339">
      <formula>E$9&gt;=20/24</formula>
    </cfRule>
    <cfRule type="expression" dxfId="945" priority="340">
      <formula>AND(E$9&gt;=14/24,E$9&lt;20/24)</formula>
    </cfRule>
    <cfRule type="expression" dxfId="944" priority="341">
      <formula>AND(E$9&gt;=8/24,E$9&lt;14/24)</formula>
    </cfRule>
    <cfRule type="expression" dxfId="943" priority="342">
      <formula>E$9&lt;8/24</formula>
    </cfRule>
  </conditionalFormatting>
  <conditionalFormatting sqref="E73:AF75">
    <cfRule type="expression" dxfId="942" priority="362">
      <formula>E$9&gt;=20/24</formula>
    </cfRule>
    <cfRule type="expression" dxfId="941" priority="363">
      <formula>AND(E$9&gt;=14/24,E$9&lt;20/24)</formula>
    </cfRule>
    <cfRule type="expression" dxfId="940" priority="364">
      <formula>AND(E$9&gt;=8/24,E$9&lt;14/24)</formula>
    </cfRule>
    <cfRule type="expression" dxfId="939" priority="365">
      <formula>E$9&lt;8/24</formula>
    </cfRule>
  </conditionalFormatting>
  <conditionalFormatting sqref="M59:O59">
    <cfRule type="expression" dxfId="938" priority="374">
      <formula>M$9&lt;8/24</formula>
    </cfRule>
    <cfRule type="expression" dxfId="937" priority="371">
      <formula>M$9&gt;=20/24</formula>
    </cfRule>
    <cfRule type="expression" dxfId="936" priority="372">
      <formula>AND(M$9&gt;=14/24,M$9&lt;20/24)</formula>
    </cfRule>
    <cfRule type="expression" dxfId="935" priority="373">
      <formula>AND(M$9&gt;=8/24,M$9&lt;14/24)</formula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P55:AF60">
    <cfRule type="expression" dxfId="934" priority="196">
      <formula>P$9&lt;8/24</formula>
    </cfRule>
    <cfRule type="expression" dxfId="933" priority="195">
      <formula>AND(P$9&gt;=8/24,P$9&lt;14/24)</formula>
    </cfRule>
    <cfRule type="expression" dxfId="932" priority="194">
      <formula>AND(P$9&gt;=14/24,P$9&lt;20/24)</formula>
    </cfRule>
    <cfRule type="expression" dxfId="931" priority="193">
      <formula>P$9&gt;=20/24</formula>
    </cfRule>
  </conditionalFormatting>
  <conditionalFormatting sqref="P79:AF83">
    <cfRule type="expression" dxfId="930" priority="229">
      <formula>P$9&gt;=20/24</formula>
    </cfRule>
    <cfRule type="expression" dxfId="929" priority="230">
      <formula>AND(P$9&gt;=14/24,P$9&lt;20/24)</formula>
    </cfRule>
    <cfRule type="expression" dxfId="928" priority="231">
      <formula>AND(P$9&gt;=8/24,P$9&lt;14/24)</formula>
    </cfRule>
    <cfRule type="expression" dxfId="927" priority="232">
      <formula>P$9&lt;8/24</formula>
    </cfRule>
  </conditionalFormatting>
  <conditionalFormatting sqref="Q76:AF78 P77:P78">
    <cfRule type="expression" dxfId="926" priority="272">
      <formula>AND(P$9&gt;=14/24,P$9&lt;20/24)</formula>
    </cfRule>
    <cfRule type="expression" dxfId="925" priority="273">
      <formula>AND(P$9&gt;=8/24,P$9&lt;14/24)</formula>
    </cfRule>
    <cfRule type="expression" dxfId="924" priority="274">
      <formula>P$9&lt;8/24</formula>
    </cfRule>
    <cfRule type="expression" dxfId="923" priority="271">
      <formula>P$9&gt;=20/24</formula>
    </cfRule>
  </conditionalFormatting>
  <conditionalFormatting sqref="S8 AB8 B8 M8">
    <cfRule type="expression" dxfId="922" priority="407">
      <formula>C$9&gt;=20/24</formula>
    </cfRule>
  </conditionalFormatting>
  <conditionalFormatting sqref="S8">
    <cfRule type="expression" dxfId="921" priority="380">
      <formula>U$9&gt;=20/24</formula>
    </cfRule>
    <cfRule type="expression" dxfId="920" priority="381">
      <formula>AND(U$9&gt;=14/24,U$9&lt;20/24)</formula>
    </cfRule>
    <cfRule type="expression" dxfId="919" priority="382">
      <formula>AND(U$9&gt;=8/24,U$9&lt;14/24)</formula>
    </cfRule>
    <cfRule type="expression" dxfId="918" priority="383">
      <formula>U$9&lt;8/24</formula>
    </cfRule>
  </conditionalFormatting>
  <conditionalFormatting sqref="T248">
    <cfRule type="expression" dxfId="917" priority="423">
      <formula>AX$9&lt;8/24</formula>
    </cfRule>
    <cfRule type="expression" dxfId="916" priority="421">
      <formula>AND(AX$9&gt;=14/24,AX$9&lt;20/24)</formula>
    </cfRule>
    <cfRule type="expression" dxfId="915" priority="420">
      <formula>AX$9&gt;=20/24</formula>
    </cfRule>
    <cfRule type="expression" dxfId="914" priority="422">
      <formula>AND(AX$9&gt;=8/24,AX$9&lt;14/24)</formula>
    </cfRule>
  </conditionalFormatting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913" priority="377">
      <formula>AND(AD$9&gt;=14/24,AD$9&lt;20/24)</formula>
    </cfRule>
    <cfRule type="expression" dxfId="912" priority="376">
      <formula>AD$9&gt;=20/24</formula>
    </cfRule>
    <cfRule type="expression" dxfId="911" priority="378">
      <formula>AND(AD$9&gt;=8/24,AD$9&lt;14/24)</formula>
    </cfRule>
    <cfRule type="expression" dxfId="910" priority="379">
      <formula>AD$9&lt;8/24</formula>
    </cfRule>
  </conditionalFormatting>
  <conditionalFormatting sqref="AG50">
    <cfRule type="expression" dxfId="909" priority="333">
      <formula>AG50&gt;$AG50</formula>
    </cfRule>
  </conditionalFormatting>
  <conditionalFormatting sqref="AG89">
    <cfRule type="expression" dxfId="908" priority="337">
      <formula>AG$9&lt;8/24</formula>
    </cfRule>
    <cfRule type="expression" dxfId="907" priority="334">
      <formula>AG$9&gt;=20/24</formula>
    </cfRule>
    <cfRule type="expression" dxfId="906" priority="335">
      <formula>AND(AG$9&gt;=14/24,AG$9&lt;20/24)</formula>
    </cfRule>
    <cfRule type="expression" dxfId="905" priority="336">
      <formula>AND(AG$9&gt;=8/24,AG$9&lt;14/24)</formula>
    </cfRule>
  </conditionalFormatting>
  <conditionalFormatting sqref="AG248">
    <cfRule type="expression" dxfId="904" priority="415">
      <formula>B$9&lt;8/24</formula>
    </cfRule>
    <cfRule type="expression" dxfId="903" priority="414">
      <formula>AND(B$9&gt;=8/24,B$9&lt;14/24)</formula>
    </cfRule>
    <cfRule type="expression" dxfId="902" priority="413">
      <formula>AND(B$9&gt;=14/24,B$9&lt;20/24)</formula>
    </cfRule>
    <cfRule type="expression" dxfId="901" priority="412">
      <formula>B$9&gt;=20/24</formula>
    </cfRule>
  </conditionalFormatting>
  <conditionalFormatting sqref="AH248:AX248">
    <cfRule type="expression" dxfId="900" priority="419">
      <formula>AG$9&lt;8/24</formula>
    </cfRule>
    <cfRule type="expression" dxfId="899" priority="416">
      <formula>AG$9&gt;=20/24</formula>
    </cfRule>
    <cfRule type="expression" dxfId="898" priority="417">
      <formula>AND(AG$9&gt;=14/24,AG$9&lt;20/24)</formula>
    </cfRule>
    <cfRule type="expression" dxfId="897" priority="418">
      <formula>AND(AG$9&gt;=8/24,AG$9&lt;14/24)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896" priority="425">
      <formula>AJ$9&gt;=20/24</formula>
    </cfRule>
    <cfRule type="expression" dxfId="895" priority="426">
      <formula>AND(AJ$9&gt;=14/24,AJ$9&lt;20/24)</formula>
    </cfRule>
    <cfRule type="expression" dxfId="894" priority="427">
      <formula>AND(AJ$9&gt;=8/24,AJ$9&lt;14/24)</formula>
    </cfRule>
    <cfRule type="expression" dxfId="893" priority="428">
      <formula>AJ$9&lt;8/24</formula>
    </cfRule>
  </conditionalFormatting>
  <conditionalFormatting sqref="AL80:AN80 AL86:AN86">
    <cfRule type="expression" dxfId="892" priority="226">
      <formula>AND(AL$9&gt;=14/24,AL$9&lt;20/24)</formula>
    </cfRule>
    <cfRule type="expression" dxfId="891" priority="227">
      <formula>AND(AL$9&gt;=8/24,AL$9&lt;14/24)</formula>
    </cfRule>
    <cfRule type="expression" dxfId="890" priority="225">
      <formula>AL$9&gt;=20/24</formula>
    </cfRule>
    <cfRule type="expression" dxfId="889" priority="228">
      <formula>AL$9&lt;8/24</formula>
    </cfRule>
  </conditionalFormatting>
  <conditionalFormatting sqref="AN81:AN84">
    <cfRule type="expression" dxfId="888" priority="222">
      <formula>AND(AN$9&gt;=14/24,AN$9&lt;20/24)</formula>
    </cfRule>
    <cfRule type="expression" dxfId="887" priority="221">
      <formula>AN$9&gt;=20/24</formula>
    </cfRule>
    <cfRule type="expression" dxfId="886" priority="224">
      <formula>AN$9&lt;8/24</formula>
    </cfRule>
    <cfRule type="expression" dxfId="885" priority="223">
      <formula>AND(AN$9&gt;=8/24,AN$9&lt;14/24)</formula>
    </cfRule>
  </conditionalFormatting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082D-72C7-43EC-80AC-EC30DBFA769D}">
  <dimension ref="A1:CJ281"/>
  <sheetViews>
    <sheetView zoomScale="112" zoomScaleNormal="112" workbookViewId="0">
      <pane xSplit="1" ySplit="10" topLeftCell="H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Q135" sqref="Q13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2" width="6" style="1" bestFit="1" customWidth="1"/>
    <col min="13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 t="s">
        <v>288</v>
      </c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2080/03/17</v>
      </c>
      <c r="C4" s="187"/>
      <c r="D4" s="187"/>
      <c r="E4" s="188" t="str">
        <f ca="1">"2079/"&amp;"12/"&amp;INT(MID(CELL("filename",G6),FIND("]",CELL("filename",G6))+1,200))</f>
        <v>2079/12/17</v>
      </c>
      <c r="F4" s="188"/>
      <c r="G4" s="188"/>
      <c r="H4" s="188" t="str">
        <f ca="1">TEXT(E4,"dddd")</f>
        <v>Sunday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1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7.6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1.4</v>
      </c>
      <c r="N5" s="30">
        <f t="shared" si="0"/>
        <v>24.5</v>
      </c>
      <c r="O5" s="30">
        <f t="shared" si="0"/>
        <v>20.399999999999999</v>
      </c>
      <c r="P5" s="30">
        <f t="shared" si="0"/>
        <v>24.4</v>
      </c>
      <c r="Q5" s="30">
        <f t="shared" si="0"/>
        <v>17.899999999999999</v>
      </c>
      <c r="R5" s="30">
        <f t="shared" si="0"/>
        <v>17.899999999999999</v>
      </c>
      <c r="S5" s="30">
        <f t="shared" si="0"/>
        <v>16.399999999999999</v>
      </c>
      <c r="T5" s="30">
        <f t="shared" si="0"/>
        <v>13.5</v>
      </c>
      <c r="U5" s="30">
        <f t="shared" si="0"/>
        <v>13.5</v>
      </c>
      <c r="V5" s="30">
        <f t="shared" si="0"/>
        <v>13.5</v>
      </c>
      <c r="W5" s="30">
        <f t="shared" si="0"/>
        <v>15</v>
      </c>
      <c r="X5" s="30">
        <f t="shared" si="0"/>
        <v>0</v>
      </c>
      <c r="Y5" s="30">
        <f t="shared" si="0"/>
        <v>36.299999999999997</v>
      </c>
      <c r="Z5" s="30">
        <f t="shared" si="0"/>
        <v>43.4</v>
      </c>
      <c r="AA5" s="30">
        <f t="shared" si="0"/>
        <v>59.7</v>
      </c>
      <c r="AB5" s="30">
        <f t="shared" si="0"/>
        <v>59.7</v>
      </c>
      <c r="AC5" s="30">
        <f t="shared" si="0"/>
        <v>43.5</v>
      </c>
      <c r="AD5" s="30">
        <f t="shared" si="0"/>
        <v>45</v>
      </c>
      <c r="AE5" s="30">
        <f t="shared" si="0"/>
        <v>31</v>
      </c>
      <c r="AF5" s="30">
        <f>B84</f>
        <v>15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1889MW at 6:30hr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Load=1718</v>
      </c>
      <c r="B7" s="35">
        <f t="shared" ref="B7:AF7" si="1">B91</f>
        <v>1833.95</v>
      </c>
      <c r="C7" s="35">
        <f t="shared" si="1"/>
        <v>1818.95</v>
      </c>
      <c r="D7" s="35">
        <f t="shared" si="1"/>
        <v>1807.35</v>
      </c>
      <c r="E7" s="35">
        <f t="shared" si="1"/>
        <v>1722.75</v>
      </c>
      <c r="F7" s="35">
        <f t="shared" si="1"/>
        <v>1718.15</v>
      </c>
      <c r="G7" s="35">
        <f t="shared" si="1"/>
        <v>1748.75</v>
      </c>
      <c r="H7" s="35">
        <f t="shared" si="1"/>
        <v>1772.35</v>
      </c>
      <c r="I7" s="35">
        <f t="shared" si="1"/>
        <v>1808.9500000000003</v>
      </c>
      <c r="J7" s="35">
        <f t="shared" si="1"/>
        <v>1888.65</v>
      </c>
      <c r="K7" s="35">
        <f t="shared" si="1"/>
        <v>1870.0500000000002</v>
      </c>
      <c r="L7" s="35">
        <f t="shared" si="1"/>
        <v>1876.0500000000002</v>
      </c>
      <c r="M7" s="35">
        <f t="shared" si="1"/>
        <v>1866.25</v>
      </c>
      <c r="N7" s="35">
        <f>N91</f>
        <v>1875.3500000000001</v>
      </c>
      <c r="O7" s="35">
        <f t="shared" si="1"/>
        <v>1841.65</v>
      </c>
      <c r="P7" s="35">
        <f t="shared" si="1"/>
        <v>1897.5500000000002</v>
      </c>
      <c r="Q7" s="35">
        <f t="shared" si="1"/>
        <v>1901.3500000000001</v>
      </c>
      <c r="R7" s="35">
        <f t="shared" si="1"/>
        <v>1898.3500000000001</v>
      </c>
      <c r="S7" s="35">
        <f t="shared" si="1"/>
        <v>1898.3500000000001</v>
      </c>
      <c r="T7" s="35">
        <f t="shared" si="1"/>
        <v>1896.8500000000001</v>
      </c>
      <c r="U7" s="35">
        <f t="shared" si="1"/>
        <v>1893.95</v>
      </c>
      <c r="V7" s="35">
        <f t="shared" si="1"/>
        <v>1925.65</v>
      </c>
      <c r="W7" s="35">
        <f t="shared" si="1"/>
        <v>1908.05</v>
      </c>
      <c r="X7" s="35">
        <f t="shared" si="1"/>
        <v>1879.15</v>
      </c>
      <c r="Y7" s="35">
        <f t="shared" si="1"/>
        <v>1854.15</v>
      </c>
      <c r="Z7" s="35">
        <f t="shared" si="1"/>
        <v>1893.8500000000001</v>
      </c>
      <c r="AA7" s="35">
        <f t="shared" si="1"/>
        <v>1960.15</v>
      </c>
      <c r="AB7" s="35">
        <f t="shared" si="1"/>
        <v>1955.1500000000003</v>
      </c>
      <c r="AC7" s="35">
        <f t="shared" si="1"/>
        <v>1959.1500000000003</v>
      </c>
      <c r="AD7" s="35">
        <f t="shared" si="1"/>
        <v>1937.4500000000003</v>
      </c>
      <c r="AE7" s="35">
        <f t="shared" si="1"/>
        <v>1908.9500000000003</v>
      </c>
      <c r="AF7" s="35">
        <f t="shared" si="1"/>
        <v>1868.2500000000002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60.6</v>
      </c>
      <c r="C11" s="45">
        <v>60.6</v>
      </c>
      <c r="D11" s="45">
        <v>60.6</v>
      </c>
      <c r="E11" s="45">
        <v>60.6</v>
      </c>
      <c r="F11" s="45">
        <v>60.6</v>
      </c>
      <c r="G11" s="45">
        <v>60.6</v>
      </c>
      <c r="H11" s="45">
        <v>60.6</v>
      </c>
      <c r="I11" s="45">
        <v>60.6</v>
      </c>
      <c r="J11" s="45">
        <v>60.6</v>
      </c>
      <c r="K11" s="45">
        <v>60.6</v>
      </c>
      <c r="L11" s="45">
        <v>60.6</v>
      </c>
      <c r="M11" s="45">
        <v>60.6</v>
      </c>
      <c r="N11" s="45">
        <v>60.6</v>
      </c>
      <c r="O11" s="45">
        <v>60.6</v>
      </c>
      <c r="P11" s="45">
        <v>60.6</v>
      </c>
      <c r="Q11" s="45">
        <v>60.6</v>
      </c>
      <c r="R11" s="45">
        <v>60.6</v>
      </c>
      <c r="S11" s="45">
        <v>60.6</v>
      </c>
      <c r="T11" s="45">
        <v>60.6</v>
      </c>
      <c r="U11" s="45">
        <v>60.6</v>
      </c>
      <c r="V11" s="45">
        <v>60.6</v>
      </c>
      <c r="W11" s="45">
        <v>60.6</v>
      </c>
      <c r="X11" s="45">
        <v>60.6</v>
      </c>
      <c r="Y11" s="45">
        <v>60.6</v>
      </c>
      <c r="Z11" s="45">
        <v>60.6</v>
      </c>
      <c r="AA11" s="45">
        <v>60.6</v>
      </c>
      <c r="AB11" s="45">
        <v>60.6</v>
      </c>
      <c r="AC11" s="45">
        <v>60.6</v>
      </c>
      <c r="AD11" s="45">
        <v>60.6</v>
      </c>
      <c r="AE11" s="45">
        <v>60.6</v>
      </c>
      <c r="AF11" s="45">
        <v>60.6</v>
      </c>
      <c r="AG11" s="46">
        <v>86</v>
      </c>
      <c r="AH11" s="47">
        <f t="shared" ref="AH11:AH76" si="2">MAX(B11:AF11)</f>
        <v>60.6</v>
      </c>
      <c r="AI11" s="48">
        <f t="shared" ref="AI11:AI76" si="3">MIN(B11:AF11)</f>
        <v>60.6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10</v>
      </c>
      <c r="C12" s="45">
        <v>10</v>
      </c>
      <c r="D12" s="45">
        <v>10</v>
      </c>
      <c r="E12" s="45">
        <v>0</v>
      </c>
      <c r="F12" s="45">
        <v>0</v>
      </c>
      <c r="G12" s="45">
        <v>0</v>
      </c>
      <c r="H12" s="45">
        <v>0</v>
      </c>
      <c r="I12" s="45">
        <v>5</v>
      </c>
      <c r="J12" s="45">
        <v>10</v>
      </c>
      <c r="K12" s="45">
        <v>5</v>
      </c>
      <c r="L12" s="45">
        <v>10</v>
      </c>
      <c r="M12" s="45">
        <v>10</v>
      </c>
      <c r="N12" s="45">
        <v>10</v>
      </c>
      <c r="O12" s="45">
        <v>27</v>
      </c>
      <c r="P12" s="45">
        <v>27</v>
      </c>
      <c r="Q12" s="45">
        <v>27</v>
      </c>
      <c r="R12" s="45">
        <v>27</v>
      </c>
      <c r="S12" s="45">
        <v>27</v>
      </c>
      <c r="T12" s="45">
        <v>27</v>
      </c>
      <c r="U12" s="45">
        <v>27</v>
      </c>
      <c r="V12" s="45">
        <v>27</v>
      </c>
      <c r="W12" s="45">
        <v>27</v>
      </c>
      <c r="X12" s="45">
        <v>10</v>
      </c>
      <c r="Y12" s="45">
        <v>10</v>
      </c>
      <c r="Z12" s="45">
        <v>10</v>
      </c>
      <c r="AA12" s="45">
        <v>28</v>
      </c>
      <c r="AB12" s="45">
        <v>20</v>
      </c>
      <c r="AC12" s="45">
        <v>20</v>
      </c>
      <c r="AD12" s="45">
        <v>20</v>
      </c>
      <c r="AE12" s="45">
        <v>12</v>
      </c>
      <c r="AF12" s="45">
        <v>12</v>
      </c>
      <c r="AG12" s="49">
        <v>54</v>
      </c>
      <c r="AH12" s="47">
        <f t="shared" si="2"/>
        <v>28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54.7</v>
      </c>
      <c r="C13" s="45">
        <v>54.7</v>
      </c>
      <c r="D13" s="45">
        <v>54.7</v>
      </c>
      <c r="E13" s="45">
        <v>54.7</v>
      </c>
      <c r="F13" s="45">
        <v>54.7</v>
      </c>
      <c r="G13" s="45">
        <v>54.7</v>
      </c>
      <c r="H13" s="45">
        <v>54.7</v>
      </c>
      <c r="I13" s="45">
        <v>54.7</v>
      </c>
      <c r="J13" s="45">
        <v>54.7</v>
      </c>
      <c r="K13" s="45">
        <v>54.7</v>
      </c>
      <c r="L13" s="45">
        <v>54.7</v>
      </c>
      <c r="M13" s="45">
        <v>54.7</v>
      </c>
      <c r="N13" s="45">
        <v>54.7</v>
      </c>
      <c r="O13" s="45">
        <v>54.7</v>
      </c>
      <c r="P13" s="45">
        <v>54.7</v>
      </c>
      <c r="Q13" s="45">
        <v>54.7</v>
      </c>
      <c r="R13" s="45">
        <v>54.7</v>
      </c>
      <c r="S13" s="45">
        <v>54.7</v>
      </c>
      <c r="T13" s="45">
        <v>54.7</v>
      </c>
      <c r="U13" s="45">
        <v>54.7</v>
      </c>
      <c r="V13" s="45">
        <v>54.7</v>
      </c>
      <c r="W13" s="45">
        <v>54.7</v>
      </c>
      <c r="X13" s="45">
        <v>54.7</v>
      </c>
      <c r="Y13" s="45">
        <v>54.7</v>
      </c>
      <c r="Z13" s="45">
        <v>54.7</v>
      </c>
      <c r="AA13" s="45">
        <v>54.7</v>
      </c>
      <c r="AB13" s="45">
        <v>54.7</v>
      </c>
      <c r="AC13" s="45">
        <v>54.7</v>
      </c>
      <c r="AD13" s="45">
        <v>54.7</v>
      </c>
      <c r="AE13" s="45">
        <v>54.7</v>
      </c>
      <c r="AF13" s="45">
        <v>54.7</v>
      </c>
      <c r="AG13" s="46">
        <v>52.4</v>
      </c>
      <c r="AH13" s="47">
        <f t="shared" si="2"/>
        <v>54.7</v>
      </c>
      <c r="AI13" s="48">
        <f t="shared" si="3"/>
        <v>54.7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50.4</v>
      </c>
      <c r="C14" s="50">
        <v>50.4</v>
      </c>
      <c r="D14" s="50">
        <v>50.4</v>
      </c>
      <c r="E14" s="50">
        <v>50.4</v>
      </c>
      <c r="F14" s="50">
        <v>50.4</v>
      </c>
      <c r="G14" s="50">
        <v>50.4</v>
      </c>
      <c r="H14" s="50">
        <v>50.4</v>
      </c>
      <c r="I14" s="50">
        <v>50.4</v>
      </c>
      <c r="J14" s="50">
        <v>50.4</v>
      </c>
      <c r="K14" s="50">
        <v>50.4</v>
      </c>
      <c r="L14" s="50">
        <v>50.4</v>
      </c>
      <c r="M14" s="50">
        <v>50.4</v>
      </c>
      <c r="N14" s="50">
        <v>50.4</v>
      </c>
      <c r="O14" s="50">
        <v>50.4</v>
      </c>
      <c r="P14" s="50">
        <v>50.4</v>
      </c>
      <c r="Q14" s="50">
        <v>50.4</v>
      </c>
      <c r="R14" s="50">
        <v>50.4</v>
      </c>
      <c r="S14" s="50">
        <v>50.4</v>
      </c>
      <c r="T14" s="50">
        <v>50.4</v>
      </c>
      <c r="U14" s="50">
        <v>50.4</v>
      </c>
      <c r="V14" s="50">
        <v>50.4</v>
      </c>
      <c r="W14" s="50">
        <v>50.4</v>
      </c>
      <c r="X14" s="50">
        <v>50.4</v>
      </c>
      <c r="Y14" s="50">
        <v>50.4</v>
      </c>
      <c r="Z14" s="50">
        <v>50.4</v>
      </c>
      <c r="AA14" s="45">
        <v>50.4</v>
      </c>
      <c r="AB14" s="45">
        <v>50.4</v>
      </c>
      <c r="AC14" s="45">
        <v>50.4</v>
      </c>
      <c r="AD14" s="45">
        <v>50.4</v>
      </c>
      <c r="AE14" s="45">
        <v>50.4</v>
      </c>
      <c r="AF14" s="45">
        <v>50.4</v>
      </c>
      <c r="AG14" s="49">
        <v>50</v>
      </c>
      <c r="AH14" s="47">
        <f t="shared" si="2"/>
        <v>50.4</v>
      </c>
      <c r="AI14" s="48">
        <f t="shared" si="3"/>
        <v>50.4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36</v>
      </c>
      <c r="C15" s="45">
        <v>36</v>
      </c>
      <c r="D15" s="45">
        <v>36</v>
      </c>
      <c r="E15" s="45">
        <v>37</v>
      </c>
      <c r="F15" s="45">
        <v>37</v>
      </c>
      <c r="G15" s="45">
        <v>37</v>
      </c>
      <c r="H15" s="45">
        <v>37</v>
      </c>
      <c r="I15" s="45">
        <v>37</v>
      </c>
      <c r="J15" s="45">
        <v>37</v>
      </c>
      <c r="K15" s="45">
        <v>37</v>
      </c>
      <c r="L15" s="45">
        <v>37</v>
      </c>
      <c r="M15" s="45">
        <v>46</v>
      </c>
      <c r="N15" s="45">
        <v>46</v>
      </c>
      <c r="O15" s="45">
        <v>46</v>
      </c>
      <c r="P15" s="45">
        <v>46</v>
      </c>
      <c r="Q15" s="45">
        <v>45.8</v>
      </c>
      <c r="R15" s="45">
        <v>45.8</v>
      </c>
      <c r="S15" s="45">
        <v>45.8</v>
      </c>
      <c r="T15" s="45">
        <v>45.8</v>
      </c>
      <c r="U15" s="45">
        <v>45.8</v>
      </c>
      <c r="V15" s="45">
        <v>45.8</v>
      </c>
      <c r="W15" s="45">
        <v>45.8</v>
      </c>
      <c r="X15" s="45">
        <v>45.8</v>
      </c>
      <c r="Y15" s="45">
        <v>45.8</v>
      </c>
      <c r="Z15" s="45">
        <v>45.8</v>
      </c>
      <c r="AA15" s="45">
        <v>45.8</v>
      </c>
      <c r="AB15" s="45">
        <v>45.8</v>
      </c>
      <c r="AC15" s="45">
        <v>45.8</v>
      </c>
      <c r="AD15" s="45">
        <v>45.8</v>
      </c>
      <c r="AE15" s="45">
        <v>45.8</v>
      </c>
      <c r="AF15" s="45">
        <v>45.8</v>
      </c>
      <c r="AG15" s="49">
        <v>45</v>
      </c>
      <c r="AH15" s="47">
        <f t="shared" si="2"/>
        <v>46</v>
      </c>
      <c r="AI15" s="48">
        <f t="shared" si="3"/>
        <v>36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28</v>
      </c>
      <c r="C17" s="45">
        <v>28</v>
      </c>
      <c r="D17" s="45">
        <v>28</v>
      </c>
      <c r="E17" s="45">
        <v>28</v>
      </c>
      <c r="F17" s="45">
        <v>28</v>
      </c>
      <c r="G17" s="45">
        <v>26.5</v>
      </c>
      <c r="H17" s="45">
        <v>26.5</v>
      </c>
      <c r="I17" s="45">
        <v>28.5</v>
      </c>
      <c r="J17" s="45">
        <v>36</v>
      </c>
      <c r="K17" s="45">
        <v>36</v>
      </c>
      <c r="L17" s="45">
        <v>36</v>
      </c>
      <c r="M17" s="45">
        <v>32</v>
      </c>
      <c r="N17" s="45">
        <v>32</v>
      </c>
      <c r="O17" s="45">
        <v>32</v>
      </c>
      <c r="P17" s="45">
        <v>32</v>
      </c>
      <c r="Q17" s="45">
        <v>32</v>
      </c>
      <c r="R17" s="45">
        <v>30</v>
      </c>
      <c r="S17" s="45">
        <v>30</v>
      </c>
      <c r="T17" s="45">
        <v>30</v>
      </c>
      <c r="U17" s="45">
        <v>30</v>
      </c>
      <c r="V17" s="45">
        <v>30</v>
      </c>
      <c r="W17" s="45">
        <v>30</v>
      </c>
      <c r="X17" s="45">
        <v>30</v>
      </c>
      <c r="Y17" s="45">
        <v>25</v>
      </c>
      <c r="Z17" s="45">
        <v>29</v>
      </c>
      <c r="AA17" s="45">
        <v>29</v>
      </c>
      <c r="AB17" s="45">
        <v>35</v>
      </c>
      <c r="AC17" s="45">
        <v>35</v>
      </c>
      <c r="AD17" s="45">
        <v>35</v>
      </c>
      <c r="AE17" s="45">
        <v>35</v>
      </c>
      <c r="AF17" s="45">
        <v>30</v>
      </c>
      <c r="AG17" s="49">
        <v>42</v>
      </c>
      <c r="AH17" s="47">
        <f t="shared" si="2"/>
        <v>36</v>
      </c>
      <c r="AI17" s="48">
        <f t="shared" si="3"/>
        <v>25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36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5</v>
      </c>
      <c r="C20" s="45">
        <v>5</v>
      </c>
      <c r="D20" s="45">
        <v>5</v>
      </c>
      <c r="E20" s="45">
        <v>0</v>
      </c>
      <c r="F20" s="45">
        <v>0</v>
      </c>
      <c r="G20" s="45">
        <v>0</v>
      </c>
      <c r="H20" s="45">
        <v>0</v>
      </c>
      <c r="I20" s="45">
        <v>14.6</v>
      </c>
      <c r="J20" s="45">
        <v>10</v>
      </c>
      <c r="K20" s="45">
        <v>5</v>
      </c>
      <c r="L20" s="45">
        <v>5</v>
      </c>
      <c r="M20" s="45">
        <v>5</v>
      </c>
      <c r="N20" s="45">
        <v>5</v>
      </c>
      <c r="O20" s="45">
        <v>15</v>
      </c>
      <c r="P20" s="45">
        <v>9</v>
      </c>
      <c r="Q20" s="45">
        <v>9</v>
      </c>
      <c r="R20" s="45">
        <v>5.9</v>
      </c>
      <c r="S20" s="45">
        <v>5.9</v>
      </c>
      <c r="T20" s="45">
        <v>5.9</v>
      </c>
      <c r="U20" s="45">
        <v>5.9</v>
      </c>
      <c r="V20" s="45">
        <v>5.9</v>
      </c>
      <c r="W20" s="45">
        <v>15</v>
      </c>
      <c r="X20" s="45">
        <v>7.6</v>
      </c>
      <c r="Y20" s="45">
        <v>7.6</v>
      </c>
      <c r="Z20" s="45">
        <v>7.6</v>
      </c>
      <c r="AA20" s="45">
        <v>14.4</v>
      </c>
      <c r="AB20" s="45">
        <v>15</v>
      </c>
      <c r="AC20" s="45">
        <v>15</v>
      </c>
      <c r="AD20" s="45">
        <v>15</v>
      </c>
      <c r="AE20" s="45">
        <v>10</v>
      </c>
      <c r="AF20" s="45">
        <v>5</v>
      </c>
      <c r="AG20" s="51">
        <v>30</v>
      </c>
      <c r="AH20" s="47">
        <f t="shared" si="2"/>
        <v>15</v>
      </c>
      <c r="AI20" s="48">
        <f t="shared" si="3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20.6</v>
      </c>
      <c r="C21" s="45">
        <v>20.6</v>
      </c>
      <c r="D21" s="45">
        <v>20.6</v>
      </c>
      <c r="E21" s="45">
        <v>20.6</v>
      </c>
      <c r="F21" s="45">
        <v>20.6</v>
      </c>
      <c r="G21" s="45">
        <v>20.6</v>
      </c>
      <c r="H21" s="45">
        <v>20.6</v>
      </c>
      <c r="I21" s="45">
        <v>20.6</v>
      </c>
      <c r="J21" s="45">
        <v>20.6</v>
      </c>
      <c r="K21" s="45">
        <v>20.6</v>
      </c>
      <c r="L21" s="45">
        <v>20.6</v>
      </c>
      <c r="M21" s="45">
        <v>20.6</v>
      </c>
      <c r="N21" s="45">
        <v>20.6</v>
      </c>
      <c r="O21" s="45">
        <v>20.6</v>
      </c>
      <c r="P21" s="45">
        <v>20.6</v>
      </c>
      <c r="Q21" s="45">
        <v>20.6</v>
      </c>
      <c r="R21" s="45">
        <v>20.6</v>
      </c>
      <c r="S21" s="45">
        <v>20.6</v>
      </c>
      <c r="T21" s="45">
        <v>20.6</v>
      </c>
      <c r="U21" s="45">
        <v>20.6</v>
      </c>
      <c r="V21" s="45">
        <v>20.6</v>
      </c>
      <c r="W21" s="45">
        <v>20.6</v>
      </c>
      <c r="X21" s="45">
        <v>20.6</v>
      </c>
      <c r="Y21" s="45">
        <v>20.6</v>
      </c>
      <c r="Z21" s="45">
        <v>20.6</v>
      </c>
      <c r="AA21" s="45">
        <v>20.6</v>
      </c>
      <c r="AB21" s="45">
        <v>20.6</v>
      </c>
      <c r="AC21" s="45">
        <v>20.6</v>
      </c>
      <c r="AD21" s="45">
        <v>20.6</v>
      </c>
      <c r="AE21" s="45">
        <v>20.6</v>
      </c>
      <c r="AF21" s="45">
        <v>20.6</v>
      </c>
      <c r="AG21" s="49">
        <v>24.2</v>
      </c>
      <c r="AH21" s="47">
        <f t="shared" si="2"/>
        <v>20.6</v>
      </c>
      <c r="AI21" s="48">
        <f t="shared" si="3"/>
        <v>20.6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20</v>
      </c>
      <c r="Q22" s="45">
        <v>20</v>
      </c>
      <c r="R22" s="45">
        <v>20</v>
      </c>
      <c r="S22" s="45">
        <v>20</v>
      </c>
      <c r="T22" s="45">
        <v>20</v>
      </c>
      <c r="U22" s="45">
        <v>20</v>
      </c>
      <c r="V22" s="45">
        <v>20</v>
      </c>
      <c r="W22" s="45">
        <v>20</v>
      </c>
      <c r="X22" s="45">
        <v>20</v>
      </c>
      <c r="Y22" s="45">
        <v>20</v>
      </c>
      <c r="Z22" s="45">
        <v>20</v>
      </c>
      <c r="AA22" s="45">
        <v>20</v>
      </c>
      <c r="AB22" s="45">
        <v>20</v>
      </c>
      <c r="AC22" s="45">
        <v>20</v>
      </c>
      <c r="AD22" s="45">
        <v>20</v>
      </c>
      <c r="AE22" s="45">
        <v>20</v>
      </c>
      <c r="AF22" s="45">
        <v>20</v>
      </c>
      <c r="AG22" s="49">
        <v>28</v>
      </c>
      <c r="AH22" s="47">
        <f t="shared" si="2"/>
        <v>20</v>
      </c>
      <c r="AI22" s="48">
        <f t="shared" si="3"/>
        <v>20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5</v>
      </c>
      <c r="C23" s="45">
        <v>5</v>
      </c>
      <c r="D23" s="45">
        <v>5</v>
      </c>
      <c r="E23" s="45">
        <v>0</v>
      </c>
      <c r="F23" s="45">
        <v>0</v>
      </c>
      <c r="G23" s="45">
        <v>0</v>
      </c>
      <c r="H23" s="45">
        <v>0</v>
      </c>
      <c r="I23" s="45">
        <v>4</v>
      </c>
      <c r="J23" s="45">
        <v>5</v>
      </c>
      <c r="K23" s="45">
        <v>5</v>
      </c>
      <c r="L23" s="45">
        <v>5</v>
      </c>
      <c r="M23" s="45">
        <v>5</v>
      </c>
      <c r="N23" s="45">
        <v>5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26</v>
      </c>
      <c r="AB23" s="45">
        <v>9</v>
      </c>
      <c r="AC23" s="45">
        <v>9</v>
      </c>
      <c r="AD23" s="45">
        <v>9</v>
      </c>
      <c r="AE23" s="45">
        <v>5</v>
      </c>
      <c r="AF23" s="45">
        <v>3</v>
      </c>
      <c r="AG23" s="51">
        <v>30</v>
      </c>
      <c r="AH23" s="47">
        <f t="shared" si="2"/>
        <v>26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23</v>
      </c>
      <c r="C24" s="45">
        <v>23</v>
      </c>
      <c r="D24" s="45">
        <v>23</v>
      </c>
      <c r="E24" s="45">
        <v>24</v>
      </c>
      <c r="F24" s="45">
        <v>24</v>
      </c>
      <c r="G24" s="45">
        <v>24</v>
      </c>
      <c r="H24" s="45">
        <v>24</v>
      </c>
      <c r="I24" s="45">
        <v>24</v>
      </c>
      <c r="J24" s="45">
        <v>24.2</v>
      </c>
      <c r="K24" s="45">
        <v>24.2</v>
      </c>
      <c r="L24" s="45">
        <v>24.2</v>
      </c>
      <c r="M24" s="45">
        <v>24.2</v>
      </c>
      <c r="N24" s="45">
        <v>24.2</v>
      </c>
      <c r="O24" s="45">
        <v>24.2</v>
      </c>
      <c r="P24" s="45">
        <v>24.2</v>
      </c>
      <c r="Q24" s="45">
        <v>24.2</v>
      </c>
      <c r="R24" s="45">
        <v>24.2</v>
      </c>
      <c r="S24" s="45">
        <v>24.2</v>
      </c>
      <c r="T24" s="45">
        <v>24.2</v>
      </c>
      <c r="U24" s="45">
        <v>24.2</v>
      </c>
      <c r="V24" s="45">
        <v>24.2</v>
      </c>
      <c r="W24" s="45">
        <v>24.2</v>
      </c>
      <c r="X24" s="45">
        <v>24.2</v>
      </c>
      <c r="Y24" s="45">
        <v>24.2</v>
      </c>
      <c r="Z24" s="45">
        <v>24.2</v>
      </c>
      <c r="AA24" s="45">
        <v>26</v>
      </c>
      <c r="AB24" s="45">
        <v>26</v>
      </c>
      <c r="AC24" s="45">
        <v>26</v>
      </c>
      <c r="AD24" s="45">
        <v>26</v>
      </c>
      <c r="AE24" s="45">
        <v>26</v>
      </c>
      <c r="AF24" s="45">
        <v>26</v>
      </c>
      <c r="AG24" s="49">
        <v>25</v>
      </c>
      <c r="AH24" s="47">
        <f t="shared" si="2"/>
        <v>26</v>
      </c>
      <c r="AI24" s="48">
        <f t="shared" si="3"/>
        <v>23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4</v>
      </c>
      <c r="C27" s="45">
        <v>4</v>
      </c>
      <c r="D27" s="45">
        <v>4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12</v>
      </c>
      <c r="P27" s="45">
        <v>12</v>
      </c>
      <c r="Q27" s="45">
        <v>12</v>
      </c>
      <c r="R27" s="45">
        <v>12</v>
      </c>
      <c r="S27" s="45">
        <v>12</v>
      </c>
      <c r="T27" s="45">
        <v>12</v>
      </c>
      <c r="U27" s="45">
        <v>12</v>
      </c>
      <c r="V27" s="45">
        <v>12</v>
      </c>
      <c r="W27" s="45">
        <v>12</v>
      </c>
      <c r="X27" s="45">
        <v>6</v>
      </c>
      <c r="Y27" s="45">
        <v>6</v>
      </c>
      <c r="Z27" s="45">
        <v>6</v>
      </c>
      <c r="AA27" s="45">
        <v>12</v>
      </c>
      <c r="AB27" s="45">
        <v>9</v>
      </c>
      <c r="AC27" s="45">
        <v>9</v>
      </c>
      <c r="AD27" s="45">
        <v>9</v>
      </c>
      <c r="AE27" s="45">
        <v>5</v>
      </c>
      <c r="AF27" s="45">
        <v>3</v>
      </c>
      <c r="AG27" s="49">
        <v>25</v>
      </c>
      <c r="AH27" s="47">
        <f t="shared" si="2"/>
        <v>12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22</v>
      </c>
      <c r="C28" s="45">
        <v>22</v>
      </c>
      <c r="D28" s="45">
        <v>22</v>
      </c>
      <c r="E28" s="45">
        <v>22</v>
      </c>
      <c r="F28" s="45">
        <v>22</v>
      </c>
      <c r="G28" s="45">
        <v>22</v>
      </c>
      <c r="H28" s="45">
        <v>22</v>
      </c>
      <c r="I28" s="45">
        <v>22</v>
      </c>
      <c r="J28" s="45">
        <v>22</v>
      </c>
      <c r="K28" s="45">
        <v>22</v>
      </c>
      <c r="L28" s="45">
        <v>22</v>
      </c>
      <c r="M28" s="45">
        <v>22</v>
      </c>
      <c r="N28" s="45">
        <v>22</v>
      </c>
      <c r="O28" s="45">
        <v>22</v>
      </c>
      <c r="P28" s="45">
        <v>22</v>
      </c>
      <c r="Q28" s="45">
        <v>22</v>
      </c>
      <c r="R28" s="45">
        <v>22</v>
      </c>
      <c r="S28" s="45">
        <v>22</v>
      </c>
      <c r="T28" s="45">
        <v>22</v>
      </c>
      <c r="U28" s="45">
        <v>22</v>
      </c>
      <c r="V28" s="45">
        <v>22</v>
      </c>
      <c r="W28" s="45">
        <v>22</v>
      </c>
      <c r="X28" s="45">
        <v>22</v>
      </c>
      <c r="Y28" s="45">
        <v>22</v>
      </c>
      <c r="Z28" s="45">
        <v>22</v>
      </c>
      <c r="AA28" s="45">
        <v>22</v>
      </c>
      <c r="AB28" s="45">
        <v>22</v>
      </c>
      <c r="AC28" s="45">
        <v>22</v>
      </c>
      <c r="AD28" s="45">
        <v>22</v>
      </c>
      <c r="AE28" s="45">
        <v>22</v>
      </c>
      <c r="AF28" s="45">
        <v>22</v>
      </c>
      <c r="AG28" s="49">
        <v>23.5</v>
      </c>
      <c r="AH28" s="47">
        <f t="shared" si="2"/>
        <v>22</v>
      </c>
      <c r="AI28" s="48">
        <f t="shared" si="3"/>
        <v>22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0</v>
      </c>
      <c r="F31" s="45">
        <v>0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0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10</v>
      </c>
      <c r="J33" s="45">
        <v>10</v>
      </c>
      <c r="K33" s="45">
        <v>10</v>
      </c>
      <c r="L33" s="45">
        <v>10</v>
      </c>
      <c r="M33" s="45">
        <v>10</v>
      </c>
      <c r="N33" s="45">
        <v>10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49">
        <v>20</v>
      </c>
      <c r="AH33" s="47">
        <f t="shared" si="2"/>
        <v>10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5</v>
      </c>
      <c r="N34" s="45">
        <v>10</v>
      </c>
      <c r="O34" s="45">
        <v>10</v>
      </c>
      <c r="P34" s="45">
        <v>10</v>
      </c>
      <c r="Q34" s="45">
        <v>10</v>
      </c>
      <c r="R34" s="45">
        <v>10</v>
      </c>
      <c r="S34" s="45">
        <v>10</v>
      </c>
      <c r="T34" s="45">
        <v>10</v>
      </c>
      <c r="U34" s="45">
        <v>10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5</v>
      </c>
      <c r="AG34" s="49">
        <v>18</v>
      </c>
      <c r="AH34" s="47">
        <f t="shared" si="2"/>
        <v>10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3</v>
      </c>
      <c r="C39" s="45">
        <v>3</v>
      </c>
      <c r="D39" s="45">
        <v>3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3</v>
      </c>
      <c r="K39" s="45">
        <v>3</v>
      </c>
      <c r="L39" s="45">
        <v>3</v>
      </c>
      <c r="M39" s="45">
        <v>3</v>
      </c>
      <c r="N39" s="45">
        <v>3</v>
      </c>
      <c r="O39" s="45">
        <v>6</v>
      </c>
      <c r="P39" s="45">
        <v>6</v>
      </c>
      <c r="Q39" s="45">
        <v>6</v>
      </c>
      <c r="R39" s="45">
        <v>6</v>
      </c>
      <c r="S39" s="45">
        <v>6</v>
      </c>
      <c r="T39" s="45">
        <v>6</v>
      </c>
      <c r="U39" s="45">
        <v>6</v>
      </c>
      <c r="V39" s="45">
        <v>6</v>
      </c>
      <c r="W39" s="45">
        <v>6</v>
      </c>
      <c r="X39" s="45">
        <v>6</v>
      </c>
      <c r="Y39" s="45">
        <v>6</v>
      </c>
      <c r="Z39" s="45">
        <v>6</v>
      </c>
      <c r="AA39" s="45">
        <v>12</v>
      </c>
      <c r="AB39" s="45">
        <v>12</v>
      </c>
      <c r="AC39" s="45">
        <v>12</v>
      </c>
      <c r="AD39" s="45">
        <v>12</v>
      </c>
      <c r="AE39" s="45">
        <v>3</v>
      </c>
      <c r="AF39" s="45">
        <v>3</v>
      </c>
      <c r="AG39" s="49">
        <v>12</v>
      </c>
      <c r="AH39" s="47">
        <f t="shared" si="2"/>
        <v>12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6</v>
      </c>
      <c r="C41" s="45">
        <v>6</v>
      </c>
      <c r="D41" s="45">
        <v>6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6</v>
      </c>
      <c r="N41" s="45">
        <v>6</v>
      </c>
      <c r="O41" s="45">
        <v>10</v>
      </c>
      <c r="P41" s="45">
        <v>6</v>
      </c>
      <c r="Q41" s="45">
        <v>6</v>
      </c>
      <c r="R41" s="45">
        <v>6</v>
      </c>
      <c r="S41" s="45">
        <v>6</v>
      </c>
      <c r="T41" s="45">
        <v>6</v>
      </c>
      <c r="U41" s="45">
        <v>6</v>
      </c>
      <c r="V41" s="45">
        <v>6</v>
      </c>
      <c r="W41" s="45">
        <v>6</v>
      </c>
      <c r="X41" s="45">
        <v>6</v>
      </c>
      <c r="Y41" s="45">
        <v>6</v>
      </c>
      <c r="Z41" s="45">
        <v>6</v>
      </c>
      <c r="AA41" s="45">
        <v>6</v>
      </c>
      <c r="AB41" s="45">
        <v>6</v>
      </c>
      <c r="AC41" s="45">
        <v>6</v>
      </c>
      <c r="AD41" s="45">
        <v>6</v>
      </c>
      <c r="AE41" s="45">
        <v>6</v>
      </c>
      <c r="AF41" s="45">
        <v>6</v>
      </c>
      <c r="AG41" s="49">
        <v>12</v>
      </c>
      <c r="AH41" s="47">
        <f t="shared" si="2"/>
        <v>10</v>
      </c>
      <c r="AI41" s="48">
        <f t="shared" si="3"/>
        <v>0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10.199999999999999</v>
      </c>
      <c r="C42" s="45">
        <v>10.199999999999999</v>
      </c>
      <c r="D42" s="45">
        <v>10.199999999999999</v>
      </c>
      <c r="E42" s="45">
        <v>0</v>
      </c>
      <c r="F42" s="45">
        <v>0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6</v>
      </c>
      <c r="N42" s="45">
        <v>6</v>
      </c>
      <c r="O42" s="45">
        <v>6</v>
      </c>
      <c r="P42" s="45">
        <v>6</v>
      </c>
      <c r="Q42" s="45">
        <v>6</v>
      </c>
      <c r="R42" s="45">
        <v>6</v>
      </c>
      <c r="S42" s="45">
        <v>6</v>
      </c>
      <c r="T42" s="45">
        <v>6</v>
      </c>
      <c r="U42" s="45">
        <v>6</v>
      </c>
      <c r="V42" s="45">
        <v>6</v>
      </c>
      <c r="W42" s="45">
        <v>6</v>
      </c>
      <c r="X42" s="45">
        <v>6</v>
      </c>
      <c r="Y42" s="45">
        <v>6</v>
      </c>
      <c r="Z42" s="45">
        <v>6</v>
      </c>
      <c r="AA42" s="45">
        <v>6</v>
      </c>
      <c r="AB42" s="45">
        <v>6</v>
      </c>
      <c r="AC42" s="45">
        <v>6</v>
      </c>
      <c r="AD42" s="45">
        <v>6</v>
      </c>
      <c r="AE42" s="45">
        <v>6</v>
      </c>
      <c r="AF42" s="45">
        <v>6</v>
      </c>
      <c r="AG42" s="52">
        <v>22</v>
      </c>
      <c r="AH42" s="47">
        <f t="shared" si="2"/>
        <v>10.199999999999999</v>
      </c>
      <c r="AI42" s="48">
        <f t="shared" si="3"/>
        <v>0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10.210000000000001</v>
      </c>
      <c r="C44" s="45">
        <v>10.210000000000001</v>
      </c>
      <c r="D44" s="45">
        <v>10.210000000000001</v>
      </c>
      <c r="E44" s="45">
        <v>10.210000000000001</v>
      </c>
      <c r="F44" s="45">
        <v>10.210000000000001</v>
      </c>
      <c r="G44" s="45">
        <v>10.210000000000001</v>
      </c>
      <c r="H44" s="45">
        <v>10.210000000000001</v>
      </c>
      <c r="I44" s="45">
        <v>10.210000000000001</v>
      </c>
      <c r="J44" s="45">
        <v>10.210000000000001</v>
      </c>
      <c r="K44" s="45">
        <v>10.210000000000001</v>
      </c>
      <c r="L44" s="45">
        <v>10.210000000000001</v>
      </c>
      <c r="M44" s="45">
        <v>10.210000000000001</v>
      </c>
      <c r="N44" s="45">
        <v>10.210000000000001</v>
      </c>
      <c r="O44" s="45">
        <v>10.210000000000001</v>
      </c>
      <c r="P44" s="45">
        <v>10.210000000000001</v>
      </c>
      <c r="Q44" s="45">
        <v>10.210000000000001</v>
      </c>
      <c r="R44" s="45">
        <v>10.210000000000001</v>
      </c>
      <c r="S44" s="45">
        <v>10.210000000000001</v>
      </c>
      <c r="T44" s="45">
        <v>10.210000000000001</v>
      </c>
      <c r="U44" s="45">
        <v>10.210000000000001</v>
      </c>
      <c r="V44" s="45">
        <v>10.210000000000001</v>
      </c>
      <c r="W44" s="45">
        <v>10.210000000000001</v>
      </c>
      <c r="X44" s="45">
        <v>10.210000000000001</v>
      </c>
      <c r="Y44" s="45">
        <v>10.210000000000001</v>
      </c>
      <c r="Z44" s="45">
        <v>10.210000000000001</v>
      </c>
      <c r="AA44" s="45">
        <v>10.210000000000001</v>
      </c>
      <c r="AB44" s="45">
        <v>10.210000000000001</v>
      </c>
      <c r="AC44" s="45">
        <v>10.210000000000001</v>
      </c>
      <c r="AD44" s="45">
        <v>10.210000000000001</v>
      </c>
      <c r="AE44" s="45">
        <v>10.210000000000001</v>
      </c>
      <c r="AF44" s="45">
        <v>10.210000000000001</v>
      </c>
      <c r="AG44" s="54">
        <v>11</v>
      </c>
      <c r="AH44" s="47">
        <f t="shared" si="2"/>
        <v>10.210000000000001</v>
      </c>
      <c r="AI44" s="48">
        <f t="shared" si="3"/>
        <v>10.210000000000001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10</v>
      </c>
      <c r="C45" s="45">
        <v>10</v>
      </c>
      <c r="D45" s="45">
        <v>10</v>
      </c>
      <c r="E45" s="45">
        <v>10</v>
      </c>
      <c r="F45" s="45">
        <v>10</v>
      </c>
      <c r="G45" s="45">
        <v>10</v>
      </c>
      <c r="H45" s="45">
        <v>10</v>
      </c>
      <c r="I45" s="45">
        <v>10</v>
      </c>
      <c r="J45" s="45">
        <v>10</v>
      </c>
      <c r="K45" s="45">
        <v>10</v>
      </c>
      <c r="L45" s="45">
        <v>10</v>
      </c>
      <c r="M45" s="45">
        <v>10</v>
      </c>
      <c r="N45" s="45">
        <v>10</v>
      </c>
      <c r="O45" s="45">
        <v>10</v>
      </c>
      <c r="P45" s="45">
        <v>10</v>
      </c>
      <c r="Q45" s="45">
        <v>10</v>
      </c>
      <c r="R45" s="45">
        <v>10</v>
      </c>
      <c r="S45" s="45">
        <v>10</v>
      </c>
      <c r="T45" s="45">
        <v>10</v>
      </c>
      <c r="U45" s="45">
        <v>10</v>
      </c>
      <c r="V45" s="45">
        <v>10</v>
      </c>
      <c r="W45" s="45">
        <v>10</v>
      </c>
      <c r="X45" s="45">
        <v>10</v>
      </c>
      <c r="Y45" s="45">
        <v>5</v>
      </c>
      <c r="Z45" s="45">
        <v>5</v>
      </c>
      <c r="AA45" s="45">
        <v>5</v>
      </c>
      <c r="AB45" s="45">
        <v>5</v>
      </c>
      <c r="AC45" s="45">
        <v>5</v>
      </c>
      <c r="AD45" s="45">
        <v>5</v>
      </c>
      <c r="AE45" s="45">
        <v>5</v>
      </c>
      <c r="AF45" s="45">
        <v>5</v>
      </c>
      <c r="AG45" s="54">
        <v>10</v>
      </c>
      <c r="AH45" s="47">
        <f t="shared" si="2"/>
        <v>10</v>
      </c>
      <c r="AI45" s="48">
        <f t="shared" si="3"/>
        <v>5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AF50" si="4">SUM(B11:B48)</f>
        <v>902.01</v>
      </c>
      <c r="C50" s="59">
        <f t="shared" si="4"/>
        <v>902.01</v>
      </c>
      <c r="D50" s="59">
        <f t="shared" si="4"/>
        <v>902.01</v>
      </c>
      <c r="E50" s="59">
        <f t="shared" si="4"/>
        <v>838.81000000000006</v>
      </c>
      <c r="F50" s="59">
        <f t="shared" si="4"/>
        <v>838.81000000000006</v>
      </c>
      <c r="G50" s="59">
        <f t="shared" si="4"/>
        <v>855.31000000000006</v>
      </c>
      <c r="H50" s="59">
        <f t="shared" si="4"/>
        <v>855.31000000000006</v>
      </c>
      <c r="I50" s="59">
        <f t="shared" si="4"/>
        <v>890.91000000000008</v>
      </c>
      <c r="J50" s="59">
        <f t="shared" si="4"/>
        <v>908.01</v>
      </c>
      <c r="K50" s="59">
        <f t="shared" si="4"/>
        <v>898.01</v>
      </c>
      <c r="L50" s="59">
        <f t="shared" si="4"/>
        <v>903.01</v>
      </c>
      <c r="M50" s="59">
        <f t="shared" si="4"/>
        <v>919.01</v>
      </c>
      <c r="N50" s="59">
        <f t="shared" si="4"/>
        <v>924.01</v>
      </c>
      <c r="O50" s="59">
        <f t="shared" si="4"/>
        <v>959.01</v>
      </c>
      <c r="P50" s="59">
        <f t="shared" si="4"/>
        <v>959.01</v>
      </c>
      <c r="Q50" s="59">
        <f t="shared" si="4"/>
        <v>958.81</v>
      </c>
      <c r="R50" s="59">
        <f t="shared" si="4"/>
        <v>953.71</v>
      </c>
      <c r="S50" s="59">
        <f t="shared" si="4"/>
        <v>953.71</v>
      </c>
      <c r="T50" s="59">
        <f t="shared" si="4"/>
        <v>953.71</v>
      </c>
      <c r="U50" s="59">
        <f t="shared" si="4"/>
        <v>953.71</v>
      </c>
      <c r="V50" s="59">
        <f t="shared" ref="V50:X50" si="5">SUM(V11:V48)</f>
        <v>958.71</v>
      </c>
      <c r="W50" s="59">
        <f t="shared" si="5"/>
        <v>967.81</v>
      </c>
      <c r="X50" s="59">
        <f t="shared" si="5"/>
        <v>937.41000000000008</v>
      </c>
      <c r="Y50" s="59">
        <f t="shared" si="4"/>
        <v>927.41000000000008</v>
      </c>
      <c r="Z50" s="59">
        <f t="shared" si="4"/>
        <v>931.41000000000008</v>
      </c>
      <c r="AA50" s="59">
        <f>SUM(AA11:AA48)</f>
        <v>987.01</v>
      </c>
      <c r="AB50" s="59">
        <f t="shared" si="4"/>
        <v>965.61</v>
      </c>
      <c r="AC50" s="59">
        <f t="shared" si="4"/>
        <v>965.61</v>
      </c>
      <c r="AD50" s="59">
        <f t="shared" si="4"/>
        <v>965.61</v>
      </c>
      <c r="AE50" s="59">
        <f t="shared" si="4"/>
        <v>935.61</v>
      </c>
      <c r="AF50" s="59">
        <f t="shared" si="4"/>
        <v>916.61</v>
      </c>
      <c r="AG50" s="60">
        <f>SUM(AG13:AG48)</f>
        <v>922.14</v>
      </c>
      <c r="AH50" s="47">
        <f t="shared" si="2"/>
        <v>987.01</v>
      </c>
      <c r="AI50" s="48">
        <f t="shared" si="3"/>
        <v>838.81000000000006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62">
        <v>456</v>
      </c>
      <c r="P51" s="62">
        <v>456</v>
      </c>
      <c r="Q51" s="62">
        <v>456</v>
      </c>
      <c r="R51" s="62">
        <v>456</v>
      </c>
      <c r="S51" s="62">
        <v>456</v>
      </c>
      <c r="T51" s="62">
        <v>456</v>
      </c>
      <c r="U51" s="62">
        <v>456</v>
      </c>
      <c r="V51" s="62">
        <v>456</v>
      </c>
      <c r="W51" s="62">
        <v>456</v>
      </c>
      <c r="X51" s="62">
        <v>456</v>
      </c>
      <c r="Y51" s="62">
        <v>456</v>
      </c>
      <c r="Z51" s="62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</v>
      </c>
      <c r="C53" s="66">
        <v>22</v>
      </c>
      <c r="D53" s="66">
        <v>22</v>
      </c>
      <c r="E53" s="66">
        <v>22</v>
      </c>
      <c r="F53" s="66">
        <v>22</v>
      </c>
      <c r="G53" s="66">
        <v>22</v>
      </c>
      <c r="H53" s="66">
        <v>22</v>
      </c>
      <c r="I53" s="66">
        <v>22</v>
      </c>
      <c r="J53" s="66">
        <v>22</v>
      </c>
      <c r="K53" s="66">
        <v>22</v>
      </c>
      <c r="L53" s="66">
        <v>22</v>
      </c>
      <c r="M53" s="66">
        <v>22</v>
      </c>
      <c r="N53" s="66">
        <v>22</v>
      </c>
      <c r="O53" s="66">
        <v>22.5</v>
      </c>
      <c r="P53" s="66">
        <v>22.5</v>
      </c>
      <c r="Q53" s="66">
        <v>22.4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22</v>
      </c>
      <c r="AK53" s="74"/>
    </row>
    <row r="54" spans="1:41" ht="15.75" thickBot="1" x14ac:dyDescent="0.3">
      <c r="A54" s="68" t="s">
        <v>70</v>
      </c>
      <c r="B54" s="59">
        <f t="shared" ref="B54:AG54" si="6">SUM(B51:B53)</f>
        <v>533</v>
      </c>
      <c r="C54" s="59">
        <f t="shared" si="6"/>
        <v>533</v>
      </c>
      <c r="D54" s="59">
        <f t="shared" si="6"/>
        <v>533</v>
      </c>
      <c r="E54" s="59">
        <f t="shared" si="6"/>
        <v>533</v>
      </c>
      <c r="F54" s="59">
        <f t="shared" si="6"/>
        <v>533</v>
      </c>
      <c r="G54" s="59">
        <f t="shared" si="6"/>
        <v>533</v>
      </c>
      <c r="H54" s="59">
        <f t="shared" si="6"/>
        <v>533</v>
      </c>
      <c r="I54" s="59">
        <f t="shared" si="6"/>
        <v>533</v>
      </c>
      <c r="J54" s="59">
        <f t="shared" si="6"/>
        <v>533</v>
      </c>
      <c r="K54" s="59">
        <f t="shared" si="6"/>
        <v>533</v>
      </c>
      <c r="L54" s="59">
        <f t="shared" si="6"/>
        <v>533</v>
      </c>
      <c r="M54" s="59">
        <f t="shared" si="6"/>
        <v>533</v>
      </c>
      <c r="N54" s="59">
        <f t="shared" si="6"/>
        <v>533</v>
      </c>
      <c r="O54" s="59">
        <f t="shared" si="6"/>
        <v>533.5</v>
      </c>
      <c r="P54" s="59">
        <f t="shared" si="6"/>
        <v>533.5</v>
      </c>
      <c r="Q54" s="59">
        <f t="shared" si="6"/>
        <v>533.4</v>
      </c>
      <c r="R54" s="59">
        <f t="shared" si="6"/>
        <v>533.5</v>
      </c>
      <c r="S54" s="59">
        <f t="shared" si="6"/>
        <v>533.5</v>
      </c>
      <c r="T54" s="59">
        <f t="shared" si="6"/>
        <v>533.5</v>
      </c>
      <c r="U54" s="59">
        <f t="shared" si="6"/>
        <v>533.5</v>
      </c>
      <c r="V54" s="59">
        <f t="shared" ref="V54:X54" si="7">SUM(V51:V53)</f>
        <v>533.5</v>
      </c>
      <c r="W54" s="59">
        <f t="shared" si="7"/>
        <v>533.5</v>
      </c>
      <c r="X54" s="59">
        <f t="shared" si="7"/>
        <v>533.5</v>
      </c>
      <c r="Y54" s="59">
        <f t="shared" si="6"/>
        <v>533.5</v>
      </c>
      <c r="Z54" s="59">
        <f t="shared" si="6"/>
        <v>533.5</v>
      </c>
      <c r="AA54" s="59">
        <f>SUM(AA51:AA53)</f>
        <v>533.5</v>
      </c>
      <c r="AB54" s="59">
        <f t="shared" si="6"/>
        <v>533.5</v>
      </c>
      <c r="AC54" s="59">
        <f t="shared" si="6"/>
        <v>533.5</v>
      </c>
      <c r="AD54" s="59">
        <f t="shared" si="6"/>
        <v>533.5</v>
      </c>
      <c r="AE54" s="59">
        <f t="shared" si="6"/>
        <v>533.5</v>
      </c>
      <c r="AF54" s="59">
        <f t="shared" si="6"/>
        <v>533.5</v>
      </c>
      <c r="AG54" s="60">
        <f t="shared" si="6"/>
        <v>538.1</v>
      </c>
      <c r="AH54" s="47">
        <f t="shared" si="2"/>
        <v>533.5</v>
      </c>
      <c r="AI54" s="48">
        <f t="shared" si="3"/>
        <v>533</v>
      </c>
      <c r="AK54" s="74"/>
    </row>
    <row r="55" spans="1:41" x14ac:dyDescent="0.25">
      <c r="A55" s="44" t="s">
        <v>71</v>
      </c>
      <c r="B55" s="45">
        <v>91</v>
      </c>
      <c r="C55" s="45">
        <v>91</v>
      </c>
      <c r="D55" s="45">
        <v>91</v>
      </c>
      <c r="E55" s="45">
        <v>90.9</v>
      </c>
      <c r="F55" s="45">
        <v>90.9</v>
      </c>
      <c r="G55" s="45">
        <v>90.9</v>
      </c>
      <c r="H55" s="45">
        <v>94.8</v>
      </c>
      <c r="I55" s="45">
        <v>95</v>
      </c>
      <c r="J55" s="45">
        <v>95</v>
      </c>
      <c r="K55" s="45">
        <v>94</v>
      </c>
      <c r="L55" s="45">
        <v>95</v>
      </c>
      <c r="M55" s="45">
        <v>95</v>
      </c>
      <c r="N55" s="45">
        <v>95</v>
      </c>
      <c r="O55" s="45">
        <v>95</v>
      </c>
      <c r="P55" s="45">
        <v>95</v>
      </c>
      <c r="Q55" s="45">
        <v>95</v>
      </c>
      <c r="R55" s="45">
        <v>95</v>
      </c>
      <c r="S55" s="45">
        <v>95</v>
      </c>
      <c r="T55" s="45">
        <v>95</v>
      </c>
      <c r="U55" s="45">
        <v>95</v>
      </c>
      <c r="V55" s="45">
        <v>95</v>
      </c>
      <c r="W55" s="45">
        <v>95</v>
      </c>
      <c r="X55" s="45">
        <v>95</v>
      </c>
      <c r="Y55" s="45">
        <v>95</v>
      </c>
      <c r="Z55" s="45">
        <v>96.1</v>
      </c>
      <c r="AA55" s="45">
        <v>96.1</v>
      </c>
      <c r="AB55" s="45">
        <v>96.5</v>
      </c>
      <c r="AC55" s="45">
        <v>96.5</v>
      </c>
      <c r="AD55" s="45">
        <v>96.5</v>
      </c>
      <c r="AE55" s="45">
        <v>96.5</v>
      </c>
      <c r="AF55" s="45">
        <v>96.5</v>
      </c>
      <c r="AG55" s="51">
        <v>144</v>
      </c>
      <c r="AH55" s="47">
        <f t="shared" si="2"/>
        <v>96.5</v>
      </c>
      <c r="AI55" s="48">
        <f t="shared" si="3"/>
        <v>90.9</v>
      </c>
      <c r="AK55" s="74"/>
    </row>
    <row r="56" spans="1:41" x14ac:dyDescent="0.25">
      <c r="A56" s="53" t="s">
        <v>72</v>
      </c>
      <c r="B56" s="64">
        <v>70</v>
      </c>
      <c r="C56" s="64">
        <v>70</v>
      </c>
      <c r="D56" s="64">
        <v>70</v>
      </c>
      <c r="E56" s="64">
        <v>65.599999999999994</v>
      </c>
      <c r="F56" s="64">
        <v>60.9</v>
      </c>
      <c r="G56" s="64">
        <v>61.5</v>
      </c>
      <c r="H56" s="64">
        <v>70.900000000000006</v>
      </c>
      <c r="I56" s="64">
        <v>71.3</v>
      </c>
      <c r="J56" s="64">
        <v>71.3</v>
      </c>
      <c r="K56" s="64">
        <v>71.3</v>
      </c>
      <c r="L56" s="64">
        <v>71.3</v>
      </c>
      <c r="M56" s="64">
        <v>71.3</v>
      </c>
      <c r="N56" s="64">
        <v>71.3</v>
      </c>
      <c r="O56" s="64">
        <v>71.3</v>
      </c>
      <c r="P56" s="64">
        <v>71.3</v>
      </c>
      <c r="Q56" s="64">
        <v>71.3</v>
      </c>
      <c r="R56" s="64">
        <v>71.3</v>
      </c>
      <c r="S56" s="64">
        <v>71.3</v>
      </c>
      <c r="T56" s="64">
        <v>71.3</v>
      </c>
      <c r="U56" s="64">
        <v>71.3</v>
      </c>
      <c r="V56" s="64">
        <v>71.3</v>
      </c>
      <c r="W56" s="64">
        <v>71.3</v>
      </c>
      <c r="X56" s="64">
        <v>71.3</v>
      </c>
      <c r="Y56" s="64">
        <v>71.3</v>
      </c>
      <c r="Z56" s="45">
        <v>68.3</v>
      </c>
      <c r="AA56" s="45">
        <v>71.400000000000006</v>
      </c>
      <c r="AB56" s="45">
        <v>69.599999999999994</v>
      </c>
      <c r="AC56" s="45">
        <v>69.599999999999994</v>
      </c>
      <c r="AD56" s="45">
        <v>69.599999999999994</v>
      </c>
      <c r="AE56" s="45">
        <v>69.599999999999994</v>
      </c>
      <c r="AF56" s="45">
        <v>69.599999999999994</v>
      </c>
      <c r="AG56" s="54">
        <v>70</v>
      </c>
      <c r="AH56" s="47">
        <f t="shared" si="2"/>
        <v>71.400000000000006</v>
      </c>
      <c r="AI56" s="48">
        <f t="shared" si="3"/>
        <v>60.9</v>
      </c>
      <c r="AK56" s="74"/>
    </row>
    <row r="57" spans="1:41" x14ac:dyDescent="0.25">
      <c r="A57" s="53" t="s">
        <v>73</v>
      </c>
      <c r="B57" s="64">
        <v>66.599999999999994</v>
      </c>
      <c r="C57" s="64">
        <v>66.599999999999994</v>
      </c>
      <c r="D57" s="64">
        <v>55</v>
      </c>
      <c r="E57" s="64">
        <v>55.8</v>
      </c>
      <c r="F57" s="64">
        <v>54.3</v>
      </c>
      <c r="G57" s="64">
        <v>60.4</v>
      </c>
      <c r="H57" s="64">
        <v>65.7</v>
      </c>
      <c r="I57" s="64">
        <v>65.900000000000006</v>
      </c>
      <c r="J57" s="64">
        <v>65.900000000000006</v>
      </c>
      <c r="K57" s="64">
        <v>65.900000000000006</v>
      </c>
      <c r="L57" s="64">
        <v>65.900000000000006</v>
      </c>
      <c r="M57" s="64">
        <v>65.900000000000006</v>
      </c>
      <c r="N57" s="64">
        <v>65.900000000000006</v>
      </c>
      <c r="O57" s="64">
        <v>65.900000000000006</v>
      </c>
      <c r="P57" s="64">
        <v>65.900000000000006</v>
      </c>
      <c r="Q57" s="64">
        <v>65.900000000000006</v>
      </c>
      <c r="R57" s="64">
        <v>65.900000000000006</v>
      </c>
      <c r="S57" s="64">
        <v>65.900000000000006</v>
      </c>
      <c r="T57" s="64">
        <v>65.900000000000006</v>
      </c>
      <c r="U57" s="64">
        <v>65.900000000000006</v>
      </c>
      <c r="V57" s="64">
        <v>65.900000000000006</v>
      </c>
      <c r="W57" s="64">
        <v>65.900000000000006</v>
      </c>
      <c r="X57" s="64">
        <v>65.900000000000006</v>
      </c>
      <c r="Y57" s="64">
        <v>65.900000000000006</v>
      </c>
      <c r="Z57" s="45">
        <v>67.2</v>
      </c>
      <c r="AA57" s="45">
        <v>67.7</v>
      </c>
      <c r="AB57" s="45">
        <v>67.7</v>
      </c>
      <c r="AC57" s="45">
        <v>67.7</v>
      </c>
      <c r="AD57" s="45">
        <v>67.7</v>
      </c>
      <c r="AE57" s="45">
        <v>67.7</v>
      </c>
      <c r="AF57" s="45">
        <v>60</v>
      </c>
      <c r="AG57" s="54">
        <v>69</v>
      </c>
      <c r="AH57" s="47">
        <f t="shared" si="2"/>
        <v>67.7</v>
      </c>
      <c r="AI57" s="48">
        <f t="shared" si="3"/>
        <v>54.3</v>
      </c>
      <c r="AK57" s="74"/>
    </row>
    <row r="58" spans="1:41" x14ac:dyDescent="0.25">
      <c r="A58" s="53" t="s">
        <v>74</v>
      </c>
      <c r="B58" s="64">
        <v>61.5</v>
      </c>
      <c r="C58" s="64">
        <v>61.5</v>
      </c>
      <c r="D58" s="64">
        <v>61.5</v>
      </c>
      <c r="E58" s="56">
        <v>50</v>
      </c>
      <c r="F58" s="56">
        <v>50.6</v>
      </c>
      <c r="G58" s="56">
        <v>55</v>
      </c>
      <c r="H58" s="56">
        <v>60</v>
      </c>
      <c r="I58" s="56">
        <v>60.2</v>
      </c>
      <c r="J58" s="56">
        <v>60.2</v>
      </c>
      <c r="K58" s="56">
        <v>60.2</v>
      </c>
      <c r="L58" s="56">
        <v>60.2</v>
      </c>
      <c r="M58" s="56">
        <v>60.2</v>
      </c>
      <c r="N58" s="56">
        <v>60.2</v>
      </c>
      <c r="O58" s="56">
        <v>0</v>
      </c>
      <c r="P58" s="56">
        <v>60</v>
      </c>
      <c r="Q58" s="56">
        <v>60</v>
      </c>
      <c r="R58" s="56">
        <v>60</v>
      </c>
      <c r="S58" s="56">
        <v>60</v>
      </c>
      <c r="T58" s="56">
        <v>60</v>
      </c>
      <c r="U58" s="56">
        <v>60</v>
      </c>
      <c r="V58" s="56">
        <v>60</v>
      </c>
      <c r="W58" s="56">
        <v>60</v>
      </c>
      <c r="X58" s="56">
        <v>60</v>
      </c>
      <c r="Y58" s="56">
        <v>60</v>
      </c>
      <c r="Z58" s="56">
        <v>60</v>
      </c>
      <c r="AA58" s="45">
        <v>60</v>
      </c>
      <c r="AB58" s="45">
        <v>60</v>
      </c>
      <c r="AC58" s="45">
        <v>60</v>
      </c>
      <c r="AD58" s="45">
        <v>60</v>
      </c>
      <c r="AE58" s="45">
        <v>60</v>
      </c>
      <c r="AF58" s="45">
        <v>60</v>
      </c>
      <c r="AG58" s="54">
        <v>60</v>
      </c>
      <c r="AH58" s="47">
        <f t="shared" si="2"/>
        <v>61.5</v>
      </c>
      <c r="AI58" s="48">
        <f t="shared" si="3"/>
        <v>0</v>
      </c>
      <c r="AK58" s="74"/>
    </row>
    <row r="59" spans="1:41" x14ac:dyDescent="0.25">
      <c r="A59" s="53" t="s">
        <v>75</v>
      </c>
      <c r="B59" s="64">
        <v>30</v>
      </c>
      <c r="C59" s="64">
        <v>30</v>
      </c>
      <c r="D59" s="64">
        <v>30</v>
      </c>
      <c r="E59" s="64">
        <v>30</v>
      </c>
      <c r="F59" s="56">
        <v>30</v>
      </c>
      <c r="G59" s="56">
        <v>30</v>
      </c>
      <c r="H59" s="56">
        <v>30</v>
      </c>
      <c r="I59" s="56">
        <v>30</v>
      </c>
      <c r="J59" s="56">
        <v>30</v>
      </c>
      <c r="K59" s="56">
        <v>30</v>
      </c>
      <c r="L59" s="56">
        <v>30</v>
      </c>
      <c r="M59" s="56">
        <v>30</v>
      </c>
      <c r="N59" s="56">
        <v>30</v>
      </c>
      <c r="O59" s="56">
        <v>30</v>
      </c>
      <c r="P59" s="56">
        <v>30</v>
      </c>
      <c r="Q59" s="56">
        <v>30</v>
      </c>
      <c r="R59" s="56">
        <v>30</v>
      </c>
      <c r="S59" s="56">
        <v>30</v>
      </c>
      <c r="T59" s="56">
        <v>30</v>
      </c>
      <c r="U59" s="56">
        <v>30</v>
      </c>
      <c r="V59" s="56">
        <v>30</v>
      </c>
      <c r="W59" s="56">
        <v>30</v>
      </c>
      <c r="X59" s="56">
        <v>30</v>
      </c>
      <c r="Y59" s="56">
        <v>30</v>
      </c>
      <c r="Z59" s="56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30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1</v>
      </c>
      <c r="N60" s="64">
        <v>3.8</v>
      </c>
      <c r="O60" s="64">
        <v>5.7</v>
      </c>
      <c r="P60" s="64">
        <v>5.7</v>
      </c>
      <c r="Q60" s="64">
        <v>5.8</v>
      </c>
      <c r="R60" s="64">
        <v>10.3</v>
      </c>
      <c r="S60" s="64">
        <v>10.3</v>
      </c>
      <c r="T60" s="64">
        <v>10.3</v>
      </c>
      <c r="U60" s="64">
        <v>10.3</v>
      </c>
      <c r="V60" s="64">
        <v>10.3</v>
      </c>
      <c r="W60" s="64">
        <v>10.3</v>
      </c>
      <c r="X60" s="64">
        <v>10.3</v>
      </c>
      <c r="Y60" s="64">
        <v>10.3</v>
      </c>
      <c r="Z60" s="64">
        <v>10.3</v>
      </c>
      <c r="AA60" s="45">
        <v>10.3</v>
      </c>
      <c r="AB60" s="45">
        <v>10.3</v>
      </c>
      <c r="AC60" s="45">
        <v>10.3</v>
      </c>
      <c r="AD60" s="45">
        <v>10.3</v>
      </c>
      <c r="AE60" s="45">
        <v>10.3</v>
      </c>
      <c r="AF60" s="45">
        <v>10.3</v>
      </c>
      <c r="AG60" s="54">
        <v>25</v>
      </c>
      <c r="AH60" s="47">
        <f t="shared" si="2"/>
        <v>10.3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18</v>
      </c>
      <c r="C61" s="64">
        <v>18</v>
      </c>
      <c r="D61" s="64">
        <v>18</v>
      </c>
      <c r="E61" s="64">
        <v>18</v>
      </c>
      <c r="F61" s="64">
        <v>18</v>
      </c>
      <c r="G61" s="64">
        <v>18</v>
      </c>
      <c r="H61" s="64">
        <v>18</v>
      </c>
      <c r="I61" s="64">
        <v>18</v>
      </c>
      <c r="J61" s="64">
        <v>18</v>
      </c>
      <c r="K61" s="64">
        <v>18</v>
      </c>
      <c r="L61" s="64">
        <v>18</v>
      </c>
      <c r="M61" s="64">
        <v>17</v>
      </c>
      <c r="N61" s="64">
        <v>17</v>
      </c>
      <c r="O61" s="64">
        <v>17</v>
      </c>
      <c r="P61" s="64">
        <v>17</v>
      </c>
      <c r="Q61" s="64">
        <v>17</v>
      </c>
      <c r="R61" s="64">
        <v>17</v>
      </c>
      <c r="S61" s="64">
        <v>17</v>
      </c>
      <c r="T61" s="64">
        <v>17</v>
      </c>
      <c r="U61" s="64">
        <v>17</v>
      </c>
      <c r="V61" s="64">
        <v>17</v>
      </c>
      <c r="W61" s="64">
        <v>17</v>
      </c>
      <c r="X61" s="64">
        <v>17</v>
      </c>
      <c r="Y61" s="64">
        <v>17</v>
      </c>
      <c r="Z61" s="64">
        <v>17</v>
      </c>
      <c r="AA61" s="64">
        <v>17</v>
      </c>
      <c r="AB61" s="64">
        <v>17</v>
      </c>
      <c r="AC61" s="64">
        <v>17</v>
      </c>
      <c r="AD61" s="64">
        <v>17</v>
      </c>
      <c r="AE61" s="64">
        <v>17</v>
      </c>
      <c r="AF61" s="64">
        <v>17</v>
      </c>
      <c r="AG61" s="54">
        <v>24</v>
      </c>
      <c r="AH61" s="47">
        <f t="shared" si="2"/>
        <v>18</v>
      </c>
      <c r="AI61" s="48">
        <f t="shared" si="3"/>
        <v>17</v>
      </c>
      <c r="AK61" s="74"/>
    </row>
    <row r="62" spans="1:41" x14ac:dyDescent="0.25">
      <c r="A62" s="53" t="s">
        <v>78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>
        <v>0</v>
      </c>
      <c r="P62" s="64">
        <v>0</v>
      </c>
      <c r="Q62" s="64">
        <v>0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2"/>
        <v>4</v>
      </c>
      <c r="AI62" s="48">
        <f t="shared" si="3"/>
        <v>0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13.6</v>
      </c>
      <c r="C63" s="64">
        <v>13.6</v>
      </c>
      <c r="D63" s="64">
        <v>13.6</v>
      </c>
      <c r="E63" s="64">
        <v>13.6</v>
      </c>
      <c r="F63" s="64">
        <v>13.6</v>
      </c>
      <c r="G63" s="64">
        <v>13.6</v>
      </c>
      <c r="H63" s="64">
        <v>13.6</v>
      </c>
      <c r="I63" s="64">
        <v>13.6</v>
      </c>
      <c r="J63" s="64">
        <v>13.6</v>
      </c>
      <c r="K63" s="64">
        <v>13.6</v>
      </c>
      <c r="L63" s="64">
        <v>13.6</v>
      </c>
      <c r="M63" s="64">
        <v>12.8</v>
      </c>
      <c r="N63" s="64">
        <v>12.8</v>
      </c>
      <c r="O63" s="64">
        <v>12.8</v>
      </c>
      <c r="P63" s="64">
        <v>12.8</v>
      </c>
      <c r="Q63" s="64">
        <v>12.8</v>
      </c>
      <c r="R63" s="64">
        <v>12.8</v>
      </c>
      <c r="S63" s="64">
        <v>12.8</v>
      </c>
      <c r="T63" s="64">
        <v>12.8</v>
      </c>
      <c r="U63" s="64">
        <v>12.8</v>
      </c>
      <c r="V63" s="64">
        <v>12.8</v>
      </c>
      <c r="W63" s="64">
        <v>12.8</v>
      </c>
      <c r="X63" s="64">
        <v>12.8</v>
      </c>
      <c r="Y63" s="64">
        <v>12.8</v>
      </c>
      <c r="Z63" s="64">
        <v>12.8</v>
      </c>
      <c r="AA63" s="64">
        <v>12.8</v>
      </c>
      <c r="AB63" s="64">
        <v>12.8</v>
      </c>
      <c r="AC63" s="64">
        <v>12.8</v>
      </c>
      <c r="AD63" s="64">
        <v>12.8</v>
      </c>
      <c r="AE63" s="64">
        <v>12.8</v>
      </c>
      <c r="AF63" s="64">
        <v>12.8</v>
      </c>
      <c r="AG63" s="54">
        <v>14.1</v>
      </c>
      <c r="AH63" s="47">
        <f t="shared" si="2"/>
        <v>13.6</v>
      </c>
      <c r="AI63" s="48">
        <f t="shared" si="3"/>
        <v>12.8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10</v>
      </c>
      <c r="C64" s="64">
        <v>10</v>
      </c>
      <c r="D64" s="64">
        <v>10</v>
      </c>
      <c r="E64" s="64">
        <v>10</v>
      </c>
      <c r="F64" s="64">
        <v>10</v>
      </c>
      <c r="G64" s="64">
        <v>10</v>
      </c>
      <c r="H64" s="64">
        <v>10</v>
      </c>
      <c r="I64" s="64">
        <v>10</v>
      </c>
      <c r="J64" s="64">
        <v>10</v>
      </c>
      <c r="K64" s="64">
        <v>10</v>
      </c>
      <c r="L64" s="64">
        <v>10</v>
      </c>
      <c r="M64" s="64">
        <v>10</v>
      </c>
      <c r="N64" s="64">
        <v>9.9</v>
      </c>
      <c r="O64" s="64">
        <v>9.9</v>
      </c>
      <c r="P64" s="64">
        <v>9.9</v>
      </c>
      <c r="Q64" s="64">
        <v>9.9</v>
      </c>
      <c r="R64" s="64">
        <v>9.9</v>
      </c>
      <c r="S64" s="64">
        <v>9.9</v>
      </c>
      <c r="T64" s="64">
        <v>9.9</v>
      </c>
      <c r="U64" s="64">
        <v>9.9</v>
      </c>
      <c r="V64" s="64">
        <v>9.9</v>
      </c>
      <c r="W64" s="64">
        <v>9.9</v>
      </c>
      <c r="X64" s="64">
        <v>9.9</v>
      </c>
      <c r="Y64" s="64">
        <v>9.9</v>
      </c>
      <c r="Z64" s="64">
        <v>9.9</v>
      </c>
      <c r="AA64" s="64">
        <v>9.9</v>
      </c>
      <c r="AB64" s="64">
        <v>9.9</v>
      </c>
      <c r="AC64" s="64">
        <v>9.9</v>
      </c>
      <c r="AD64" s="64">
        <v>9.9</v>
      </c>
      <c r="AE64" s="64">
        <v>9.9</v>
      </c>
      <c r="AF64" s="64">
        <v>9.9</v>
      </c>
      <c r="AG64" s="54">
        <v>14</v>
      </c>
      <c r="AH64" s="47">
        <f t="shared" si="2"/>
        <v>10</v>
      </c>
      <c r="AI64" s="48">
        <f t="shared" si="3"/>
        <v>9.9</v>
      </c>
      <c r="AK64" s="74"/>
    </row>
    <row r="65" spans="1:40" x14ac:dyDescent="0.25">
      <c r="A65" s="53" t="s">
        <v>81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0</v>
      </c>
      <c r="F66" s="64">
        <v>0</v>
      </c>
      <c r="G66" s="64">
        <v>4</v>
      </c>
      <c r="H66" s="64">
        <v>4</v>
      </c>
      <c r="I66" s="64">
        <v>4</v>
      </c>
      <c r="J66" s="64">
        <v>4</v>
      </c>
      <c r="K66" s="64">
        <v>4</v>
      </c>
      <c r="L66" s="64">
        <v>4</v>
      </c>
      <c r="M66" s="64">
        <v>4</v>
      </c>
      <c r="N66" s="64">
        <v>4</v>
      </c>
      <c r="O66" s="64">
        <v>4</v>
      </c>
      <c r="P66" s="64">
        <v>4</v>
      </c>
      <c r="Q66" s="64">
        <v>4</v>
      </c>
      <c r="R66" s="64">
        <v>4</v>
      </c>
      <c r="S66" s="64">
        <v>4</v>
      </c>
      <c r="T66" s="64">
        <v>4</v>
      </c>
      <c r="U66" s="64">
        <v>4</v>
      </c>
      <c r="V66" s="64">
        <v>4</v>
      </c>
      <c r="W66" s="64">
        <v>4</v>
      </c>
      <c r="X66" s="64">
        <v>4</v>
      </c>
      <c r="Y66" s="64">
        <v>4</v>
      </c>
      <c r="Z66" s="64">
        <v>4</v>
      </c>
      <c r="AA66" s="64">
        <v>4</v>
      </c>
      <c r="AB66" s="64">
        <v>4</v>
      </c>
      <c r="AC66" s="64">
        <v>4</v>
      </c>
      <c r="AD66" s="64">
        <v>4</v>
      </c>
      <c r="AE66" s="64">
        <v>4</v>
      </c>
      <c r="AF66" s="64">
        <v>4</v>
      </c>
      <c r="AG66" s="54">
        <v>6.2</v>
      </c>
      <c r="AH66" s="47">
        <f t="shared" si="2"/>
        <v>6.2</v>
      </c>
      <c r="AI66" s="48">
        <f t="shared" si="3"/>
        <v>0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AG68" si="8">SUM(B55:B67)</f>
        <v>383.94000000000005</v>
      </c>
      <c r="C68" s="59">
        <f t="shared" si="8"/>
        <v>383.94000000000005</v>
      </c>
      <c r="D68" s="59">
        <f t="shared" si="8"/>
        <v>372.34000000000003</v>
      </c>
      <c r="E68" s="59">
        <f t="shared" si="8"/>
        <v>350.94000000000005</v>
      </c>
      <c r="F68" s="59">
        <f t="shared" si="8"/>
        <v>345.34000000000009</v>
      </c>
      <c r="G68" s="59">
        <f t="shared" si="8"/>
        <v>360.44000000000005</v>
      </c>
      <c r="H68" s="59">
        <f t="shared" si="8"/>
        <v>384.04</v>
      </c>
      <c r="I68" s="59">
        <f t="shared" si="8"/>
        <v>385.04000000000008</v>
      </c>
      <c r="J68" s="59">
        <f t="shared" si="8"/>
        <v>385.04000000000008</v>
      </c>
      <c r="K68" s="59">
        <f t="shared" si="8"/>
        <v>384.04000000000008</v>
      </c>
      <c r="L68" s="59">
        <f t="shared" si="8"/>
        <v>385.04000000000008</v>
      </c>
      <c r="M68" s="59">
        <f t="shared" si="8"/>
        <v>384.24000000000007</v>
      </c>
      <c r="N68" s="59">
        <f t="shared" si="8"/>
        <v>386.94000000000005</v>
      </c>
      <c r="O68" s="59">
        <f>SUM(O55:O67)</f>
        <v>324.64000000000004</v>
      </c>
      <c r="P68" s="59">
        <f t="shared" si="8"/>
        <v>384.64000000000004</v>
      </c>
      <c r="Q68" s="59">
        <f t="shared" si="8"/>
        <v>384.74000000000007</v>
      </c>
      <c r="R68" s="59">
        <f t="shared" si="8"/>
        <v>393.24000000000007</v>
      </c>
      <c r="S68" s="59">
        <f t="shared" si="8"/>
        <v>393.24000000000007</v>
      </c>
      <c r="T68" s="59">
        <f t="shared" si="8"/>
        <v>393.24000000000007</v>
      </c>
      <c r="U68" s="59">
        <f t="shared" si="8"/>
        <v>393.24000000000007</v>
      </c>
      <c r="V68" s="59">
        <f t="shared" ref="V68:X68" si="9">SUM(V55:V67)</f>
        <v>393.24000000000007</v>
      </c>
      <c r="W68" s="59">
        <f t="shared" si="9"/>
        <v>393.24000000000007</v>
      </c>
      <c r="X68" s="59">
        <f t="shared" si="9"/>
        <v>393.24000000000007</v>
      </c>
      <c r="Y68" s="59">
        <f t="shared" si="8"/>
        <v>393.24000000000007</v>
      </c>
      <c r="Z68" s="59">
        <f t="shared" si="8"/>
        <v>392.64</v>
      </c>
      <c r="AA68" s="59">
        <f>SUM(AA55:AA67)</f>
        <v>396.24</v>
      </c>
      <c r="AB68" s="59">
        <f t="shared" si="8"/>
        <v>394.84000000000003</v>
      </c>
      <c r="AC68" s="59">
        <f t="shared" si="8"/>
        <v>394.84000000000003</v>
      </c>
      <c r="AD68" s="59">
        <f t="shared" si="8"/>
        <v>394.84000000000003</v>
      </c>
      <c r="AE68" s="59">
        <f t="shared" si="8"/>
        <v>394.84000000000003</v>
      </c>
      <c r="AF68" s="59">
        <f t="shared" si="8"/>
        <v>387.14000000000004</v>
      </c>
      <c r="AG68" s="60">
        <f t="shared" si="8"/>
        <v>489.91</v>
      </c>
      <c r="AH68" s="47">
        <f t="shared" si="2"/>
        <v>396.24</v>
      </c>
      <c r="AI68" s="48">
        <f t="shared" si="3"/>
        <v>324.64000000000004</v>
      </c>
      <c r="AK68" s="74"/>
    </row>
    <row r="69" spans="1:40" x14ac:dyDescent="0.25">
      <c r="A69" s="44" t="s">
        <v>85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14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14</v>
      </c>
      <c r="AI69" s="48">
        <f t="shared" si="3"/>
        <v>0</v>
      </c>
      <c r="AK69" s="74"/>
    </row>
    <row r="70" spans="1:40" x14ac:dyDescent="0.25">
      <c r="A70" s="53" t="s">
        <v>86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8.5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4</v>
      </c>
      <c r="AC70" s="64">
        <v>4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8.5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4.2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1.5</v>
      </c>
      <c r="AC71" s="66">
        <v>1.5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4.2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>B69+B70+B71</f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F72" si="10">M69+M70+M71</f>
        <v>0</v>
      </c>
      <c r="N72" s="59">
        <f t="shared" si="10"/>
        <v>0</v>
      </c>
      <c r="O72" s="59">
        <f t="shared" si="10"/>
        <v>0</v>
      </c>
      <c r="P72" s="59">
        <f t="shared" si="10"/>
        <v>0</v>
      </c>
      <c r="Q72" s="59">
        <f t="shared" si="10"/>
        <v>0</v>
      </c>
      <c r="R72" s="59">
        <f t="shared" si="10"/>
        <v>0</v>
      </c>
      <c r="S72" s="59">
        <f t="shared" si="10"/>
        <v>0</v>
      </c>
      <c r="T72" s="59">
        <f t="shared" si="10"/>
        <v>0</v>
      </c>
      <c r="U72" s="59">
        <f t="shared" si="10"/>
        <v>0</v>
      </c>
      <c r="V72" s="59">
        <f t="shared" ref="V72:X72" si="11">V69+V70+V71</f>
        <v>26.7</v>
      </c>
      <c r="W72" s="59">
        <f t="shared" si="11"/>
        <v>0</v>
      </c>
      <c r="X72" s="59">
        <f t="shared" si="11"/>
        <v>0</v>
      </c>
      <c r="Y72" s="59">
        <f t="shared" si="10"/>
        <v>0</v>
      </c>
      <c r="Z72" s="59">
        <f t="shared" si="10"/>
        <v>0</v>
      </c>
      <c r="AA72" s="59">
        <f>SUM(AA69:AA71)</f>
        <v>0</v>
      </c>
      <c r="AB72" s="59">
        <v>1.5</v>
      </c>
      <c r="AC72" s="59">
        <f t="shared" si="10"/>
        <v>5.5</v>
      </c>
      <c r="AD72" s="59">
        <f t="shared" si="10"/>
        <v>0</v>
      </c>
      <c r="AE72" s="59">
        <f t="shared" si="10"/>
        <v>0</v>
      </c>
      <c r="AF72" s="59">
        <f t="shared" si="10"/>
        <v>0</v>
      </c>
      <c r="AG72" s="60">
        <f>SUM(AG69:AG71)</f>
        <v>106</v>
      </c>
      <c r="AH72" s="47">
        <f t="shared" si="2"/>
        <v>26.7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15</v>
      </c>
      <c r="C73" s="45">
        <v>-14</v>
      </c>
      <c r="D73" s="45">
        <v>-5.5</v>
      </c>
      <c r="E73" s="45">
        <v>-1</v>
      </c>
      <c r="F73" s="45">
        <v>1</v>
      </c>
      <c r="G73" s="45">
        <v>0</v>
      </c>
      <c r="H73" s="45">
        <v>0</v>
      </c>
      <c r="I73" s="45">
        <v>-4</v>
      </c>
      <c r="J73" s="45">
        <v>7.6</v>
      </c>
      <c r="K73" s="45">
        <v>-3.4</v>
      </c>
      <c r="L73" s="45">
        <v>0</v>
      </c>
      <c r="M73" s="45">
        <v>0</v>
      </c>
      <c r="N73" s="45">
        <v>1.4</v>
      </c>
      <c r="O73" s="45">
        <v>24.5</v>
      </c>
      <c r="P73" s="45">
        <v>20.399999999999999</v>
      </c>
      <c r="Q73" s="45">
        <v>24.4</v>
      </c>
      <c r="R73" s="45">
        <v>17.899999999999999</v>
      </c>
      <c r="S73" s="45">
        <v>17.899999999999999</v>
      </c>
      <c r="T73" s="45">
        <v>16.399999999999999</v>
      </c>
      <c r="U73" s="45">
        <v>13.5</v>
      </c>
      <c r="V73" s="45">
        <v>13.5</v>
      </c>
      <c r="W73" s="45">
        <v>13.5</v>
      </c>
      <c r="X73" s="45">
        <v>15</v>
      </c>
      <c r="Y73" s="45">
        <v>-1.6</v>
      </c>
      <c r="Z73" s="45">
        <v>36.299999999999997</v>
      </c>
      <c r="AA73" s="45">
        <v>43.4</v>
      </c>
      <c r="AB73" s="45">
        <v>59.7</v>
      </c>
      <c r="AC73" s="45">
        <v>59.7</v>
      </c>
      <c r="AD73" s="45">
        <v>38.5</v>
      </c>
      <c r="AE73" s="45">
        <v>40</v>
      </c>
      <c r="AF73" s="45">
        <v>26</v>
      </c>
      <c r="AG73" s="51"/>
      <c r="AH73" s="47">
        <f t="shared" si="2"/>
        <v>59.7</v>
      </c>
      <c r="AI73" s="48">
        <f t="shared" si="3"/>
        <v>-14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-302</v>
      </c>
      <c r="C75" s="64">
        <v>-263</v>
      </c>
      <c r="D75" s="64">
        <v>-299</v>
      </c>
      <c r="E75" s="64">
        <v>-260</v>
      </c>
      <c r="F75" s="64">
        <v>-271</v>
      </c>
      <c r="G75" s="64">
        <v>-350.3</v>
      </c>
      <c r="H75" s="64">
        <v>-400</v>
      </c>
      <c r="I75" s="64">
        <v>-395</v>
      </c>
      <c r="J75" s="64">
        <v>-412</v>
      </c>
      <c r="K75" s="64">
        <v>-357</v>
      </c>
      <c r="L75" s="64">
        <v>-336</v>
      </c>
      <c r="M75" s="64">
        <v>-305</v>
      </c>
      <c r="N75" s="64">
        <v>-279</v>
      </c>
      <c r="O75" s="64">
        <v>-280</v>
      </c>
      <c r="P75" s="64">
        <v>-336</v>
      </c>
      <c r="Q75" s="64">
        <v>-298</v>
      </c>
      <c r="R75" s="64">
        <v>-332.4</v>
      </c>
      <c r="S75" s="64">
        <v>-400</v>
      </c>
      <c r="T75" s="64">
        <v>-310</v>
      </c>
      <c r="U75" s="64">
        <v>-353.8</v>
      </c>
      <c r="V75" s="64">
        <v>-353.8</v>
      </c>
      <c r="W75" s="64">
        <v>-353.8</v>
      </c>
      <c r="X75" s="64">
        <v>-411</v>
      </c>
      <c r="Y75" s="64">
        <v>-370</v>
      </c>
      <c r="Z75" s="64">
        <v>-320</v>
      </c>
      <c r="AA75" s="64">
        <v>-290</v>
      </c>
      <c r="AB75" s="64">
        <v>-303</v>
      </c>
      <c r="AC75" s="64">
        <v>-303</v>
      </c>
      <c r="AD75" s="64">
        <v>-304</v>
      </c>
      <c r="AE75" s="64">
        <v>-348</v>
      </c>
      <c r="AF75" s="64">
        <v>-316</v>
      </c>
      <c r="AG75" s="75"/>
      <c r="AH75" s="47">
        <f t="shared" si="2"/>
        <v>-260</v>
      </c>
      <c r="AI75" s="48">
        <f t="shared" si="3"/>
        <v>-412</v>
      </c>
      <c r="AK75" s="74"/>
    </row>
    <row r="76" spans="1:40" x14ac:dyDescent="0.25">
      <c r="A76" s="53" t="s">
        <v>92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75"/>
      <c r="AH76" s="47">
        <f t="shared" si="2"/>
        <v>0</v>
      </c>
      <c r="AI76" s="48">
        <f t="shared" si="3"/>
        <v>0</v>
      </c>
      <c r="AK76" s="74"/>
    </row>
    <row r="77" spans="1:40" x14ac:dyDescent="0.25">
      <c r="A77" s="53" t="s">
        <v>93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12">MAX(B77:AF77)</f>
        <v>0</v>
      </c>
      <c r="AI77" s="48">
        <f t="shared" ref="AI77:AI120" si="13">MIN(B77:AF77)</f>
        <v>0</v>
      </c>
      <c r="AK77" s="74"/>
    </row>
    <row r="78" spans="1:40" x14ac:dyDescent="0.25">
      <c r="A78" s="53" t="s">
        <v>94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5</v>
      </c>
      <c r="AE78" s="77">
        <v>5</v>
      </c>
      <c r="AF78" s="77">
        <v>5</v>
      </c>
      <c r="AG78" s="75"/>
      <c r="AH78" s="47">
        <f t="shared" si="12"/>
        <v>5</v>
      </c>
      <c r="AI78" s="48">
        <f t="shared" si="13"/>
        <v>0</v>
      </c>
      <c r="AK78" s="74"/>
    </row>
    <row r="79" spans="1:40" ht="15.75" thickBot="1" x14ac:dyDescent="0.3">
      <c r="A79" s="53" t="s">
        <v>95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2"/>
        <v>0</v>
      </c>
      <c r="AI79" s="48">
        <f t="shared" si="13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12"/>
        <v>0</v>
      </c>
      <c r="AI80" s="48">
        <f t="shared" si="13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2"/>
        <v>0</v>
      </c>
      <c r="AI81" s="48">
        <f t="shared" si="13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2"/>
        <v>0</v>
      </c>
      <c r="AI82" s="48">
        <f t="shared" si="13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2"/>
        <v>0</v>
      </c>
      <c r="AI83" s="48">
        <f t="shared" si="13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4">SUMIF(B73:B83,"&gt;0")</f>
        <v>15</v>
      </c>
      <c r="C84" s="59">
        <f t="shared" si="14"/>
        <v>0</v>
      </c>
      <c r="D84" s="59">
        <f t="shared" si="14"/>
        <v>0</v>
      </c>
      <c r="E84" s="59">
        <f t="shared" si="14"/>
        <v>0</v>
      </c>
      <c r="F84" s="59">
        <f t="shared" si="14"/>
        <v>1</v>
      </c>
      <c r="G84" s="59">
        <f t="shared" si="14"/>
        <v>0</v>
      </c>
      <c r="H84" s="59">
        <f t="shared" si="14"/>
        <v>0</v>
      </c>
      <c r="I84" s="59">
        <f t="shared" si="14"/>
        <v>0</v>
      </c>
      <c r="J84" s="59">
        <f t="shared" si="14"/>
        <v>7.6</v>
      </c>
      <c r="K84" s="59">
        <f t="shared" si="14"/>
        <v>0</v>
      </c>
      <c r="L84" s="59">
        <f t="shared" si="14"/>
        <v>0</v>
      </c>
      <c r="M84" s="59">
        <f t="shared" si="14"/>
        <v>0</v>
      </c>
      <c r="N84" s="59">
        <f t="shared" si="14"/>
        <v>1.4</v>
      </c>
      <c r="O84" s="59">
        <f t="shared" si="14"/>
        <v>24.5</v>
      </c>
      <c r="P84" s="59">
        <f t="shared" si="14"/>
        <v>20.399999999999999</v>
      </c>
      <c r="Q84" s="59">
        <f t="shared" si="14"/>
        <v>24.4</v>
      </c>
      <c r="R84" s="59">
        <f t="shared" si="14"/>
        <v>17.899999999999999</v>
      </c>
      <c r="S84" s="59">
        <f t="shared" si="14"/>
        <v>17.899999999999999</v>
      </c>
      <c r="T84" s="59">
        <f t="shared" si="14"/>
        <v>16.399999999999999</v>
      </c>
      <c r="U84" s="59">
        <f t="shared" si="14"/>
        <v>13.5</v>
      </c>
      <c r="V84" s="59">
        <f t="shared" ref="V84:X84" si="15">SUMIF(V73:V83,"&gt;0")</f>
        <v>13.5</v>
      </c>
      <c r="W84" s="59">
        <f t="shared" si="15"/>
        <v>13.5</v>
      </c>
      <c r="X84" s="59">
        <f t="shared" si="15"/>
        <v>15</v>
      </c>
      <c r="Y84" s="59">
        <f t="shared" si="14"/>
        <v>0</v>
      </c>
      <c r="Z84" s="59">
        <f t="shared" si="14"/>
        <v>36.299999999999997</v>
      </c>
      <c r="AA84" s="59">
        <f>SUMIF(AA73:AA83,"&gt;0")</f>
        <v>43.4</v>
      </c>
      <c r="AB84" s="59">
        <f t="shared" si="14"/>
        <v>59.7</v>
      </c>
      <c r="AC84" s="59">
        <f t="shared" si="14"/>
        <v>59.7</v>
      </c>
      <c r="AD84" s="59">
        <f t="shared" si="14"/>
        <v>43.5</v>
      </c>
      <c r="AE84" s="59">
        <f t="shared" si="14"/>
        <v>45</v>
      </c>
      <c r="AF84" s="59">
        <f t="shared" si="14"/>
        <v>31</v>
      </c>
      <c r="AG84" s="88">
        <f>SUM(AG73:AG83)</f>
        <v>0</v>
      </c>
      <c r="AH84" s="47">
        <f t="shared" si="12"/>
        <v>59.7</v>
      </c>
      <c r="AI84" s="48">
        <f t="shared" si="13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2"/>
        <v>0</v>
      </c>
      <c r="AI85" s="48">
        <f t="shared" si="13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2"/>
        <v>0</v>
      </c>
      <c r="AI86" s="48">
        <f t="shared" si="13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2"/>
        <v>0</v>
      </c>
      <c r="AI87" s="48">
        <f t="shared" si="13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>
        <f>SUM(AA85:AA87)</f>
        <v>0</v>
      </c>
      <c r="AB88" s="59"/>
      <c r="AC88" s="59"/>
      <c r="AD88" s="59"/>
      <c r="AE88" s="59"/>
      <c r="AF88" s="59"/>
      <c r="AG88" s="88">
        <f>SUM(AG85:AG87)</f>
        <v>55.4</v>
      </c>
      <c r="AH88" s="47">
        <f t="shared" si="12"/>
        <v>0</v>
      </c>
      <c r="AI88" s="48">
        <f t="shared" si="13"/>
        <v>0</v>
      </c>
    </row>
    <row r="89" spans="1:40" ht="15.75" thickBot="1" x14ac:dyDescent="0.3">
      <c r="A89" s="73" t="s">
        <v>108</v>
      </c>
      <c r="B89" s="95">
        <f t="shared" ref="B89:AG89" si="16">B50+B54+B72+B68+B84+B88</f>
        <v>1833.95</v>
      </c>
      <c r="C89" s="95">
        <f t="shared" si="16"/>
        <v>1818.95</v>
      </c>
      <c r="D89" s="95">
        <f t="shared" si="16"/>
        <v>1807.35</v>
      </c>
      <c r="E89" s="95">
        <f t="shared" si="16"/>
        <v>1722.75</v>
      </c>
      <c r="F89" s="95">
        <f t="shared" si="16"/>
        <v>1718.15</v>
      </c>
      <c r="G89" s="95">
        <f t="shared" si="16"/>
        <v>1748.75</v>
      </c>
      <c r="H89" s="95">
        <f t="shared" si="16"/>
        <v>1772.35</v>
      </c>
      <c r="I89" s="95">
        <f t="shared" si="16"/>
        <v>1808.9500000000003</v>
      </c>
      <c r="J89" s="95">
        <f t="shared" si="16"/>
        <v>1833.65</v>
      </c>
      <c r="K89" s="95">
        <f t="shared" si="16"/>
        <v>1815.0500000000002</v>
      </c>
      <c r="L89" s="95">
        <f t="shared" si="16"/>
        <v>1821.0500000000002</v>
      </c>
      <c r="M89" s="95">
        <f t="shared" si="16"/>
        <v>1836.25</v>
      </c>
      <c r="N89" s="95">
        <f t="shared" si="16"/>
        <v>1845.3500000000001</v>
      </c>
      <c r="O89" s="95">
        <f t="shared" si="16"/>
        <v>1841.65</v>
      </c>
      <c r="P89" s="95">
        <f t="shared" si="16"/>
        <v>1897.5500000000002</v>
      </c>
      <c r="Q89" s="95">
        <f t="shared" si="16"/>
        <v>1901.3500000000001</v>
      </c>
      <c r="R89" s="95">
        <f t="shared" si="16"/>
        <v>1898.3500000000001</v>
      </c>
      <c r="S89" s="95">
        <f t="shared" si="16"/>
        <v>1898.3500000000001</v>
      </c>
      <c r="T89" s="95">
        <f t="shared" si="16"/>
        <v>1896.8500000000001</v>
      </c>
      <c r="U89" s="95">
        <f t="shared" si="16"/>
        <v>1893.95</v>
      </c>
      <c r="V89" s="95">
        <f t="shared" ref="V89:X89" si="17">V50+V54+V72+V68+V84+V88</f>
        <v>1925.65</v>
      </c>
      <c r="W89" s="95">
        <f t="shared" si="17"/>
        <v>1908.05</v>
      </c>
      <c r="X89" s="95">
        <f t="shared" si="17"/>
        <v>1879.15</v>
      </c>
      <c r="Y89" s="95">
        <f t="shared" si="16"/>
        <v>1854.15</v>
      </c>
      <c r="Z89" s="95">
        <f t="shared" si="16"/>
        <v>1893.8500000000001</v>
      </c>
      <c r="AA89" s="95">
        <f>SUM(AA50,AA54,AA68,AA72,AA84,AA88)</f>
        <v>1960.15</v>
      </c>
      <c r="AB89" s="95">
        <f t="shared" si="16"/>
        <v>1955.1500000000003</v>
      </c>
      <c r="AC89" s="95">
        <f t="shared" si="16"/>
        <v>1959.1500000000003</v>
      </c>
      <c r="AD89" s="95">
        <f t="shared" si="16"/>
        <v>1937.4500000000003</v>
      </c>
      <c r="AE89" s="95">
        <f t="shared" si="16"/>
        <v>1908.9500000000003</v>
      </c>
      <c r="AF89" s="95">
        <f t="shared" si="16"/>
        <v>1868.2500000000002</v>
      </c>
      <c r="AG89" s="60">
        <f t="shared" si="16"/>
        <v>2111.5500000000002</v>
      </c>
      <c r="AH89" s="47">
        <f t="shared" si="12"/>
        <v>1960.15</v>
      </c>
      <c r="AI89" s="48">
        <f t="shared" si="13"/>
        <v>1718.15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>
        <v>55</v>
      </c>
      <c r="K90" s="97">
        <v>55</v>
      </c>
      <c r="L90" s="97">
        <v>55</v>
      </c>
      <c r="M90" s="97">
        <v>30</v>
      </c>
      <c r="N90" s="97">
        <v>30</v>
      </c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12"/>
        <v>55</v>
      </c>
      <c r="AI90" s="48">
        <f t="shared" si="13"/>
        <v>30</v>
      </c>
    </row>
    <row r="91" spans="1:40" ht="15.75" thickBot="1" x14ac:dyDescent="0.3">
      <c r="A91" s="73" t="s">
        <v>110</v>
      </c>
      <c r="B91" s="95">
        <f t="shared" ref="B91:AF91" si="18">B89+B90</f>
        <v>1833.95</v>
      </c>
      <c r="C91" s="95">
        <f t="shared" si="18"/>
        <v>1818.95</v>
      </c>
      <c r="D91" s="95">
        <f t="shared" si="18"/>
        <v>1807.35</v>
      </c>
      <c r="E91" s="95">
        <f t="shared" si="18"/>
        <v>1722.75</v>
      </c>
      <c r="F91" s="95">
        <f t="shared" si="18"/>
        <v>1718.15</v>
      </c>
      <c r="G91" s="95">
        <f t="shared" si="18"/>
        <v>1748.75</v>
      </c>
      <c r="H91" s="95">
        <f t="shared" si="18"/>
        <v>1772.35</v>
      </c>
      <c r="I91" s="95">
        <f t="shared" si="18"/>
        <v>1808.9500000000003</v>
      </c>
      <c r="J91" s="95">
        <f t="shared" si="18"/>
        <v>1888.65</v>
      </c>
      <c r="K91" s="95">
        <f t="shared" si="18"/>
        <v>1870.0500000000002</v>
      </c>
      <c r="L91" s="95">
        <f t="shared" si="18"/>
        <v>1876.0500000000002</v>
      </c>
      <c r="M91" s="95">
        <f t="shared" si="18"/>
        <v>1866.25</v>
      </c>
      <c r="N91" s="95">
        <f t="shared" si="18"/>
        <v>1875.3500000000001</v>
      </c>
      <c r="O91" s="95">
        <f t="shared" si="18"/>
        <v>1841.65</v>
      </c>
      <c r="P91" s="95">
        <f t="shared" si="18"/>
        <v>1897.5500000000002</v>
      </c>
      <c r="Q91" s="95">
        <f t="shared" si="18"/>
        <v>1901.3500000000001</v>
      </c>
      <c r="R91" s="95">
        <f t="shared" si="18"/>
        <v>1898.3500000000001</v>
      </c>
      <c r="S91" s="95">
        <f t="shared" si="18"/>
        <v>1898.3500000000001</v>
      </c>
      <c r="T91" s="95">
        <f t="shared" si="18"/>
        <v>1896.8500000000001</v>
      </c>
      <c r="U91" s="95">
        <f t="shared" si="18"/>
        <v>1893.95</v>
      </c>
      <c r="V91" s="95">
        <f t="shared" ref="V91:X91" si="19">V89+V90</f>
        <v>1925.65</v>
      </c>
      <c r="W91" s="95">
        <f t="shared" si="19"/>
        <v>1908.05</v>
      </c>
      <c r="X91" s="95">
        <f t="shared" si="19"/>
        <v>1879.15</v>
      </c>
      <c r="Y91" s="95">
        <f t="shared" si="18"/>
        <v>1854.15</v>
      </c>
      <c r="Z91" s="95">
        <f t="shared" si="18"/>
        <v>1893.8500000000001</v>
      </c>
      <c r="AA91" s="95">
        <f>SUM(AA89+AA90)</f>
        <v>1960.15</v>
      </c>
      <c r="AB91" s="95">
        <f t="shared" si="18"/>
        <v>1955.1500000000003</v>
      </c>
      <c r="AC91" s="95">
        <f t="shared" si="18"/>
        <v>1959.1500000000003</v>
      </c>
      <c r="AD91" s="95">
        <f t="shared" si="18"/>
        <v>1937.4500000000003</v>
      </c>
      <c r="AE91" s="95">
        <f t="shared" si="18"/>
        <v>1908.9500000000003</v>
      </c>
      <c r="AF91" s="95">
        <f t="shared" si="18"/>
        <v>1868.2500000000002</v>
      </c>
      <c r="AG91" s="88">
        <f>AG88+AG84+AG72+AG68+AG50+AG90</f>
        <v>1573.45</v>
      </c>
      <c r="AH91" s="47">
        <f t="shared" si="12"/>
        <v>1960.15</v>
      </c>
      <c r="AI91" s="48">
        <f t="shared" si="13"/>
        <v>1718.15</v>
      </c>
    </row>
    <row r="92" spans="1:40" ht="15.75" thickBot="1" x14ac:dyDescent="0.3">
      <c r="A92" s="73" t="s">
        <v>111</v>
      </c>
      <c r="B92" s="95">
        <f t="shared" ref="B92:AF92" si="20">B91-B99</f>
        <v>1833.95</v>
      </c>
      <c r="C92" s="95">
        <f t="shared" si="20"/>
        <v>1818.95</v>
      </c>
      <c r="D92" s="95">
        <f t="shared" si="20"/>
        <v>1807.35</v>
      </c>
      <c r="E92" s="95">
        <f t="shared" si="20"/>
        <v>1722.75</v>
      </c>
      <c r="F92" s="95">
        <f t="shared" si="20"/>
        <v>1718.15</v>
      </c>
      <c r="G92" s="95">
        <f t="shared" si="20"/>
        <v>1748.75</v>
      </c>
      <c r="H92" s="95">
        <f t="shared" si="20"/>
        <v>1772.35</v>
      </c>
      <c r="I92" s="95">
        <f t="shared" si="20"/>
        <v>1808.9500000000003</v>
      </c>
      <c r="J92" s="95">
        <f t="shared" si="20"/>
        <v>1888.65</v>
      </c>
      <c r="K92" s="95">
        <f t="shared" si="20"/>
        <v>1870.0500000000002</v>
      </c>
      <c r="L92" s="95">
        <f t="shared" si="20"/>
        <v>1876.0500000000002</v>
      </c>
      <c r="M92" s="95">
        <f t="shared" si="20"/>
        <v>1866.25</v>
      </c>
      <c r="N92" s="95">
        <f t="shared" si="20"/>
        <v>1875.3500000000001</v>
      </c>
      <c r="O92" s="95">
        <f t="shared" si="20"/>
        <v>1841.65</v>
      </c>
      <c r="P92" s="95">
        <f t="shared" si="20"/>
        <v>1897.5500000000002</v>
      </c>
      <c r="Q92" s="95">
        <f t="shared" si="20"/>
        <v>1901.3500000000001</v>
      </c>
      <c r="R92" s="95">
        <f t="shared" si="20"/>
        <v>1898.3500000000001</v>
      </c>
      <c r="S92" s="95">
        <f t="shared" si="20"/>
        <v>1898.3500000000001</v>
      </c>
      <c r="T92" s="95">
        <f t="shared" si="20"/>
        <v>1896.8500000000001</v>
      </c>
      <c r="U92" s="95">
        <f t="shared" si="20"/>
        <v>1893.95</v>
      </c>
      <c r="V92" s="95">
        <f t="shared" ref="V92:X92" si="21">V91-V99</f>
        <v>1925.65</v>
      </c>
      <c r="W92" s="95">
        <f t="shared" si="21"/>
        <v>1908.05</v>
      </c>
      <c r="X92" s="95">
        <f t="shared" si="21"/>
        <v>1879.15</v>
      </c>
      <c r="Y92" s="95">
        <f t="shared" si="20"/>
        <v>1854.15</v>
      </c>
      <c r="Z92" s="95">
        <f t="shared" si="20"/>
        <v>1893.8500000000001</v>
      </c>
      <c r="AA92" s="95">
        <f>AA91-AA99</f>
        <v>1960.15</v>
      </c>
      <c r="AB92" s="95">
        <f t="shared" si="20"/>
        <v>1955.1500000000003</v>
      </c>
      <c r="AC92" s="95">
        <f t="shared" si="20"/>
        <v>1959.1500000000003</v>
      </c>
      <c r="AD92" s="95">
        <f t="shared" si="20"/>
        <v>1937.4500000000003</v>
      </c>
      <c r="AE92" s="95">
        <f t="shared" si="20"/>
        <v>1908.9500000000003</v>
      </c>
      <c r="AF92" s="95">
        <f t="shared" si="20"/>
        <v>1868.2500000000002</v>
      </c>
      <c r="AG92" s="88"/>
      <c r="AH92" s="47">
        <f t="shared" si="12"/>
        <v>1960.15</v>
      </c>
      <c r="AI92" s="48">
        <f t="shared" si="13"/>
        <v>1718.15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2"/>
        <v>0</v>
      </c>
      <c r="AI93" s="48">
        <f t="shared" si="13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2"/>
        <v>0</v>
      </c>
      <c r="AI94" s="48">
        <f t="shared" si="13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2"/>
        <v>0</v>
      </c>
      <c r="AI95" s="48">
        <f t="shared" si="13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2"/>
        <v>0</v>
      </c>
      <c r="AI96" s="48">
        <f t="shared" si="13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2"/>
        <v>0</v>
      </c>
      <c r="AI97" s="48">
        <f t="shared" si="13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2"/>
        <v>0</v>
      </c>
      <c r="AI98" s="48">
        <f t="shared" si="13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>
        <f>SUM(AA93:AA98)</f>
        <v>0</v>
      </c>
      <c r="AB99" s="59"/>
      <c r="AC99" s="59"/>
      <c r="AD99" s="59"/>
      <c r="AE99" s="59"/>
      <c r="AF99" s="59"/>
      <c r="AG99" s="88"/>
      <c r="AH99" s="47">
        <f t="shared" si="12"/>
        <v>0</v>
      </c>
      <c r="AI99" s="48">
        <f t="shared" si="13"/>
        <v>0</v>
      </c>
      <c r="AK99" s="74"/>
    </row>
    <row r="100" spans="1:37" ht="15.75" thickBot="1" x14ac:dyDescent="0.3">
      <c r="A100" s="73" t="s">
        <v>116</v>
      </c>
      <c r="B100" s="59">
        <f t="shared" ref="B100:AF100" si="22">B84-B99</f>
        <v>15</v>
      </c>
      <c r="C100" s="59">
        <f t="shared" si="22"/>
        <v>0</v>
      </c>
      <c r="D100" s="59">
        <f t="shared" si="22"/>
        <v>0</v>
      </c>
      <c r="E100" s="59">
        <f t="shared" si="22"/>
        <v>0</v>
      </c>
      <c r="F100" s="59">
        <f t="shared" si="22"/>
        <v>1</v>
      </c>
      <c r="G100" s="59">
        <f t="shared" si="22"/>
        <v>0</v>
      </c>
      <c r="H100" s="59">
        <f t="shared" si="22"/>
        <v>0</v>
      </c>
      <c r="I100" s="59">
        <f t="shared" si="22"/>
        <v>0</v>
      </c>
      <c r="J100" s="59">
        <f t="shared" si="22"/>
        <v>7.6</v>
      </c>
      <c r="K100" s="59">
        <f t="shared" si="22"/>
        <v>0</v>
      </c>
      <c r="L100" s="59">
        <f t="shared" si="22"/>
        <v>0</v>
      </c>
      <c r="M100" s="59">
        <f t="shared" si="22"/>
        <v>0</v>
      </c>
      <c r="N100" s="59">
        <f t="shared" si="22"/>
        <v>1.4</v>
      </c>
      <c r="O100" s="59">
        <f t="shared" si="22"/>
        <v>24.5</v>
      </c>
      <c r="P100" s="59">
        <f t="shared" si="22"/>
        <v>20.399999999999999</v>
      </c>
      <c r="Q100" s="59">
        <f t="shared" si="22"/>
        <v>24.4</v>
      </c>
      <c r="R100" s="59">
        <f t="shared" si="22"/>
        <v>17.899999999999999</v>
      </c>
      <c r="S100" s="59">
        <f t="shared" si="22"/>
        <v>17.899999999999999</v>
      </c>
      <c r="T100" s="59">
        <f t="shared" si="22"/>
        <v>16.399999999999999</v>
      </c>
      <c r="U100" s="59">
        <f t="shared" si="22"/>
        <v>13.5</v>
      </c>
      <c r="V100" s="59">
        <f t="shared" ref="V100:X100" si="23">V84-V99</f>
        <v>13.5</v>
      </c>
      <c r="W100" s="59">
        <f t="shared" si="23"/>
        <v>13.5</v>
      </c>
      <c r="X100" s="59">
        <f t="shared" si="23"/>
        <v>15</v>
      </c>
      <c r="Y100" s="59">
        <f t="shared" si="22"/>
        <v>0</v>
      </c>
      <c r="Z100" s="59">
        <f t="shared" si="22"/>
        <v>36.299999999999997</v>
      </c>
      <c r="AA100" s="59">
        <f>AA84-AA99</f>
        <v>43.4</v>
      </c>
      <c r="AB100" s="59">
        <f t="shared" si="22"/>
        <v>59.7</v>
      </c>
      <c r="AC100" s="59">
        <f t="shared" si="22"/>
        <v>59.7</v>
      </c>
      <c r="AD100" s="59">
        <f t="shared" si="22"/>
        <v>43.5</v>
      </c>
      <c r="AE100" s="59">
        <f t="shared" si="22"/>
        <v>45</v>
      </c>
      <c r="AF100" s="59">
        <f t="shared" si="22"/>
        <v>31</v>
      </c>
      <c r="AG100" s="88"/>
      <c r="AH100" s="47">
        <f t="shared" si="12"/>
        <v>59.7</v>
      </c>
      <c r="AI100" s="48">
        <f t="shared" si="13"/>
        <v>0</v>
      </c>
    </row>
    <row r="101" spans="1:37" x14ac:dyDescent="0.25">
      <c r="A101" s="100" t="s">
        <v>117</v>
      </c>
      <c r="B101" s="101">
        <v>49.984999999999999</v>
      </c>
      <c r="C101" s="101">
        <v>49.993000000000002</v>
      </c>
      <c r="D101" s="101">
        <v>50.006999999999998</v>
      </c>
      <c r="E101" s="101">
        <v>49.984000000000002</v>
      </c>
      <c r="F101" s="101">
        <v>50.067</v>
      </c>
      <c r="G101" s="101">
        <v>49.944000000000003</v>
      </c>
      <c r="H101" s="101">
        <v>49.935000000000002</v>
      </c>
      <c r="I101" s="101">
        <v>49.957000000000001</v>
      </c>
      <c r="J101" s="101">
        <v>49.997999999999998</v>
      </c>
      <c r="K101" s="101">
        <v>50.066000000000003</v>
      </c>
      <c r="L101" s="101">
        <v>49.987000000000002</v>
      </c>
      <c r="M101" s="101">
        <v>49.994999999999997</v>
      </c>
      <c r="N101" s="101">
        <v>50.048000000000002</v>
      </c>
      <c r="O101" s="101">
        <v>49.991</v>
      </c>
      <c r="P101" s="101">
        <v>49.917999999999999</v>
      </c>
      <c r="Q101" s="101">
        <v>50.005000000000003</v>
      </c>
      <c r="R101" s="101">
        <v>49.923999999999999</v>
      </c>
      <c r="S101" s="101">
        <v>50</v>
      </c>
      <c r="T101" s="101">
        <v>49.96</v>
      </c>
      <c r="U101" s="101">
        <v>50.064999999999998</v>
      </c>
      <c r="V101" s="101">
        <v>50.064999999999998</v>
      </c>
      <c r="W101" s="101">
        <v>50.064999999999998</v>
      </c>
      <c r="X101" s="101">
        <v>49.85</v>
      </c>
      <c r="Y101" s="101">
        <v>50.07</v>
      </c>
      <c r="Z101" s="101">
        <v>49.95</v>
      </c>
      <c r="AA101" s="101">
        <v>49.69</v>
      </c>
      <c r="AB101" s="101">
        <v>49.854999999999997</v>
      </c>
      <c r="AC101" s="101">
        <v>49.854999999999997</v>
      </c>
      <c r="AD101" s="101">
        <v>49.774999999999999</v>
      </c>
      <c r="AE101" s="101">
        <v>50.021999999999998</v>
      </c>
      <c r="AF101" s="101">
        <v>49.877000000000002</v>
      </c>
      <c r="AG101" s="102"/>
      <c r="AH101" s="47">
        <f t="shared" si="12"/>
        <v>50.07</v>
      </c>
      <c r="AI101" s="48">
        <f t="shared" si="13"/>
        <v>49.69</v>
      </c>
    </row>
    <row r="102" spans="1:37" x14ac:dyDescent="0.25">
      <c r="A102" s="103" t="s">
        <v>118</v>
      </c>
      <c r="B102" s="64">
        <v>124.2</v>
      </c>
      <c r="C102" s="64">
        <v>123.9</v>
      </c>
      <c r="D102" s="64">
        <v>127.8</v>
      </c>
      <c r="E102" s="64">
        <v>127.8</v>
      </c>
      <c r="F102" s="64">
        <v>127.8</v>
      </c>
      <c r="G102" s="64">
        <v>125</v>
      </c>
      <c r="H102" s="64">
        <v>127</v>
      </c>
      <c r="I102" s="64">
        <v>125</v>
      </c>
      <c r="J102" s="64">
        <v>125</v>
      </c>
      <c r="K102" s="64">
        <v>124.7</v>
      </c>
      <c r="L102" s="64">
        <v>122.5</v>
      </c>
      <c r="M102" s="64">
        <v>122</v>
      </c>
      <c r="N102" s="64">
        <v>122.3</v>
      </c>
      <c r="O102" s="64">
        <v>118.5</v>
      </c>
      <c r="P102" s="64">
        <v>121.3</v>
      </c>
      <c r="Q102" s="64">
        <v>120.8</v>
      </c>
      <c r="R102" s="64">
        <v>124.1</v>
      </c>
      <c r="S102" s="64">
        <v>124.1</v>
      </c>
      <c r="T102" s="64">
        <v>120</v>
      </c>
      <c r="U102" s="64">
        <v>124.1</v>
      </c>
      <c r="V102" s="64">
        <v>124.1</v>
      </c>
      <c r="W102" s="64">
        <v>124.1</v>
      </c>
      <c r="X102" s="64">
        <v>124.5</v>
      </c>
      <c r="Y102" s="64">
        <v>123.4</v>
      </c>
      <c r="Z102" s="64">
        <v>123</v>
      </c>
      <c r="AA102" s="64">
        <v>122</v>
      </c>
      <c r="AB102" s="64">
        <v>125.7</v>
      </c>
      <c r="AC102" s="64">
        <v>125.7</v>
      </c>
      <c r="AD102" s="64">
        <v>123.6</v>
      </c>
      <c r="AE102" s="64">
        <v>125.2</v>
      </c>
      <c r="AF102" s="64">
        <v>124.2</v>
      </c>
      <c r="AG102" s="104"/>
      <c r="AH102" s="47">
        <f t="shared" si="12"/>
        <v>127.8</v>
      </c>
      <c r="AI102" s="48">
        <f t="shared" si="13"/>
        <v>118.5</v>
      </c>
    </row>
    <row r="103" spans="1:37" x14ac:dyDescent="0.25">
      <c r="A103" s="103" t="s">
        <v>119</v>
      </c>
      <c r="B103" s="64">
        <v>129.5</v>
      </c>
      <c r="C103" s="64">
        <v>129.4</v>
      </c>
      <c r="D103" s="64">
        <v>132.1</v>
      </c>
      <c r="E103" s="64">
        <v>132.1</v>
      </c>
      <c r="F103" s="64">
        <v>132.1</v>
      </c>
      <c r="G103" s="64">
        <v>129.9</v>
      </c>
      <c r="H103" s="64">
        <v>130</v>
      </c>
      <c r="I103" s="64">
        <v>129.4</v>
      </c>
      <c r="J103" s="64">
        <v>129.4</v>
      </c>
      <c r="K103" s="64">
        <v>128</v>
      </c>
      <c r="L103" s="64">
        <v>126</v>
      </c>
      <c r="M103" s="64">
        <v>125.5</v>
      </c>
      <c r="N103" s="64">
        <v>126.6</v>
      </c>
      <c r="O103" s="64">
        <v>123</v>
      </c>
      <c r="P103" s="64">
        <v>125.6</v>
      </c>
      <c r="Q103" s="64">
        <v>124.7</v>
      </c>
      <c r="R103" s="64">
        <v>127.4</v>
      </c>
      <c r="S103" s="64">
        <v>127.4</v>
      </c>
      <c r="T103" s="64">
        <v>124.9</v>
      </c>
      <c r="U103" s="64">
        <v>127.6</v>
      </c>
      <c r="V103" s="64">
        <v>127.6</v>
      </c>
      <c r="W103" s="64">
        <v>127.6</v>
      </c>
      <c r="X103" s="64">
        <v>128</v>
      </c>
      <c r="Y103" s="64">
        <v>128</v>
      </c>
      <c r="Z103" s="64">
        <v>127.3</v>
      </c>
      <c r="AA103" s="64">
        <v>126.1</v>
      </c>
      <c r="AB103" s="64">
        <v>129.19999999999999</v>
      </c>
      <c r="AC103" s="64">
        <v>129.19999999999999</v>
      </c>
      <c r="AD103" s="64">
        <v>128.5</v>
      </c>
      <c r="AE103" s="64">
        <v>130.19999999999999</v>
      </c>
      <c r="AF103" s="64">
        <v>129.80000000000001</v>
      </c>
      <c r="AG103" s="104"/>
      <c r="AH103" s="47">
        <f t="shared" si="12"/>
        <v>132.1</v>
      </c>
      <c r="AI103" s="48">
        <f t="shared" si="13"/>
        <v>123</v>
      </c>
    </row>
    <row r="104" spans="1:37" x14ac:dyDescent="0.25">
      <c r="A104" s="103" t="s">
        <v>120</v>
      </c>
      <c r="B104" s="64">
        <v>129.9</v>
      </c>
      <c r="C104" s="64">
        <v>127.1</v>
      </c>
      <c r="D104" s="64">
        <v>129</v>
      </c>
      <c r="E104" s="64">
        <v>129</v>
      </c>
      <c r="F104" s="64">
        <v>129</v>
      </c>
      <c r="G104" s="64">
        <v>131.69999999999999</v>
      </c>
      <c r="H104" s="64">
        <v>131</v>
      </c>
      <c r="I104" s="64">
        <v>129</v>
      </c>
      <c r="J104" s="64">
        <v>129</v>
      </c>
      <c r="K104" s="64">
        <v>128.9</v>
      </c>
      <c r="L104" s="64">
        <v>127.7</v>
      </c>
      <c r="M104" s="64">
        <v>122.7</v>
      </c>
      <c r="N104" s="64">
        <v>128.69999999999999</v>
      </c>
      <c r="O104" s="64">
        <v>130.19999999999999</v>
      </c>
      <c r="P104" s="64">
        <v>126.6</v>
      </c>
      <c r="Q104" s="64">
        <v>127.5</v>
      </c>
      <c r="R104" s="64">
        <v>129.19999999999999</v>
      </c>
      <c r="S104" s="64">
        <v>129.19999999999999</v>
      </c>
      <c r="T104" s="64">
        <v>125</v>
      </c>
      <c r="U104" s="64">
        <v>127.3</v>
      </c>
      <c r="V104" s="64">
        <v>127.3</v>
      </c>
      <c r="W104" s="64">
        <v>127.3</v>
      </c>
      <c r="X104" s="64">
        <v>129</v>
      </c>
      <c r="Y104" s="64">
        <v>129</v>
      </c>
      <c r="Z104" s="64">
        <v>125.1</v>
      </c>
      <c r="AA104" s="64">
        <v>120</v>
      </c>
      <c r="AB104" s="64">
        <v>130.6</v>
      </c>
      <c r="AC104" s="64">
        <v>130.6</v>
      </c>
      <c r="AD104" s="64">
        <v>124.4</v>
      </c>
      <c r="AE104" s="64">
        <v>128.69999999999999</v>
      </c>
      <c r="AF104" s="64">
        <v>126.3</v>
      </c>
      <c r="AG104" s="104"/>
      <c r="AH104" s="47">
        <f t="shared" si="12"/>
        <v>131.69999999999999</v>
      </c>
      <c r="AI104" s="48">
        <f t="shared" si="13"/>
        <v>120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2"/>
        <v>0</v>
      </c>
      <c r="AI105" s="48">
        <f t="shared" si="13"/>
        <v>0</v>
      </c>
    </row>
    <row r="106" spans="1:37" x14ac:dyDescent="0.25">
      <c r="A106" s="105" t="s">
        <v>122</v>
      </c>
      <c r="B106" s="106">
        <v>129.80000000000001</v>
      </c>
      <c r="C106" s="106">
        <v>129.9</v>
      </c>
      <c r="D106" s="106">
        <v>131.6</v>
      </c>
      <c r="E106" s="106">
        <v>131.6</v>
      </c>
      <c r="F106" s="106">
        <v>131.6</v>
      </c>
      <c r="G106" s="106">
        <v>130.30000000000001</v>
      </c>
      <c r="H106" s="106">
        <v>132</v>
      </c>
      <c r="I106" s="106">
        <v>129.80000000000001</v>
      </c>
      <c r="J106" s="106">
        <v>129.80000000000001</v>
      </c>
      <c r="K106" s="106">
        <v>129.80000000000001</v>
      </c>
      <c r="L106" s="106">
        <v>129.30000000000001</v>
      </c>
      <c r="M106" s="106">
        <v>129.6</v>
      </c>
      <c r="N106" s="106">
        <v>127.3</v>
      </c>
      <c r="O106" s="106">
        <v>130.6</v>
      </c>
      <c r="P106" s="106">
        <v>131.30000000000001</v>
      </c>
      <c r="Q106" s="106">
        <v>127.3</v>
      </c>
      <c r="R106" s="106">
        <v>132.4</v>
      </c>
      <c r="S106" s="106">
        <v>132.4</v>
      </c>
      <c r="T106" s="106">
        <v>128.19999999999999</v>
      </c>
      <c r="U106" s="106">
        <v>130.5</v>
      </c>
      <c r="V106" s="106">
        <v>130.5</v>
      </c>
      <c r="W106" s="106">
        <v>130.5</v>
      </c>
      <c r="X106" s="106">
        <v>133.6</v>
      </c>
      <c r="Y106" s="106">
        <v>133.6</v>
      </c>
      <c r="Z106" s="106">
        <v>131</v>
      </c>
      <c r="AA106" s="106">
        <v>130.30000000000001</v>
      </c>
      <c r="AB106" s="106">
        <v>131.69999999999999</v>
      </c>
      <c r="AC106" s="106">
        <v>131.69999999999999</v>
      </c>
      <c r="AD106" s="106">
        <v>132.30000000000001</v>
      </c>
      <c r="AE106" s="106">
        <v>133.30000000000001</v>
      </c>
      <c r="AF106" s="106">
        <v>132.19999999999999</v>
      </c>
      <c r="AG106" s="107"/>
      <c r="AH106" s="47">
        <f t="shared" si="12"/>
        <v>133.6</v>
      </c>
      <c r="AI106" s="48">
        <f t="shared" si="13"/>
        <v>127.3</v>
      </c>
    </row>
    <row r="107" spans="1:37" x14ac:dyDescent="0.25">
      <c r="A107" s="103" t="s">
        <v>123</v>
      </c>
      <c r="B107" s="64">
        <v>128.5</v>
      </c>
      <c r="C107" s="64">
        <v>133.30000000000001</v>
      </c>
      <c r="D107" s="64">
        <v>129</v>
      </c>
      <c r="E107" s="64">
        <v>129</v>
      </c>
      <c r="F107" s="64">
        <v>129</v>
      </c>
      <c r="G107" s="64">
        <v>125</v>
      </c>
      <c r="H107" s="64">
        <v>132</v>
      </c>
      <c r="I107" s="64">
        <v>129</v>
      </c>
      <c r="J107" s="64">
        <v>129</v>
      </c>
      <c r="K107" s="64">
        <v>129</v>
      </c>
      <c r="L107" s="64">
        <v>124</v>
      </c>
      <c r="M107" s="64">
        <v>128.69999999999999</v>
      </c>
      <c r="N107" s="64">
        <v>128.9</v>
      </c>
      <c r="O107" s="64">
        <v>130</v>
      </c>
      <c r="P107" s="64">
        <v>128.30000000000001</v>
      </c>
      <c r="Q107" s="64">
        <v>126.6</v>
      </c>
      <c r="R107" s="64">
        <v>122.6</v>
      </c>
      <c r="S107" s="64">
        <v>122.6</v>
      </c>
      <c r="T107" s="64">
        <v>130.5</v>
      </c>
      <c r="U107" s="64">
        <v>127.5</v>
      </c>
      <c r="V107" s="64">
        <v>127.5</v>
      </c>
      <c r="W107" s="64">
        <v>127.5</v>
      </c>
      <c r="X107" s="64">
        <v>128.80000000000001</v>
      </c>
      <c r="Y107" s="64">
        <v>128.80000000000001</v>
      </c>
      <c r="Z107" s="64">
        <v>129.30000000000001</v>
      </c>
      <c r="AA107" s="64">
        <v>119.6</v>
      </c>
      <c r="AB107" s="64">
        <v>122.9</v>
      </c>
      <c r="AC107" s="64">
        <v>122.9</v>
      </c>
      <c r="AD107" s="64">
        <v>128</v>
      </c>
      <c r="AE107" s="64">
        <v>127.5</v>
      </c>
      <c r="AF107" s="64">
        <v>127.4</v>
      </c>
      <c r="AG107" s="104"/>
      <c r="AH107" s="47">
        <f t="shared" si="12"/>
        <v>133.30000000000001</v>
      </c>
      <c r="AI107" s="48">
        <f t="shared" si="13"/>
        <v>119.6</v>
      </c>
    </row>
    <row r="108" spans="1:37" ht="15.75" thickBot="1" x14ac:dyDescent="0.3">
      <c r="A108" s="103" t="s">
        <v>124</v>
      </c>
      <c r="B108" s="92">
        <v>65.2</v>
      </c>
      <c r="C108" s="92">
        <v>65.2</v>
      </c>
      <c r="D108" s="92">
        <v>66.5</v>
      </c>
      <c r="E108" s="92">
        <v>66.5</v>
      </c>
      <c r="F108" s="92">
        <v>66.5</v>
      </c>
      <c r="G108" s="92">
        <v>65.2</v>
      </c>
      <c r="H108" s="92">
        <v>65</v>
      </c>
      <c r="I108" s="92">
        <v>64.8</v>
      </c>
      <c r="J108" s="92">
        <v>64.8</v>
      </c>
      <c r="K108" s="92">
        <v>64.8</v>
      </c>
      <c r="L108" s="92">
        <v>63.4</v>
      </c>
      <c r="M108" s="92">
        <v>62.8</v>
      </c>
      <c r="N108" s="92">
        <v>63.4</v>
      </c>
      <c r="O108" s="92">
        <v>61.3</v>
      </c>
      <c r="P108" s="92">
        <v>63.1</v>
      </c>
      <c r="Q108" s="92">
        <v>62.3</v>
      </c>
      <c r="R108" s="92">
        <v>63.8</v>
      </c>
      <c r="S108" s="92">
        <v>63.8</v>
      </c>
      <c r="T108" s="92">
        <v>62.4</v>
      </c>
      <c r="U108" s="92">
        <v>63.8</v>
      </c>
      <c r="V108" s="92">
        <v>63.8</v>
      </c>
      <c r="W108" s="92">
        <v>63.8</v>
      </c>
      <c r="X108" s="92">
        <v>64.3</v>
      </c>
      <c r="Y108" s="92">
        <v>64.3</v>
      </c>
      <c r="Z108" s="92">
        <v>63.8</v>
      </c>
      <c r="AA108" s="92">
        <v>63.2</v>
      </c>
      <c r="AB108" s="92">
        <v>64.599999999999994</v>
      </c>
      <c r="AC108" s="92">
        <v>64.599999999999994</v>
      </c>
      <c r="AD108" s="92">
        <v>64.5</v>
      </c>
      <c r="AE108" s="92">
        <v>65.3</v>
      </c>
      <c r="AF108" s="92">
        <v>65.2</v>
      </c>
      <c r="AG108" s="108"/>
      <c r="AH108" s="47">
        <f t="shared" si="12"/>
        <v>66.5</v>
      </c>
      <c r="AI108" s="48">
        <f t="shared" si="13"/>
        <v>61.3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 t="str">
        <f>IF(AA92=MAX($B$93:$F$93),"PN","")</f>
        <v/>
      </c>
      <c r="AB109" s="92"/>
      <c r="AC109" s="92"/>
      <c r="AD109" s="92"/>
      <c r="AE109" s="92"/>
      <c r="AF109" s="92"/>
      <c r="AG109" s="108"/>
      <c r="AH109" s="47">
        <f t="shared" si="12"/>
        <v>0</v>
      </c>
      <c r="AI109" s="48">
        <f t="shared" si="13"/>
        <v>0</v>
      </c>
    </row>
    <row r="110" spans="1:37" ht="15.75" thickBot="1" x14ac:dyDescent="0.3">
      <c r="A110" s="110" t="s">
        <v>126</v>
      </c>
      <c r="B110" s="111">
        <f t="shared" ref="B110:M110" si="24">SUM(B20,B26,B29:B30,B58,B60:B61,B63,B65,B111:B115,B138,B144,B150,B159,B161,B173,B180,B183:B184,B191,B193,B195,B199:B201,B203:B205,B210,B216:B217,B219:B221,B229,B234)</f>
        <v>45.600000000000016</v>
      </c>
      <c r="C110" s="111">
        <f t="shared" si="24"/>
        <v>25.739999999999988</v>
      </c>
      <c r="D110" s="111">
        <f t="shared" si="24"/>
        <v>26.940000000000008</v>
      </c>
      <c r="E110" s="111">
        <f t="shared" si="24"/>
        <v>13.13999999999999</v>
      </c>
      <c r="F110" s="111">
        <f t="shared" si="24"/>
        <v>13.539999999999996</v>
      </c>
      <c r="G110" s="111">
        <f t="shared" si="24"/>
        <v>34.139999999999958</v>
      </c>
      <c r="H110" s="111">
        <f t="shared" si="24"/>
        <v>56.640000000000015</v>
      </c>
      <c r="I110" s="111">
        <f t="shared" si="24"/>
        <v>92.54</v>
      </c>
      <c r="J110" s="111">
        <f t="shared" si="24"/>
        <v>92.639999999999972</v>
      </c>
      <c r="K110" s="111">
        <f t="shared" si="24"/>
        <v>133.43999999999997</v>
      </c>
      <c r="L110" s="111">
        <f t="shared" si="24"/>
        <v>147.43999999999997</v>
      </c>
      <c r="M110" s="111">
        <f t="shared" si="24"/>
        <v>156.54</v>
      </c>
      <c r="N110" s="111">
        <f>SUM(N20,N26,N29:N30,N58,N60:N61,N63,N65,N111:N115,N138,N144,N150,N159,N161,N173,N180,N183:N184,N191,N193,N195,N199:N201,N203:N205,N210,N216:N217,N219:N221,N229,N234)</f>
        <v>145.14000000000001</v>
      </c>
      <c r="O110" s="111">
        <f>SUM(O20,O26,O29:O30,O58,O60:O61,O63,O65,O111:O115,O138,O144,O150,O159,O161,O173,O180,O183:O184,O191,O193,O195,O199:O201,O203:O205,O210,O216:O217,O219:O221,O229,O234)</f>
        <v>197.04000000000002</v>
      </c>
      <c r="P110" s="111">
        <v>42</v>
      </c>
      <c r="Q110" s="111">
        <f t="shared" ref="Q110:AF110" si="25">SUM(Q20,Q26,Q29:Q30,Q58,Q60:Q61,Q63,Q65,Q111:Q115,Q138,Q144,Q150,Q159,Q161,Q173,Q180,Q183:Q184,Q191,Q193,Q195,Q199:Q201,Q203:Q205,Q210,Q216:Q217,Q219:Q221,Q229,Q234)</f>
        <v>182.00000000000003</v>
      </c>
      <c r="R110" s="111">
        <f t="shared" si="25"/>
        <v>171.60000000000005</v>
      </c>
      <c r="S110" s="111">
        <f t="shared" si="25"/>
        <v>224</v>
      </c>
      <c r="T110" s="111">
        <f t="shared" si="25"/>
        <v>515.1</v>
      </c>
      <c r="U110" s="111">
        <f t="shared" si="25"/>
        <v>483.6</v>
      </c>
      <c r="V110" s="111">
        <f t="shared" ref="V110:X110" si="26">SUM(V20,V26,V29:V30,V58,V60:V61,V63,V65,V111:V115,V138,V144,V150,V159,V161,V173,V180,V183:V184,V191,V193,V195,V199:V201,V203:V205,V210,V216:V217,V219:V221,V229,V234)</f>
        <v>483.6</v>
      </c>
      <c r="W110" s="111">
        <f t="shared" si="26"/>
        <v>492.70000000000005</v>
      </c>
      <c r="X110" s="111">
        <f t="shared" si="26"/>
        <v>161.69999999999999</v>
      </c>
      <c r="Y110" s="111">
        <f t="shared" si="25"/>
        <v>197.54000000000002</v>
      </c>
      <c r="Z110" s="111">
        <f t="shared" si="25"/>
        <v>214.39999999999998</v>
      </c>
      <c r="AA110" s="111">
        <f>SUM(AA155,AA111:AA115,AA14,AA23,AA29,AA37,AA40,AA58,AA60:AA61,AA63,AA65)</f>
        <v>292.2</v>
      </c>
      <c r="AB110" s="111">
        <f t="shared" si="25"/>
        <v>209.9</v>
      </c>
      <c r="AC110" s="111">
        <f t="shared" si="25"/>
        <v>209.9</v>
      </c>
      <c r="AD110" s="111"/>
      <c r="AE110" s="111">
        <f t="shared" si="25"/>
        <v>92.900000000000034</v>
      </c>
      <c r="AF110" s="111">
        <f t="shared" si="25"/>
        <v>75.300000000000026</v>
      </c>
      <c r="AG110" s="112"/>
      <c r="AH110" s="47">
        <f t="shared" si="12"/>
        <v>515.1</v>
      </c>
      <c r="AI110" s="48">
        <f t="shared" si="13"/>
        <v>13.13999999999999</v>
      </c>
    </row>
    <row r="111" spans="1:37" x14ac:dyDescent="0.25">
      <c r="A111" s="100" t="s">
        <v>127</v>
      </c>
      <c r="B111" s="113">
        <v>13.8</v>
      </c>
      <c r="C111" s="113">
        <v>9</v>
      </c>
      <c r="D111" s="113">
        <v>7.8</v>
      </c>
      <c r="E111" s="113">
        <v>15</v>
      </c>
      <c r="F111" s="113">
        <v>11.6</v>
      </c>
      <c r="G111" s="113">
        <v>18.2</v>
      </c>
      <c r="H111" s="113">
        <v>19.899999999999999</v>
      </c>
      <c r="I111" s="113">
        <v>21.8</v>
      </c>
      <c r="J111" s="113">
        <v>37.6</v>
      </c>
      <c r="K111" s="113">
        <v>20.2</v>
      </c>
      <c r="L111" s="113">
        <v>25.7</v>
      </c>
      <c r="M111" s="113">
        <v>34</v>
      </c>
      <c r="N111" s="113">
        <v>37</v>
      </c>
      <c r="O111" s="113">
        <v>34.9</v>
      </c>
      <c r="P111" s="113">
        <v>42.4</v>
      </c>
      <c r="Q111" s="113">
        <v>42.9</v>
      </c>
      <c r="R111" s="113">
        <v>41.8</v>
      </c>
      <c r="S111" s="113">
        <v>43.7</v>
      </c>
      <c r="T111" s="113">
        <v>51.9</v>
      </c>
      <c r="U111" s="113">
        <v>45.3</v>
      </c>
      <c r="V111" s="113">
        <v>45.3</v>
      </c>
      <c r="W111" s="113">
        <v>45.3</v>
      </c>
      <c r="X111" s="113">
        <v>53.4</v>
      </c>
      <c r="Y111" s="113">
        <v>49.94</v>
      </c>
      <c r="Z111" s="113">
        <v>33.6</v>
      </c>
      <c r="AA111" s="113">
        <v>47.1</v>
      </c>
      <c r="AB111" s="113">
        <v>37.1</v>
      </c>
      <c r="AC111" s="113">
        <v>37.1</v>
      </c>
      <c r="AD111" s="113">
        <v>41.3</v>
      </c>
      <c r="AE111" s="113">
        <v>33</v>
      </c>
      <c r="AF111" s="113">
        <v>18.3</v>
      </c>
      <c r="AG111" s="114">
        <v>75</v>
      </c>
      <c r="AH111" s="47">
        <f t="shared" si="12"/>
        <v>53.4</v>
      </c>
      <c r="AI111" s="48">
        <f t="shared" si="13"/>
        <v>7.8</v>
      </c>
    </row>
    <row r="112" spans="1:37" x14ac:dyDescent="0.25">
      <c r="A112" s="103" t="s">
        <v>128</v>
      </c>
      <c r="B112" s="115">
        <v>29.4</v>
      </c>
      <c r="C112" s="115">
        <v>22.6</v>
      </c>
      <c r="D112" s="115">
        <v>20</v>
      </c>
      <c r="E112" s="115">
        <v>29.1</v>
      </c>
      <c r="F112" s="115">
        <v>25.3</v>
      </c>
      <c r="G112" s="115">
        <v>34.299999999999997</v>
      </c>
      <c r="H112" s="115">
        <v>35.799999999999997</v>
      </c>
      <c r="I112" s="115">
        <v>39.6</v>
      </c>
      <c r="J112" s="115">
        <v>21.7</v>
      </c>
      <c r="K112" s="115">
        <v>35</v>
      </c>
      <c r="L112" s="115">
        <v>41.9</v>
      </c>
      <c r="M112" s="115">
        <v>56.1</v>
      </c>
      <c r="N112" s="115">
        <v>56.2</v>
      </c>
      <c r="O112" s="115">
        <v>52.5</v>
      </c>
      <c r="P112" s="115">
        <v>61.7</v>
      </c>
      <c r="Q112" s="115">
        <v>65.900000000000006</v>
      </c>
      <c r="R112" s="115">
        <v>64.900000000000006</v>
      </c>
      <c r="S112" s="115">
        <v>68.5</v>
      </c>
      <c r="T112" s="115">
        <v>86.1</v>
      </c>
      <c r="U112" s="115">
        <v>75</v>
      </c>
      <c r="V112" s="115">
        <v>75</v>
      </c>
      <c r="W112" s="115">
        <v>75</v>
      </c>
      <c r="X112" s="115">
        <v>78.3</v>
      </c>
      <c r="Y112" s="115">
        <v>53.6</v>
      </c>
      <c r="Z112" s="115">
        <v>46.3</v>
      </c>
      <c r="AA112" s="115">
        <v>67.099999999999994</v>
      </c>
      <c r="AB112" s="115">
        <v>54.6</v>
      </c>
      <c r="AC112" s="115">
        <v>54.6</v>
      </c>
      <c r="AD112" s="115">
        <v>59.7</v>
      </c>
      <c r="AE112" s="115">
        <v>49.8</v>
      </c>
      <c r="AF112" s="115">
        <v>32.200000000000003</v>
      </c>
      <c r="AG112" s="114">
        <v>240</v>
      </c>
      <c r="AH112" s="47">
        <f t="shared" si="12"/>
        <v>86.1</v>
      </c>
      <c r="AI112" s="48">
        <f t="shared" si="13"/>
        <v>20</v>
      </c>
    </row>
    <row r="113" spans="1:37" x14ac:dyDescent="0.25">
      <c r="A113" s="103" t="s">
        <v>129</v>
      </c>
      <c r="B113" s="115">
        <v>-146</v>
      </c>
      <c r="C113" s="115">
        <v>-147</v>
      </c>
      <c r="D113" s="115">
        <v>-145</v>
      </c>
      <c r="E113" s="115">
        <v>-154</v>
      </c>
      <c r="F113" s="115">
        <v>-152</v>
      </c>
      <c r="G113" s="115">
        <v>-148.4</v>
      </c>
      <c r="H113" s="115">
        <v>-135.6</v>
      </c>
      <c r="I113" s="115">
        <v>-125</v>
      </c>
      <c r="J113" s="115">
        <v>-120</v>
      </c>
      <c r="K113" s="115">
        <v>-81</v>
      </c>
      <c r="L113" s="115">
        <v>-83</v>
      </c>
      <c r="M113" s="115">
        <v>-96.4</v>
      </c>
      <c r="N113" s="115">
        <v>-111</v>
      </c>
      <c r="O113" s="115">
        <v>-84</v>
      </c>
      <c r="P113" s="115">
        <v>-102</v>
      </c>
      <c r="Q113" s="115">
        <v>-98</v>
      </c>
      <c r="R113" s="115">
        <v>-111</v>
      </c>
      <c r="S113" s="115">
        <v>-79.099999999999994</v>
      </c>
      <c r="T113" s="115">
        <f>87.2+84.7</f>
        <v>171.9</v>
      </c>
      <c r="U113" s="115">
        <v>148.1</v>
      </c>
      <c r="V113" s="115">
        <v>148.1</v>
      </c>
      <c r="W113" s="115">
        <v>148.1</v>
      </c>
      <c r="X113" s="115">
        <f>-74.5-80.2</f>
        <v>-154.69999999999999</v>
      </c>
      <c r="Y113" s="115">
        <f>-51.8-55.3</f>
        <v>-107.1</v>
      </c>
      <c r="Z113" s="115">
        <f>-29.6-31.9</f>
        <v>-61.5</v>
      </c>
      <c r="AA113" s="115">
        <f>-36.8-39.6</f>
        <v>-76.400000000000006</v>
      </c>
      <c r="AB113" s="115">
        <v>-80</v>
      </c>
      <c r="AC113" s="115">
        <v>-80</v>
      </c>
      <c r="AD113" s="115">
        <v>-113</v>
      </c>
      <c r="AE113" s="115">
        <v>-170</v>
      </c>
      <c r="AF113" s="115">
        <v>-140</v>
      </c>
      <c r="AG113" s="114">
        <v>240</v>
      </c>
      <c r="AH113" s="47">
        <f t="shared" si="12"/>
        <v>171.9</v>
      </c>
      <c r="AI113" s="48">
        <f t="shared" si="13"/>
        <v>-170</v>
      </c>
    </row>
    <row r="114" spans="1:37" x14ac:dyDescent="0.25">
      <c r="A114" s="103" t="s">
        <v>130</v>
      </c>
      <c r="B114" s="115">
        <v>-9.8000000000000007</v>
      </c>
      <c r="C114" s="115">
        <v>-12.6</v>
      </c>
      <c r="D114" s="115">
        <v>-9.4</v>
      </c>
      <c r="E114" s="115">
        <v>-14.1</v>
      </c>
      <c r="F114" s="115">
        <v>-8.8000000000000007</v>
      </c>
      <c r="G114" s="115">
        <v>-12</v>
      </c>
      <c r="H114" s="115">
        <v>-10</v>
      </c>
      <c r="I114" s="115">
        <v>-5.3</v>
      </c>
      <c r="J114" s="115">
        <v>-3.6</v>
      </c>
      <c r="K114" s="115">
        <v>2</v>
      </c>
      <c r="L114" s="115">
        <v>6.1</v>
      </c>
      <c r="M114" s="115">
        <v>1.6</v>
      </c>
      <c r="N114" s="115">
        <v>-1.1000000000000001</v>
      </c>
      <c r="O114" s="115">
        <v>2.4</v>
      </c>
      <c r="P114" s="115">
        <v>2.9</v>
      </c>
      <c r="Q114" s="115">
        <v>0</v>
      </c>
      <c r="R114" s="115">
        <v>2.6</v>
      </c>
      <c r="S114" s="115">
        <v>18.399999999999999</v>
      </c>
      <c r="T114" s="115">
        <v>-3.5</v>
      </c>
      <c r="U114" s="115">
        <v>9.6</v>
      </c>
      <c r="V114" s="115">
        <v>9.6</v>
      </c>
      <c r="W114" s="115">
        <v>9.6</v>
      </c>
      <c r="X114" s="115">
        <v>1.8</v>
      </c>
      <c r="Y114" s="115">
        <v>18.5</v>
      </c>
      <c r="Z114" s="115">
        <v>13.9</v>
      </c>
      <c r="AA114" s="115">
        <v>12.3</v>
      </c>
      <c r="AB114" s="115">
        <v>9.6</v>
      </c>
      <c r="AC114" s="115">
        <v>9.6</v>
      </c>
      <c r="AD114" s="115">
        <v>4.9000000000000004</v>
      </c>
      <c r="AE114" s="115">
        <v>-5</v>
      </c>
      <c r="AF114" s="115">
        <v>-9.5</v>
      </c>
      <c r="AG114" s="114">
        <v>60</v>
      </c>
      <c r="AH114" s="47">
        <f t="shared" si="12"/>
        <v>18.5</v>
      </c>
      <c r="AI114" s="48">
        <f t="shared" si="13"/>
        <v>-14.1</v>
      </c>
    </row>
    <row r="115" spans="1:37" x14ac:dyDescent="0.25">
      <c r="A115" s="116" t="s">
        <v>131</v>
      </c>
      <c r="B115" s="117">
        <v>3.6</v>
      </c>
      <c r="C115" s="117">
        <v>-1.8</v>
      </c>
      <c r="D115" s="117">
        <v>-2</v>
      </c>
      <c r="E115" s="117">
        <v>-1.9</v>
      </c>
      <c r="F115" s="117">
        <v>-2.2000000000000002</v>
      </c>
      <c r="G115" s="117">
        <v>-2</v>
      </c>
      <c r="H115" s="117">
        <v>-2.5</v>
      </c>
      <c r="I115" s="117">
        <v>-2.4</v>
      </c>
      <c r="J115" s="117">
        <v>-2.2999999999999998</v>
      </c>
      <c r="K115" s="117">
        <v>3</v>
      </c>
      <c r="L115" s="117">
        <v>2.5</v>
      </c>
      <c r="M115" s="117">
        <v>7.8</v>
      </c>
      <c r="N115" s="117">
        <v>7.8</v>
      </c>
      <c r="O115" s="117">
        <v>83.3</v>
      </c>
      <c r="P115" s="117">
        <v>10</v>
      </c>
      <c r="Q115" s="117">
        <v>10.1</v>
      </c>
      <c r="R115" s="117">
        <v>10.8</v>
      </c>
      <c r="S115" s="117">
        <v>10</v>
      </c>
      <c r="T115" s="117">
        <v>46.2</v>
      </c>
      <c r="U115" s="117">
        <v>43.1</v>
      </c>
      <c r="V115" s="117">
        <v>43.1</v>
      </c>
      <c r="W115" s="117">
        <v>43.1</v>
      </c>
      <c r="X115" s="117">
        <v>18.7</v>
      </c>
      <c r="Y115" s="117">
        <v>18.399999999999999</v>
      </c>
      <c r="Z115" s="117">
        <v>17.899999999999999</v>
      </c>
      <c r="AA115" s="117">
        <v>17.100000000000001</v>
      </c>
      <c r="AB115" s="117">
        <v>17</v>
      </c>
      <c r="AC115" s="117">
        <v>17</v>
      </c>
      <c r="AD115" s="117">
        <v>17.7</v>
      </c>
      <c r="AE115" s="117">
        <v>18.5</v>
      </c>
      <c r="AF115" s="117">
        <v>12.7</v>
      </c>
      <c r="AG115" s="118">
        <v>120</v>
      </c>
      <c r="AH115" s="47">
        <f t="shared" si="12"/>
        <v>83.3</v>
      </c>
      <c r="AI115" s="48">
        <f t="shared" si="13"/>
        <v>-2.5</v>
      </c>
    </row>
    <row r="116" spans="1:37" x14ac:dyDescent="0.25">
      <c r="A116" s="116" t="s">
        <v>132</v>
      </c>
      <c r="B116" s="117">
        <v>50.3</v>
      </c>
      <c r="C116" s="117">
        <v>54.4</v>
      </c>
      <c r="D116" s="117">
        <v>31.2</v>
      </c>
      <c r="E116" s="117">
        <v>39.5</v>
      </c>
      <c r="F116" s="117">
        <v>45.2</v>
      </c>
      <c r="G116" s="117">
        <v>32.4</v>
      </c>
      <c r="H116" s="117">
        <v>32.200000000000003</v>
      </c>
      <c r="I116" s="117">
        <v>46.3</v>
      </c>
      <c r="J116" s="117">
        <v>31.9</v>
      </c>
      <c r="K116" s="117">
        <v>69.7</v>
      </c>
      <c r="L116" s="117">
        <v>68.7</v>
      </c>
      <c r="M116" s="117">
        <v>75.8</v>
      </c>
      <c r="N116" s="117">
        <v>72.3</v>
      </c>
      <c r="O116" s="117">
        <v>100</v>
      </c>
      <c r="P116" s="117">
        <v>79.8</v>
      </c>
      <c r="Q116" s="117">
        <v>90.3</v>
      </c>
      <c r="R116" s="117">
        <v>67.8</v>
      </c>
      <c r="S116" s="117">
        <v>48.3</v>
      </c>
      <c r="T116" s="117">
        <v>48.3</v>
      </c>
      <c r="U116" s="117">
        <v>68.7</v>
      </c>
      <c r="V116" s="117">
        <v>68.7</v>
      </c>
      <c r="W116" s="117">
        <v>68.7</v>
      </c>
      <c r="X116" s="117">
        <v>27.9</v>
      </c>
      <c r="Y116" s="117">
        <v>43.5</v>
      </c>
      <c r="Z116" s="117">
        <v>63.3</v>
      </c>
      <c r="AA116" s="117">
        <v>15.2</v>
      </c>
      <c r="AB116" s="117">
        <v>56.9</v>
      </c>
      <c r="AC116" s="117">
        <v>56.9</v>
      </c>
      <c r="AD116" s="117">
        <v>48.5</v>
      </c>
      <c r="AE116" s="117">
        <v>41</v>
      </c>
      <c r="AF116" s="117">
        <v>56.7</v>
      </c>
      <c r="AG116" s="118"/>
      <c r="AH116" s="47">
        <f t="shared" si="12"/>
        <v>100</v>
      </c>
      <c r="AI116" s="48">
        <f t="shared" si="13"/>
        <v>15.2</v>
      </c>
    </row>
    <row r="117" spans="1:37" x14ac:dyDescent="0.25">
      <c r="A117" s="116" t="s">
        <v>133</v>
      </c>
      <c r="B117" s="117">
        <v>34.799999999999997</v>
      </c>
      <c r="C117" s="117">
        <v>41.1</v>
      </c>
      <c r="D117" s="117">
        <v>37.4</v>
      </c>
      <c r="E117" s="117">
        <v>25</v>
      </c>
      <c r="F117" s="117">
        <v>27.7</v>
      </c>
      <c r="G117" s="117">
        <v>17.100000000000001</v>
      </c>
      <c r="H117" s="117">
        <v>19.899999999999999</v>
      </c>
      <c r="I117" s="117">
        <v>33.200000000000003</v>
      </c>
      <c r="J117" s="117">
        <v>21</v>
      </c>
      <c r="K117" s="117">
        <v>31</v>
      </c>
      <c r="L117" s="117">
        <v>24.6</v>
      </c>
      <c r="M117" s="117">
        <v>25.8</v>
      </c>
      <c r="N117" s="117">
        <v>29.3</v>
      </c>
      <c r="O117" s="117">
        <v>52.8</v>
      </c>
      <c r="P117" s="117">
        <v>40.1</v>
      </c>
      <c r="Q117" s="117">
        <v>39</v>
      </c>
      <c r="R117" s="117">
        <v>41.6</v>
      </c>
      <c r="S117" s="117">
        <v>46.2</v>
      </c>
      <c r="T117" s="117">
        <v>46.2</v>
      </c>
      <c r="U117" s="117">
        <v>42</v>
      </c>
      <c r="V117" s="117">
        <v>42</v>
      </c>
      <c r="W117" s="117">
        <v>42</v>
      </c>
      <c r="X117" s="117">
        <v>1.2</v>
      </c>
      <c r="Y117" s="117">
        <v>23.6</v>
      </c>
      <c r="Z117" s="117">
        <v>16.399999999999999</v>
      </c>
      <c r="AA117" s="117">
        <v>15.2</v>
      </c>
      <c r="AB117" s="117">
        <v>29.3</v>
      </c>
      <c r="AC117" s="117">
        <v>29.3</v>
      </c>
      <c r="AD117" s="117">
        <v>10.1</v>
      </c>
      <c r="AE117" s="117">
        <v>20.5</v>
      </c>
      <c r="AF117" s="117">
        <v>37.700000000000003</v>
      </c>
      <c r="AG117" s="119"/>
      <c r="AH117" s="47">
        <f t="shared" si="12"/>
        <v>52.8</v>
      </c>
      <c r="AI117" s="48">
        <f t="shared" si="13"/>
        <v>1.2</v>
      </c>
    </row>
    <row r="118" spans="1:37" x14ac:dyDescent="0.25">
      <c r="A118" s="120" t="s">
        <v>134</v>
      </c>
      <c r="B118" s="106">
        <v>38.4</v>
      </c>
      <c r="C118" s="106">
        <v>-25.3</v>
      </c>
      <c r="D118" s="106">
        <v>-21</v>
      </c>
      <c r="E118" s="106">
        <v>-55.9</v>
      </c>
      <c r="F118" s="106">
        <v>-52</v>
      </c>
      <c r="G118" s="106">
        <v>-3.7</v>
      </c>
      <c r="H118" s="106">
        <v>-5.4</v>
      </c>
      <c r="I118" s="106">
        <v>-9.3000000000000007</v>
      </c>
      <c r="J118" s="106">
        <v>-9.6999999999999993</v>
      </c>
      <c r="K118" s="106">
        <v>-12.6</v>
      </c>
      <c r="L118" s="106">
        <v>-16.5</v>
      </c>
      <c r="M118" s="106">
        <v>-68</v>
      </c>
      <c r="N118" s="106">
        <v>-67.900000000000006</v>
      </c>
      <c r="O118" s="106">
        <v>4.5</v>
      </c>
      <c r="P118" s="106">
        <v>25.2</v>
      </c>
      <c r="Q118" s="106">
        <v>24.2</v>
      </c>
      <c r="R118" s="106">
        <v>82.2</v>
      </c>
      <c r="S118" s="106">
        <v>21.2</v>
      </c>
      <c r="T118" s="106">
        <v>17.7</v>
      </c>
      <c r="U118" s="106">
        <v>16.899999999999999</v>
      </c>
      <c r="V118" s="106">
        <v>16.899999999999999</v>
      </c>
      <c r="W118" s="106">
        <v>16.899999999999999</v>
      </c>
      <c r="X118" s="106">
        <v>20.399999999999999</v>
      </c>
      <c r="Y118" s="106">
        <v>17.899999999999999</v>
      </c>
      <c r="Z118" s="106">
        <v>9.3000000000000007</v>
      </c>
      <c r="AA118" s="106">
        <v>9</v>
      </c>
      <c r="AB118" s="106">
        <v>14</v>
      </c>
      <c r="AC118" s="106">
        <v>14</v>
      </c>
      <c r="AD118" s="106">
        <v>28.3</v>
      </c>
      <c r="AE118" s="106">
        <v>37</v>
      </c>
      <c r="AF118" s="106">
        <v>43.2</v>
      </c>
      <c r="AG118" s="119"/>
      <c r="AH118" s="47">
        <f t="shared" si="12"/>
        <v>82.2</v>
      </c>
      <c r="AI118" s="48">
        <f t="shared" si="13"/>
        <v>-68</v>
      </c>
    </row>
    <row r="119" spans="1:37" x14ac:dyDescent="0.25">
      <c r="A119" s="121" t="s">
        <v>135</v>
      </c>
      <c r="B119" s="106">
        <v>92</v>
      </c>
      <c r="C119" s="106">
        <v>89.4</v>
      </c>
      <c r="D119" s="106">
        <v>90.3</v>
      </c>
      <c r="E119" s="106">
        <v>97</v>
      </c>
      <c r="F119" s="106">
        <v>96.9</v>
      </c>
      <c r="G119" s="106">
        <v>97.3</v>
      </c>
      <c r="H119" s="106">
        <v>89.9</v>
      </c>
      <c r="I119" s="106">
        <v>87</v>
      </c>
      <c r="J119" s="106">
        <v>70.900000000000006</v>
      </c>
      <c r="K119" s="106">
        <v>70.900000000000006</v>
      </c>
      <c r="L119" s="106">
        <v>70.900000000000006</v>
      </c>
      <c r="M119" s="106">
        <v>77.900000000000006</v>
      </c>
      <c r="N119" s="106">
        <v>92.7</v>
      </c>
      <c r="O119" s="106">
        <v>62.6</v>
      </c>
      <c r="P119" s="106">
        <v>82</v>
      </c>
      <c r="Q119" s="106">
        <v>71.2</v>
      </c>
      <c r="R119" s="106">
        <v>26.6</v>
      </c>
      <c r="S119" s="106">
        <v>27.3</v>
      </c>
      <c r="T119" s="106">
        <v>78.099999999999994</v>
      </c>
      <c r="U119" s="106">
        <v>71.3</v>
      </c>
      <c r="V119" s="106">
        <v>71.3</v>
      </c>
      <c r="W119" s="106">
        <v>71.3</v>
      </c>
      <c r="X119" s="106">
        <v>73.900000000000006</v>
      </c>
      <c r="Y119" s="106">
        <v>49.8</v>
      </c>
      <c r="Z119" s="106">
        <v>36.5</v>
      </c>
      <c r="AA119" s="106">
        <v>49.6</v>
      </c>
      <c r="AB119" s="106">
        <v>47.3</v>
      </c>
      <c r="AC119" s="106">
        <v>47.3</v>
      </c>
      <c r="AD119" s="106">
        <v>75.5</v>
      </c>
      <c r="AE119" s="106">
        <v>82.1</v>
      </c>
      <c r="AF119" s="106">
        <v>77.8</v>
      </c>
      <c r="AG119" s="119"/>
      <c r="AH119" s="47">
        <f t="shared" si="12"/>
        <v>97.3</v>
      </c>
      <c r="AI119" s="48">
        <f t="shared" si="13"/>
        <v>26.6</v>
      </c>
    </row>
    <row r="120" spans="1:37" ht="15.75" thickBot="1" x14ac:dyDescent="0.3">
      <c r="A120" s="120" t="s">
        <v>136</v>
      </c>
      <c r="B120" s="106">
        <v>47</v>
      </c>
      <c r="C120" s="106">
        <v>66</v>
      </c>
      <c r="D120" s="106">
        <v>62</v>
      </c>
      <c r="E120" s="106">
        <v>81</v>
      </c>
      <c r="F120" s="106">
        <v>73</v>
      </c>
      <c r="G120" s="106">
        <v>42.3</v>
      </c>
      <c r="H120" s="106">
        <v>36.799999999999997</v>
      </c>
      <c r="I120" s="106">
        <v>32.4</v>
      </c>
      <c r="J120" s="106">
        <v>28.7</v>
      </c>
      <c r="K120" s="106">
        <v>32.4</v>
      </c>
      <c r="L120" s="106">
        <v>27.3</v>
      </c>
      <c r="M120" s="106">
        <v>54.9</v>
      </c>
      <c r="N120" s="106">
        <v>59</v>
      </c>
      <c r="O120" s="106">
        <v>0.7</v>
      </c>
      <c r="P120" s="106">
        <v>18.399999999999999</v>
      </c>
      <c r="Q120" s="106">
        <v>31.2</v>
      </c>
      <c r="R120" s="106">
        <v>32.5</v>
      </c>
      <c r="S120" s="106">
        <v>40.799999999999997</v>
      </c>
      <c r="T120" s="106">
        <v>51</v>
      </c>
      <c r="U120" s="106">
        <v>49.6</v>
      </c>
      <c r="V120" s="106">
        <v>49.6</v>
      </c>
      <c r="W120" s="106">
        <v>49.6</v>
      </c>
      <c r="X120" s="106">
        <v>26.1</v>
      </c>
      <c r="Y120" s="106">
        <v>35.9</v>
      </c>
      <c r="Z120" s="106">
        <v>53.8</v>
      </c>
      <c r="AA120" s="106">
        <v>55.5</v>
      </c>
      <c r="AB120" s="106">
        <v>44.5</v>
      </c>
      <c r="AC120" s="106">
        <v>44.5</v>
      </c>
      <c r="AD120" s="106">
        <v>46.6</v>
      </c>
      <c r="AE120" s="106">
        <v>44.3</v>
      </c>
      <c r="AF120" s="106">
        <v>41.4</v>
      </c>
      <c r="AG120" s="119"/>
      <c r="AH120" s="47">
        <f t="shared" si="12"/>
        <v>81</v>
      </c>
      <c r="AI120" s="48">
        <f t="shared" si="13"/>
        <v>0.7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27">SUM(B122:B226)</f>
        <v>0</v>
      </c>
      <c r="C227" s="137">
        <f t="shared" si="27"/>
        <v>0</v>
      </c>
      <c r="D227" s="137">
        <f t="shared" si="27"/>
        <v>0</v>
      </c>
      <c r="E227" s="137">
        <f t="shared" si="27"/>
        <v>0</v>
      </c>
      <c r="F227" s="137">
        <f t="shared" si="27"/>
        <v>0</v>
      </c>
      <c r="G227" s="137">
        <f t="shared" si="27"/>
        <v>0</v>
      </c>
      <c r="H227" s="137">
        <f t="shared" si="27"/>
        <v>0</v>
      </c>
      <c r="I227" s="137">
        <f t="shared" si="27"/>
        <v>0</v>
      </c>
      <c r="J227" s="137">
        <f t="shared" si="27"/>
        <v>0</v>
      </c>
      <c r="K227" s="137">
        <f t="shared" si="27"/>
        <v>0</v>
      </c>
      <c r="L227" s="137">
        <f t="shared" si="27"/>
        <v>0</v>
      </c>
      <c r="M227" s="137">
        <f t="shared" si="27"/>
        <v>0</v>
      </c>
      <c r="N227" s="137">
        <f t="shared" si="27"/>
        <v>0</v>
      </c>
      <c r="O227" s="137">
        <f t="shared" si="27"/>
        <v>0</v>
      </c>
      <c r="P227" s="137">
        <f t="shared" si="27"/>
        <v>0</v>
      </c>
      <c r="Q227" s="137">
        <f t="shared" si="27"/>
        <v>0</v>
      </c>
      <c r="R227" s="137">
        <f t="shared" si="27"/>
        <v>0</v>
      </c>
      <c r="S227" s="137">
        <f t="shared" si="27"/>
        <v>0</v>
      </c>
      <c r="T227" s="137">
        <f t="shared" si="27"/>
        <v>0</v>
      </c>
      <c r="U227" s="137">
        <f t="shared" si="27"/>
        <v>0</v>
      </c>
      <c r="V227" s="137">
        <f t="shared" si="27"/>
        <v>0</v>
      </c>
      <c r="W227" s="137">
        <f t="shared" si="27"/>
        <v>0</v>
      </c>
      <c r="X227" s="137">
        <f t="shared" si="27"/>
        <v>0</v>
      </c>
      <c r="Y227" s="137">
        <f t="shared" si="27"/>
        <v>0</v>
      </c>
      <c r="Z227" s="137">
        <f t="shared" si="27"/>
        <v>0</v>
      </c>
      <c r="AA227" s="137">
        <f t="shared" si="27"/>
        <v>0</v>
      </c>
      <c r="AB227" s="137">
        <f t="shared" si="27"/>
        <v>0</v>
      </c>
      <c r="AC227" s="137">
        <f t="shared" si="27"/>
        <v>0</v>
      </c>
      <c r="AD227" s="137">
        <f t="shared" si="27"/>
        <v>0</v>
      </c>
      <c r="AE227" s="137">
        <f t="shared" si="27"/>
        <v>0</v>
      </c>
      <c r="AF227" s="138">
        <f t="shared" si="27"/>
        <v>0</v>
      </c>
      <c r="AG227" s="139">
        <f t="shared" si="27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28">AF229</f>
        <v>0</v>
      </c>
      <c r="C229" s="141">
        <v>0.3</v>
      </c>
      <c r="D229" s="141">
        <f t="shared" ref="D229:P234" si="29">C229</f>
        <v>0.3</v>
      </c>
      <c r="E229" s="141">
        <f t="shared" si="29"/>
        <v>0.3</v>
      </c>
      <c r="F229" s="141">
        <f t="shared" si="29"/>
        <v>0.3</v>
      </c>
      <c r="G229" s="141">
        <f t="shared" si="29"/>
        <v>0.3</v>
      </c>
      <c r="H229" s="141">
        <f t="shared" si="29"/>
        <v>0.3</v>
      </c>
      <c r="I229" s="141">
        <f t="shared" si="29"/>
        <v>0.3</v>
      </c>
      <c r="J229" s="141">
        <f t="shared" si="29"/>
        <v>0.3</v>
      </c>
      <c r="K229" s="141">
        <f t="shared" si="29"/>
        <v>0.3</v>
      </c>
      <c r="L229" s="141">
        <f t="shared" si="29"/>
        <v>0.3</v>
      </c>
      <c r="M229" s="141">
        <f t="shared" si="29"/>
        <v>0.3</v>
      </c>
      <c r="N229" s="141">
        <f t="shared" si="29"/>
        <v>0.3</v>
      </c>
      <c r="O229" s="141">
        <f t="shared" si="29"/>
        <v>0.3</v>
      </c>
      <c r="P229" s="141">
        <f t="shared" si="29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28"/>
        <v>0</v>
      </c>
      <c r="C230" s="129">
        <v>0.4</v>
      </c>
      <c r="D230" s="129">
        <f t="shared" si="29"/>
        <v>0.4</v>
      </c>
      <c r="E230" s="129">
        <f t="shared" si="29"/>
        <v>0.4</v>
      </c>
      <c r="F230" s="129">
        <f t="shared" si="29"/>
        <v>0.4</v>
      </c>
      <c r="G230" s="129">
        <f t="shared" si="29"/>
        <v>0.4</v>
      </c>
      <c r="H230" s="129">
        <f t="shared" si="29"/>
        <v>0.4</v>
      </c>
      <c r="I230" s="129">
        <f t="shared" si="29"/>
        <v>0.4</v>
      </c>
      <c r="J230" s="129">
        <f t="shared" si="29"/>
        <v>0.4</v>
      </c>
      <c r="K230" s="129">
        <f t="shared" si="29"/>
        <v>0.4</v>
      </c>
      <c r="L230" s="129">
        <f t="shared" si="29"/>
        <v>0.4</v>
      </c>
      <c r="M230" s="129">
        <f t="shared" si="29"/>
        <v>0.4</v>
      </c>
      <c r="N230" s="129">
        <f t="shared" si="29"/>
        <v>0.4</v>
      </c>
      <c r="O230" s="129">
        <f t="shared" si="29"/>
        <v>0.4</v>
      </c>
      <c r="P230" s="129">
        <f t="shared" si="29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28"/>
        <v>0</v>
      </c>
      <c r="C231" s="129">
        <v>1.5</v>
      </c>
      <c r="D231" s="129">
        <f t="shared" si="29"/>
        <v>1.5</v>
      </c>
      <c r="E231" s="129">
        <f t="shared" si="29"/>
        <v>1.5</v>
      </c>
      <c r="F231" s="129">
        <f t="shared" si="29"/>
        <v>1.5</v>
      </c>
      <c r="G231" s="129">
        <f t="shared" si="29"/>
        <v>1.5</v>
      </c>
      <c r="H231" s="129">
        <f t="shared" si="2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29"/>
        <v>123.21900000000009</v>
      </c>
      <c r="K231" s="129">
        <f t="shared" ca="1" si="29"/>
        <v>123.21900000000009</v>
      </c>
      <c r="L231" s="129">
        <f t="shared" ca="1" si="29"/>
        <v>123.21900000000009</v>
      </c>
      <c r="M231" s="129">
        <f t="shared" ca="1" si="29"/>
        <v>119.19900000000008</v>
      </c>
      <c r="N231" s="129">
        <f t="shared" ca="1" si="29"/>
        <v>119.19900000000008</v>
      </c>
      <c r="O231" s="129">
        <f t="shared" ca="1" si="29"/>
        <v>119.19900000000008</v>
      </c>
      <c r="P231" s="129">
        <f t="shared" ca="1" si="29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28"/>
        <v>0</v>
      </c>
      <c r="C232" s="129">
        <v>0.3</v>
      </c>
      <c r="D232" s="129">
        <f t="shared" si="29"/>
        <v>0.3</v>
      </c>
      <c r="E232" s="129">
        <f t="shared" si="29"/>
        <v>0.3</v>
      </c>
      <c r="F232" s="129">
        <f t="shared" si="29"/>
        <v>0.3</v>
      </c>
      <c r="G232" s="129">
        <f t="shared" si="29"/>
        <v>0.3</v>
      </c>
      <c r="H232" s="129">
        <f t="shared" si="29"/>
        <v>0.3</v>
      </c>
      <c r="I232" s="129">
        <f t="shared" si="29"/>
        <v>0.3</v>
      </c>
      <c r="J232" s="129">
        <f t="shared" si="29"/>
        <v>0.3</v>
      </c>
      <c r="K232" s="129">
        <f t="shared" si="29"/>
        <v>0.3</v>
      </c>
      <c r="L232" s="129">
        <f t="shared" si="29"/>
        <v>0.3</v>
      </c>
      <c r="M232" s="129">
        <f t="shared" si="29"/>
        <v>0.3</v>
      </c>
      <c r="N232" s="129">
        <f t="shared" si="29"/>
        <v>0.3</v>
      </c>
      <c r="O232" s="129">
        <f t="shared" si="29"/>
        <v>0.3</v>
      </c>
      <c r="P232" s="129">
        <f t="shared" si="29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28"/>
        <v>0</v>
      </c>
      <c r="C233" s="129">
        <v>0.4</v>
      </c>
      <c r="D233" s="129">
        <f t="shared" si="29"/>
        <v>0.4</v>
      </c>
      <c r="E233" s="129">
        <f t="shared" si="29"/>
        <v>0.4</v>
      </c>
      <c r="F233" s="129">
        <f t="shared" si="29"/>
        <v>0.4</v>
      </c>
      <c r="G233" s="129">
        <f t="shared" si="29"/>
        <v>0.4</v>
      </c>
      <c r="H233" s="129">
        <f t="shared" si="29"/>
        <v>0.4</v>
      </c>
      <c r="I233" s="129">
        <f t="shared" si="29"/>
        <v>0.4</v>
      </c>
      <c r="J233" s="129">
        <f t="shared" si="29"/>
        <v>0.4</v>
      </c>
      <c r="K233" s="129">
        <f t="shared" si="29"/>
        <v>0.4</v>
      </c>
      <c r="L233" s="129">
        <f t="shared" si="29"/>
        <v>0.4</v>
      </c>
      <c r="M233" s="129">
        <f t="shared" si="29"/>
        <v>0.4</v>
      </c>
      <c r="N233" s="129">
        <f t="shared" si="29"/>
        <v>0.4</v>
      </c>
      <c r="O233" s="129">
        <f t="shared" si="29"/>
        <v>0.4</v>
      </c>
      <c r="P233" s="129">
        <f t="shared" si="29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28"/>
        <v>0</v>
      </c>
      <c r="C234" s="133">
        <v>0.64</v>
      </c>
      <c r="D234" s="133">
        <f t="shared" si="29"/>
        <v>0.64</v>
      </c>
      <c r="E234" s="133">
        <f t="shared" si="29"/>
        <v>0.64</v>
      </c>
      <c r="F234" s="133">
        <f t="shared" si="29"/>
        <v>0.64</v>
      </c>
      <c r="G234" s="133">
        <f t="shared" si="29"/>
        <v>0.64</v>
      </c>
      <c r="H234" s="133">
        <f t="shared" si="29"/>
        <v>0.64</v>
      </c>
      <c r="I234" s="133">
        <f t="shared" si="29"/>
        <v>0.64</v>
      </c>
      <c r="J234" s="133">
        <f t="shared" si="29"/>
        <v>0.64</v>
      </c>
      <c r="K234" s="133">
        <f t="shared" si="29"/>
        <v>0.64</v>
      </c>
      <c r="L234" s="133">
        <f t="shared" si="29"/>
        <v>0.64</v>
      </c>
      <c r="M234" s="133">
        <f t="shared" si="29"/>
        <v>0.64</v>
      </c>
      <c r="N234" s="133">
        <f t="shared" si="29"/>
        <v>0.64</v>
      </c>
      <c r="O234" s="133">
        <f t="shared" si="29"/>
        <v>0.64</v>
      </c>
      <c r="P234" s="133">
        <f t="shared" si="29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30">SUM(B229:B234)</f>
        <v>0</v>
      </c>
      <c r="C235" s="137">
        <f t="shared" si="30"/>
        <v>3.54</v>
      </c>
      <c r="D235" s="137">
        <f t="shared" si="30"/>
        <v>3.54</v>
      </c>
      <c r="E235" s="137">
        <f t="shared" si="30"/>
        <v>3.54</v>
      </c>
      <c r="F235" s="137">
        <f t="shared" si="30"/>
        <v>3.54</v>
      </c>
      <c r="G235" s="137">
        <f t="shared" si="30"/>
        <v>3.54</v>
      </c>
      <c r="H235" s="137">
        <f t="shared" si="30"/>
        <v>3.54</v>
      </c>
      <c r="I235" s="137">
        <f t="shared" ca="1" si="30"/>
        <v>121.23900000000009</v>
      </c>
      <c r="J235" s="137">
        <f t="shared" ca="1" si="30"/>
        <v>121.23900000000009</v>
      </c>
      <c r="K235" s="137">
        <f t="shared" ca="1" si="30"/>
        <v>121.23900000000009</v>
      </c>
      <c r="L235" s="137">
        <f t="shared" ca="1" si="30"/>
        <v>125.2590000000001</v>
      </c>
      <c r="M235" s="137">
        <f t="shared" ca="1" si="30"/>
        <v>121.23900000000009</v>
      </c>
      <c r="N235" s="137">
        <f t="shared" ca="1" si="30"/>
        <v>121.23900000000009</v>
      </c>
      <c r="O235" s="137">
        <f t="shared" ca="1" si="30"/>
        <v>121.23900000000009</v>
      </c>
      <c r="P235" s="137">
        <f t="shared" ca="1" si="30"/>
        <v>121.23900000000009</v>
      </c>
      <c r="Q235" s="137">
        <f t="shared" si="30"/>
        <v>0</v>
      </c>
      <c r="R235" s="137">
        <f t="shared" si="30"/>
        <v>0</v>
      </c>
      <c r="S235" s="137">
        <f t="shared" si="30"/>
        <v>0</v>
      </c>
      <c r="T235" s="137">
        <f t="shared" si="30"/>
        <v>0</v>
      </c>
      <c r="U235" s="137">
        <f t="shared" si="30"/>
        <v>0</v>
      </c>
      <c r="V235" s="137">
        <f t="shared" si="30"/>
        <v>0</v>
      </c>
      <c r="W235" s="137">
        <f t="shared" si="30"/>
        <v>0</v>
      </c>
      <c r="X235" s="137">
        <f t="shared" si="30"/>
        <v>0</v>
      </c>
      <c r="Y235" s="137">
        <f t="shared" si="30"/>
        <v>0</v>
      </c>
      <c r="Z235" s="137">
        <f t="shared" si="30"/>
        <v>0</v>
      </c>
      <c r="AA235" s="137">
        <f t="shared" si="30"/>
        <v>0</v>
      </c>
      <c r="AB235" s="137">
        <f t="shared" si="30"/>
        <v>0</v>
      </c>
      <c r="AC235" s="137">
        <f t="shared" si="30"/>
        <v>0</v>
      </c>
      <c r="AD235" s="137">
        <f t="shared" si="30"/>
        <v>0</v>
      </c>
      <c r="AE235" s="137">
        <f t="shared" si="30"/>
        <v>0</v>
      </c>
      <c r="AF235" s="137">
        <f t="shared" si="30"/>
        <v>0</v>
      </c>
      <c r="AG235" s="146">
        <f t="shared" si="3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1888.65</v>
      </c>
      <c r="C244" s="162">
        <f>INDEX(G9:N9,1,MATCH(MAX(G91:N91),G91:N91,0))</f>
        <v>0.27083333333333331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17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2080/03/17)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2080/03/17)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31">B91</f>
        <v>1833.95</v>
      </c>
      <c r="U249" s="171">
        <f t="shared" si="31"/>
        <v>1818.95</v>
      </c>
      <c r="V249" s="171">
        <f t="shared" si="31"/>
        <v>1807.35</v>
      </c>
      <c r="W249" s="171">
        <f t="shared" si="31"/>
        <v>1722.75</v>
      </c>
      <c r="X249" s="171">
        <f t="shared" si="31"/>
        <v>1718.15</v>
      </c>
      <c r="Y249" s="171">
        <f t="shared" si="31"/>
        <v>1748.75</v>
      </c>
      <c r="Z249" s="171">
        <f t="shared" si="31"/>
        <v>1772.35</v>
      </c>
      <c r="AA249" s="171">
        <f t="shared" si="31"/>
        <v>1808.9500000000003</v>
      </c>
      <c r="AB249" s="171">
        <f t="shared" si="31"/>
        <v>1888.65</v>
      </c>
      <c r="AC249" s="171">
        <f t="shared" si="31"/>
        <v>1870.0500000000002</v>
      </c>
      <c r="AD249" s="171">
        <f t="shared" si="31"/>
        <v>1876.0500000000002</v>
      </c>
      <c r="AE249" s="171">
        <f t="shared" si="31"/>
        <v>1866.25</v>
      </c>
      <c r="AF249" s="171">
        <f t="shared" si="31"/>
        <v>1875.3500000000001</v>
      </c>
      <c r="AG249" s="171">
        <f t="shared" si="31"/>
        <v>1841.65</v>
      </c>
      <c r="AH249" s="171">
        <f t="shared" si="31"/>
        <v>1897.5500000000002</v>
      </c>
      <c r="AI249" s="171">
        <f t="shared" si="31"/>
        <v>1901.3500000000001</v>
      </c>
      <c r="AJ249" s="171">
        <f t="shared" si="31"/>
        <v>1898.3500000000001</v>
      </c>
      <c r="AK249" s="171">
        <f t="shared" si="31"/>
        <v>1898.3500000000001</v>
      </c>
      <c r="AL249" s="171">
        <f t="shared" si="31"/>
        <v>1896.8500000000001</v>
      </c>
      <c r="AM249" s="171">
        <f t="shared" si="31"/>
        <v>1893.95</v>
      </c>
      <c r="AN249" s="171">
        <f t="shared" si="31"/>
        <v>1925.65</v>
      </c>
      <c r="AO249" s="171">
        <f t="shared" si="31"/>
        <v>1908.05</v>
      </c>
      <c r="AP249" s="171">
        <f t="shared" si="31"/>
        <v>1879.15</v>
      </c>
      <c r="AQ249" s="171">
        <f t="shared" si="31"/>
        <v>1854.15</v>
      </c>
      <c r="AR249" s="171">
        <f t="shared" si="31"/>
        <v>1893.8500000000001</v>
      </c>
      <c r="AS249" s="171">
        <f t="shared" si="31"/>
        <v>1960.15</v>
      </c>
      <c r="AT249" s="171">
        <f t="shared" si="31"/>
        <v>1955.1500000000003</v>
      </c>
      <c r="AU249" s="171">
        <f t="shared" si="31"/>
        <v>1959.1500000000003</v>
      </c>
      <c r="AV249" s="171">
        <f t="shared" si="31"/>
        <v>1937.4500000000003</v>
      </c>
      <c r="AW249" s="171">
        <f t="shared" si="31"/>
        <v>1908.9500000000003</v>
      </c>
      <c r="AX249" s="171">
        <f t="shared" si="31"/>
        <v>1868.2500000000002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32">C234</f>
        <v>0.64</v>
      </c>
      <c r="C270" s="174">
        <f t="shared" si="32"/>
        <v>0.64</v>
      </c>
      <c r="D270" s="174">
        <f t="shared" si="32"/>
        <v>0.64</v>
      </c>
      <c r="E270" s="174">
        <f t="shared" si="32"/>
        <v>0.64</v>
      </c>
      <c r="F270" s="174">
        <f t="shared" si="32"/>
        <v>0.64</v>
      </c>
      <c r="G270" s="174">
        <f t="shared" si="32"/>
        <v>0.64</v>
      </c>
      <c r="H270" s="174">
        <f t="shared" si="32"/>
        <v>0.64</v>
      </c>
      <c r="I270" s="174">
        <f t="shared" si="32"/>
        <v>0.64</v>
      </c>
      <c r="J270" s="174">
        <f t="shared" si="32"/>
        <v>0.64</v>
      </c>
      <c r="K270" s="174">
        <f t="shared" si="32"/>
        <v>0.64</v>
      </c>
      <c r="L270" s="174">
        <f t="shared" si="32"/>
        <v>0.64</v>
      </c>
      <c r="M270" s="174">
        <f t="shared" si="32"/>
        <v>0.64</v>
      </c>
      <c r="N270" s="174">
        <f t="shared" si="32"/>
        <v>0.64</v>
      </c>
      <c r="O270" s="174">
        <f t="shared" si="32"/>
        <v>0.64</v>
      </c>
      <c r="P270" s="174">
        <f t="shared" si="32"/>
        <v>0</v>
      </c>
      <c r="Q270" s="174">
        <f t="shared" si="32"/>
        <v>0</v>
      </c>
      <c r="R270" s="174">
        <f t="shared" si="32"/>
        <v>0</v>
      </c>
      <c r="S270" s="174">
        <f t="shared" si="32"/>
        <v>0</v>
      </c>
      <c r="T270" s="174">
        <f t="shared" si="32"/>
        <v>0</v>
      </c>
      <c r="U270" s="174">
        <f t="shared" si="32"/>
        <v>0</v>
      </c>
      <c r="V270" s="174">
        <f t="shared" si="32"/>
        <v>0</v>
      </c>
      <c r="W270" s="174">
        <f t="shared" si="32"/>
        <v>0</v>
      </c>
      <c r="X270" s="174">
        <f t="shared" si="32"/>
        <v>0</v>
      </c>
      <c r="Y270" s="174">
        <f t="shared" si="32"/>
        <v>0</v>
      </c>
      <c r="Z270" s="174">
        <f t="shared" si="32"/>
        <v>0</v>
      </c>
      <c r="AA270" s="174">
        <f t="shared" si="32"/>
        <v>0</v>
      </c>
      <c r="AB270" s="174">
        <f t="shared" si="32"/>
        <v>0</v>
      </c>
      <c r="AC270" s="174">
        <f t="shared" si="32"/>
        <v>0</v>
      </c>
      <c r="AD270" s="174">
        <f t="shared" si="32"/>
        <v>0</v>
      </c>
      <c r="AE270" s="174">
        <f t="shared" si="32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33">IF(B238&lt;100,"",B238-520)</f>
        <v/>
      </c>
      <c r="C271" s="175" t="str">
        <f t="shared" si="33"/>
        <v/>
      </c>
      <c r="D271" s="175" t="str">
        <f t="shared" si="33"/>
        <v/>
      </c>
      <c r="E271" s="175" t="str">
        <f t="shared" si="33"/>
        <v/>
      </c>
      <c r="F271" s="175" t="str">
        <f t="shared" si="33"/>
        <v/>
      </c>
      <c r="G271" s="175" t="str">
        <f t="shared" si="33"/>
        <v/>
      </c>
      <c r="H271" s="175" t="str">
        <f t="shared" si="33"/>
        <v/>
      </c>
      <c r="I271" s="175" t="str">
        <f t="shared" si="33"/>
        <v/>
      </c>
      <c r="J271" s="175" t="str">
        <f t="shared" si="33"/>
        <v/>
      </c>
      <c r="K271" s="175" t="str">
        <f t="shared" si="33"/>
        <v/>
      </c>
      <c r="L271" s="175" t="str">
        <f t="shared" si="33"/>
        <v/>
      </c>
      <c r="M271" s="175" t="str">
        <f t="shared" si="33"/>
        <v/>
      </c>
      <c r="N271" s="175" t="str">
        <f t="shared" si="33"/>
        <v/>
      </c>
      <c r="O271" s="175" t="str">
        <f t="shared" si="33"/>
        <v/>
      </c>
      <c r="P271" s="175" t="str">
        <f t="shared" si="33"/>
        <v/>
      </c>
      <c r="Q271" s="175" t="str">
        <f t="shared" si="33"/>
        <v/>
      </c>
      <c r="R271" s="175" t="str">
        <f t="shared" si="33"/>
        <v/>
      </c>
      <c r="S271" s="175" t="str">
        <f t="shared" si="33"/>
        <v/>
      </c>
      <c r="T271" s="175" t="str">
        <f t="shared" si="33"/>
        <v/>
      </c>
      <c r="U271" s="175" t="str">
        <f t="shared" si="33"/>
        <v/>
      </c>
      <c r="V271" s="175" t="str">
        <f t="shared" si="33"/>
        <v/>
      </c>
      <c r="W271" s="175" t="str">
        <f t="shared" si="33"/>
        <v/>
      </c>
      <c r="X271" s="175" t="str">
        <f t="shared" si="33"/>
        <v/>
      </c>
      <c r="Y271" s="175" t="str">
        <f t="shared" si="33"/>
        <v/>
      </c>
      <c r="Z271" s="175" t="str">
        <f t="shared" si="33"/>
        <v/>
      </c>
      <c r="AA271" s="175" t="str">
        <f t="shared" si="33"/>
        <v/>
      </c>
      <c r="AB271" s="175" t="str">
        <f t="shared" si="33"/>
        <v/>
      </c>
      <c r="AC271" s="175" t="str">
        <f t="shared" si="33"/>
        <v/>
      </c>
      <c r="AD271" s="175" t="str">
        <f t="shared" si="33"/>
        <v/>
      </c>
      <c r="AE271" s="175" t="str">
        <f t="shared" si="33"/>
        <v/>
      </c>
      <c r="AF271" s="175" t="str">
        <f t="shared" si="33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34">IF(B239&lt;100,"",B239-620)</f>
        <v/>
      </c>
      <c r="C272" s="175" t="str">
        <f t="shared" si="34"/>
        <v/>
      </c>
      <c r="D272" s="175" t="str">
        <f t="shared" si="34"/>
        <v/>
      </c>
      <c r="E272" s="175" t="str">
        <f t="shared" si="34"/>
        <v/>
      </c>
      <c r="F272" s="175" t="str">
        <f t="shared" si="34"/>
        <v/>
      </c>
      <c r="G272" s="175" t="str">
        <f t="shared" si="34"/>
        <v/>
      </c>
      <c r="H272" s="175" t="str">
        <f t="shared" si="34"/>
        <v/>
      </c>
      <c r="I272" s="175" t="str">
        <f t="shared" si="34"/>
        <v/>
      </c>
      <c r="J272" s="175" t="str">
        <f t="shared" si="34"/>
        <v/>
      </c>
      <c r="K272" s="175" t="str">
        <f t="shared" si="34"/>
        <v/>
      </c>
      <c r="L272" s="175" t="str">
        <f t="shared" si="34"/>
        <v/>
      </c>
      <c r="M272" s="175" t="str">
        <f t="shared" si="34"/>
        <v/>
      </c>
      <c r="N272" s="175" t="str">
        <f t="shared" si="34"/>
        <v/>
      </c>
      <c r="O272" s="175" t="str">
        <f t="shared" si="34"/>
        <v/>
      </c>
      <c r="P272" s="175" t="str">
        <f t="shared" si="34"/>
        <v/>
      </c>
      <c r="Q272" s="175" t="str">
        <f t="shared" si="34"/>
        <v/>
      </c>
      <c r="R272" s="175" t="str">
        <f t="shared" si="34"/>
        <v/>
      </c>
      <c r="S272" s="175" t="str">
        <f t="shared" si="34"/>
        <v/>
      </c>
      <c r="T272" s="175" t="str">
        <f t="shared" si="34"/>
        <v/>
      </c>
      <c r="U272" s="175" t="str">
        <f t="shared" si="34"/>
        <v/>
      </c>
      <c r="V272" s="175" t="str">
        <f t="shared" si="34"/>
        <v/>
      </c>
      <c r="W272" s="175" t="str">
        <f t="shared" si="34"/>
        <v/>
      </c>
      <c r="X272" s="175" t="str">
        <f t="shared" si="34"/>
        <v/>
      </c>
      <c r="Y272" s="175" t="str">
        <f t="shared" si="34"/>
        <v/>
      </c>
      <c r="Z272" s="175" t="str">
        <f t="shared" si="34"/>
        <v/>
      </c>
      <c r="AA272" s="175" t="str">
        <f t="shared" si="34"/>
        <v/>
      </c>
      <c r="AB272" s="175" t="str">
        <f t="shared" si="34"/>
        <v/>
      </c>
      <c r="AC272" s="175" t="str">
        <f t="shared" si="34"/>
        <v/>
      </c>
      <c r="AD272" s="175" t="str">
        <f t="shared" si="34"/>
        <v/>
      </c>
      <c r="AE272" s="175" t="str">
        <f t="shared" si="34"/>
        <v/>
      </c>
      <c r="AF272" s="175" t="str">
        <f t="shared" si="34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35">IF(B240&lt;100,"",B240-330)</f>
        <v/>
      </c>
      <c r="C273" s="175" t="str">
        <f t="shared" si="35"/>
        <v/>
      </c>
      <c r="D273" s="175" t="str">
        <f t="shared" si="35"/>
        <v/>
      </c>
      <c r="E273" s="175" t="str">
        <f t="shared" si="35"/>
        <v/>
      </c>
      <c r="F273" s="175" t="str">
        <f t="shared" si="35"/>
        <v/>
      </c>
      <c r="G273" s="175" t="str">
        <f t="shared" si="35"/>
        <v/>
      </c>
      <c r="H273" s="175" t="str">
        <f t="shared" si="35"/>
        <v/>
      </c>
      <c r="I273" s="175" t="str">
        <f t="shared" si="35"/>
        <v/>
      </c>
      <c r="J273" s="175" t="str">
        <f t="shared" si="35"/>
        <v/>
      </c>
      <c r="K273" s="175" t="str">
        <f t="shared" si="35"/>
        <v/>
      </c>
      <c r="L273" s="175" t="str">
        <f t="shared" si="35"/>
        <v/>
      </c>
      <c r="M273" s="175" t="str">
        <f t="shared" si="35"/>
        <v/>
      </c>
      <c r="N273" s="175" t="str">
        <f t="shared" si="35"/>
        <v/>
      </c>
      <c r="O273" s="175" t="str">
        <f t="shared" si="35"/>
        <v/>
      </c>
      <c r="P273" s="175" t="str">
        <f t="shared" si="35"/>
        <v/>
      </c>
      <c r="Q273" s="175" t="str">
        <f t="shared" si="35"/>
        <v/>
      </c>
      <c r="R273" s="175" t="str">
        <f t="shared" si="35"/>
        <v/>
      </c>
      <c r="S273" s="175" t="str">
        <f t="shared" si="35"/>
        <v/>
      </c>
      <c r="T273" s="175" t="str">
        <f t="shared" si="35"/>
        <v/>
      </c>
      <c r="U273" s="175" t="str">
        <f t="shared" si="35"/>
        <v/>
      </c>
      <c r="V273" s="175" t="str">
        <f t="shared" si="35"/>
        <v/>
      </c>
      <c r="W273" s="175" t="str">
        <f t="shared" si="35"/>
        <v/>
      </c>
      <c r="X273" s="175" t="str">
        <f t="shared" si="35"/>
        <v/>
      </c>
      <c r="Y273" s="175" t="str">
        <f t="shared" si="35"/>
        <v/>
      </c>
      <c r="Z273" s="175" t="str">
        <f t="shared" si="35"/>
        <v/>
      </c>
      <c r="AA273" s="175" t="str">
        <f t="shared" si="35"/>
        <v/>
      </c>
      <c r="AB273" s="175" t="str">
        <f t="shared" si="35"/>
        <v/>
      </c>
      <c r="AC273" s="175" t="str">
        <f t="shared" si="35"/>
        <v/>
      </c>
      <c r="AD273" s="175" t="str">
        <f t="shared" si="35"/>
        <v/>
      </c>
      <c r="AE273" s="175" t="str">
        <f t="shared" si="35"/>
        <v/>
      </c>
      <c r="AF273" s="175" t="str">
        <f t="shared" si="35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36">IF(B241&lt;100,"",B241-1500)</f>
        <v/>
      </c>
      <c r="C274" s="175" t="str">
        <f t="shared" si="36"/>
        <v/>
      </c>
      <c r="D274" s="175" t="str">
        <f t="shared" si="36"/>
        <v/>
      </c>
      <c r="E274" s="175" t="str">
        <f t="shared" si="36"/>
        <v/>
      </c>
      <c r="F274" s="175" t="str">
        <f t="shared" si="36"/>
        <v/>
      </c>
      <c r="G274" s="175" t="str">
        <f t="shared" si="36"/>
        <v/>
      </c>
      <c r="H274" s="175" t="str">
        <f t="shared" si="36"/>
        <v/>
      </c>
      <c r="I274" s="175" t="str">
        <f t="shared" si="36"/>
        <v/>
      </c>
      <c r="J274" s="175" t="str">
        <f t="shared" si="36"/>
        <v/>
      </c>
      <c r="K274" s="175" t="str">
        <f t="shared" si="36"/>
        <v/>
      </c>
      <c r="L274" s="175" t="str">
        <f t="shared" si="36"/>
        <v/>
      </c>
      <c r="M274" s="175" t="str">
        <f t="shared" si="36"/>
        <v/>
      </c>
      <c r="N274" s="175" t="str">
        <f t="shared" si="36"/>
        <v/>
      </c>
      <c r="O274" s="175" t="str">
        <f t="shared" si="36"/>
        <v/>
      </c>
      <c r="P274" s="175" t="str">
        <f t="shared" si="36"/>
        <v/>
      </c>
      <c r="Q274" s="175" t="str">
        <f t="shared" si="36"/>
        <v/>
      </c>
      <c r="R274" s="175" t="str">
        <f t="shared" si="36"/>
        <v/>
      </c>
      <c r="S274" s="175" t="str">
        <f t="shared" si="36"/>
        <v/>
      </c>
      <c r="T274" s="175" t="str">
        <f t="shared" si="36"/>
        <v/>
      </c>
      <c r="U274" s="175" t="str">
        <f t="shared" si="36"/>
        <v/>
      </c>
      <c r="V274" s="175" t="str">
        <f t="shared" si="36"/>
        <v/>
      </c>
      <c r="W274" s="175" t="str">
        <f t="shared" si="36"/>
        <v/>
      </c>
      <c r="X274" s="175" t="str">
        <f t="shared" si="36"/>
        <v/>
      </c>
      <c r="Y274" s="175" t="str">
        <f t="shared" si="36"/>
        <v/>
      </c>
      <c r="Z274" s="175" t="str">
        <f t="shared" si="36"/>
        <v/>
      </c>
      <c r="AA274" s="175" t="str">
        <f t="shared" si="36"/>
        <v/>
      </c>
      <c r="AB274" s="175" t="str">
        <f t="shared" si="36"/>
        <v/>
      </c>
      <c r="AC274" s="175" t="str">
        <f t="shared" si="36"/>
        <v/>
      </c>
      <c r="AD274" s="175" t="str">
        <f t="shared" si="36"/>
        <v/>
      </c>
      <c r="AE274" s="175" t="str">
        <f t="shared" si="36"/>
        <v/>
      </c>
      <c r="AF274" s="175" t="str">
        <f t="shared" si="3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884" priority="156">
      <formula>$AH11=0</formula>
    </cfRule>
  </conditionalFormatting>
  <conditionalFormatting sqref="B8 M8 S8 AB8">
    <cfRule type="expression" dxfId="883" priority="410">
      <formula>C$9&lt;8/24</formula>
    </cfRule>
    <cfRule type="expression" dxfId="882" priority="409">
      <formula>AND(C$9&gt;=8/24,C$9&lt;14/24)</formula>
    </cfRule>
    <cfRule type="expression" dxfId="881" priority="408">
      <formula>AND(C$9&gt;=14/24,C$9&lt;20/24)</formula>
    </cfRule>
  </conditionalFormatting>
  <conditionalFormatting sqref="B55:D59 E58:Z59">
    <cfRule type="expression" dxfId="880" priority="126">
      <formula>B55&gt;$AG55</formula>
    </cfRule>
  </conditionalFormatting>
  <conditionalFormatting sqref="B55:D59">
    <cfRule type="expression" dxfId="879" priority="129">
      <formula>AND(B$9&gt;=8/24,B$9&lt;14/24)</formula>
    </cfRule>
    <cfRule type="expression" dxfId="878" priority="128">
      <formula>AND(B$9&gt;=14/24,B$9&lt;20/24)</formula>
    </cfRule>
    <cfRule type="expression" dxfId="877" priority="127">
      <formula>B$9&gt;=20/24</formula>
    </cfRule>
    <cfRule type="expression" dxfId="876" priority="130">
      <formula>B$9&lt;8/24</formula>
    </cfRule>
  </conditionalFormatting>
  <conditionalFormatting sqref="B60:Z66">
    <cfRule type="expression" dxfId="875" priority="70">
      <formula>AND(B$9&gt;=8/24,B$9&lt;14/24)</formula>
    </cfRule>
    <cfRule type="expression" dxfId="874" priority="67">
      <formula>B60&gt;$AG60</formula>
    </cfRule>
    <cfRule type="expression" dxfId="873" priority="68">
      <formula>B$9&gt;=20/24</formula>
    </cfRule>
    <cfRule type="expression" dxfId="872" priority="69">
      <formula>AND(B$9&gt;=14/24,B$9&lt;20/24)</formula>
    </cfRule>
    <cfRule type="expression" dxfId="871" priority="71">
      <formula>B$9&lt;8/24</formula>
    </cfRule>
  </conditionalFormatting>
  <conditionalFormatting sqref="B9:AF45">
    <cfRule type="expression" dxfId="870" priority="37">
      <formula>B$9&gt;=20/24</formula>
    </cfRule>
    <cfRule type="expression" dxfId="869" priority="38">
      <formula>AND(B$9&gt;=14/24,B$9&lt;20/24)</formula>
    </cfRule>
    <cfRule type="expression" dxfId="868" priority="39">
      <formula>AND(B$9&gt;=8/24,B$9&lt;14/24)</formula>
    </cfRule>
    <cfRule type="expression" dxfId="867" priority="40">
      <formula>B$9&lt;8/24</formula>
    </cfRule>
  </conditionalFormatting>
  <conditionalFormatting sqref="B11:AF46">
    <cfRule type="expression" dxfId="866" priority="35">
      <formula>B11&gt;$AG11</formula>
    </cfRule>
  </conditionalFormatting>
  <conditionalFormatting sqref="B46:AF46">
    <cfRule type="expression" dxfId="865" priority="32">
      <formula>AND(B$9&gt;=14/24,B$9&lt;20/24)</formula>
    </cfRule>
    <cfRule type="expression" dxfId="864" priority="33">
      <formula>AND(B$9&gt;=8/24,B$9&lt;14/24)</formula>
    </cfRule>
    <cfRule type="expression" dxfId="863" priority="34">
      <formula>B$9&lt;8/24</formula>
    </cfRule>
    <cfRule type="expression" dxfId="862" priority="31">
      <formula>B$9&gt;=20/24</formula>
    </cfRule>
  </conditionalFormatting>
  <conditionalFormatting sqref="B47:AF47">
    <cfRule type="expression" dxfId="861" priority="66">
      <formula>B47&gt;$AG47</formula>
    </cfRule>
  </conditionalFormatting>
  <conditionalFormatting sqref="B47:AF49">
    <cfRule type="expression" dxfId="860" priority="56">
      <formula>B$9&lt;8/24</formula>
    </cfRule>
    <cfRule type="expression" dxfId="859" priority="55">
      <formula>AND(B$9&gt;=8/24,B$9&lt;14/24)</formula>
    </cfRule>
    <cfRule type="expression" dxfId="858" priority="53">
      <formula>B$9&gt;=20/24</formula>
    </cfRule>
    <cfRule type="expression" dxfId="857" priority="54">
      <formula>AND(B$9&gt;=14/24,B$9&lt;20/24)</formula>
    </cfRule>
  </conditionalFormatting>
  <conditionalFormatting sqref="B48:AF53">
    <cfRule type="expression" dxfId="856" priority="51">
      <formula>B48&gt;$AG48</formula>
    </cfRule>
  </conditionalFormatting>
  <conditionalFormatting sqref="B51:AF53">
    <cfRule type="expression" dxfId="855" priority="105">
      <formula>AND(B$9&gt;=14/24,B$9&lt;20/24)</formula>
    </cfRule>
    <cfRule type="expression" dxfId="854" priority="107">
      <formula>B$9&lt;8/24</formula>
    </cfRule>
    <cfRule type="expression" dxfId="853" priority="106">
      <formula>AND(B$9&gt;=8/24,B$9&lt;14/24)</formula>
    </cfRule>
    <cfRule type="expression" dxfId="852" priority="104">
      <formula>B$9&gt;=20/24</formula>
    </cfRule>
  </conditionalFormatting>
  <conditionalFormatting sqref="B69:AF71">
    <cfRule type="expression" dxfId="851" priority="123">
      <formula>AND(B$9&gt;=14/24,B$9&lt;20/24)</formula>
    </cfRule>
    <cfRule type="expression" dxfId="850" priority="121">
      <formula>B69&gt;$AG69</formula>
    </cfRule>
    <cfRule type="expression" dxfId="849" priority="122">
      <formula>B$9&gt;=20/24</formula>
    </cfRule>
    <cfRule type="expression" dxfId="848" priority="125">
      <formula>B$9&lt;8/24</formula>
    </cfRule>
    <cfRule type="expression" dxfId="847" priority="124">
      <formula>AND(B$9&gt;=8/24,B$9&lt;14/24)</formula>
    </cfRule>
  </conditionalFormatting>
  <conditionalFormatting sqref="B73:AF91">
    <cfRule type="expression" dxfId="846" priority="77">
      <formula>B$9&gt;=20/24</formula>
    </cfRule>
    <cfRule type="expression" dxfId="845" priority="78">
      <formula>AND(B$9&gt;=14/24,B$9&lt;20/24)</formula>
    </cfRule>
    <cfRule type="expression" dxfId="844" priority="79">
      <formula>AND(B$9&gt;=8/24,B$9&lt;14/24)</formula>
    </cfRule>
    <cfRule type="expression" dxfId="843" priority="80">
      <formula>B$9&lt;8/24</formula>
    </cfRule>
  </conditionalFormatting>
  <conditionalFormatting sqref="B111:AF120">
    <cfRule type="expression" dxfId="842" priority="29">
      <formula>AND(B$9&gt;=8/24,B$9&lt;14/24)</formula>
    </cfRule>
    <cfRule type="expression" dxfId="841" priority="30">
      <formula>B$9&lt;8/24</formula>
    </cfRule>
    <cfRule type="expression" dxfId="840" priority="27">
      <formula>B$9&gt;=20/24</formula>
    </cfRule>
    <cfRule type="expression" dxfId="839" priority="28">
      <formula>AND(B$9&gt;=14/24,B$9&lt;20/24)</formula>
    </cfRule>
  </conditionalFormatting>
  <conditionalFormatting sqref="B227:AF227 D229:AF230 B229:B235 D231:H231 J231:AF231 D232:AF235 U248:AF248">
    <cfRule type="expression" dxfId="838" priority="403">
      <formula>AND(B$9&gt;=8/24,B$9&lt;14/24)</formula>
    </cfRule>
    <cfRule type="expression" dxfId="837" priority="401">
      <formula>B$9&gt;=20/24</formula>
    </cfRule>
    <cfRule type="expression" dxfId="836" priority="402">
      <formula>AND(B$9&gt;=14/24,B$9&lt;20/24)</formula>
    </cfRule>
    <cfRule type="expression" dxfId="835" priority="404">
      <formula>B$9&lt;8/24</formula>
    </cfRule>
  </conditionalFormatting>
  <conditionalFormatting sqref="B54:AG54">
    <cfRule type="expression" dxfId="834" priority="74">
      <formula>AND(B$9&gt;=14/24,B$9&lt;20/24)</formula>
    </cfRule>
    <cfRule type="expression" dxfId="833" priority="73">
      <formula>B$9&gt;=20/24</formula>
    </cfRule>
    <cfRule type="expression" dxfId="832" priority="72">
      <formula>B54&gt;$AG54</formula>
    </cfRule>
    <cfRule type="expression" dxfId="831" priority="75">
      <formula>AND(B$9&gt;=8/24,B$9&lt;14/24)</formula>
    </cfRule>
    <cfRule type="expression" dxfId="830" priority="76">
      <formula>B$9&lt;8/24</formula>
    </cfRule>
  </conditionalFormatting>
  <conditionalFormatting sqref="B67:AG68 B72:AG72">
    <cfRule type="expression" dxfId="829" priority="81">
      <formula>B67&gt;$AG67</formula>
    </cfRule>
  </conditionalFormatting>
  <conditionalFormatting sqref="B72:AG72 B93:AF109">
    <cfRule type="expression" dxfId="828" priority="82">
      <formula>B$9&gt;=20/24</formula>
    </cfRule>
    <cfRule type="expression" dxfId="827" priority="83">
      <formula>AND(B$9&gt;=14/24,B$9&lt;20/24)</formula>
    </cfRule>
    <cfRule type="expression" dxfId="826" priority="85">
      <formula>B$9&lt;8/24</formula>
    </cfRule>
    <cfRule type="expression" dxfId="825" priority="84">
      <formula>AND(B$9&gt;=8/24,B$9&lt;14/24)</formula>
    </cfRule>
  </conditionalFormatting>
  <conditionalFormatting sqref="E59">
    <cfRule type="expression" dxfId="824" priority="131">
      <formula>E$9&gt;=20/24</formula>
    </cfRule>
    <cfRule type="expression" dxfId="823" priority="134">
      <formula>E$9&lt;8/24</formula>
    </cfRule>
    <cfRule type="expression" dxfId="822" priority="132">
      <formula>AND(E$9&gt;=14/24,E$9&lt;20/24)</formula>
    </cfRule>
    <cfRule type="expression" dxfId="821" priority="133">
      <formula>AND(E$9&gt;=8/24,E$9&lt;14/24)</formula>
    </cfRule>
  </conditionalFormatting>
  <conditionalFormatting sqref="E55:AA57">
    <cfRule type="expression" dxfId="820" priority="339">
      <formula>E$9&gt;=20/24</formula>
    </cfRule>
    <cfRule type="expression" dxfId="819" priority="340">
      <formula>AND(E$9&gt;=14/24,E$9&lt;20/24)</formula>
    </cfRule>
    <cfRule type="expression" dxfId="818" priority="341">
      <formula>AND(E$9&gt;=8/24,E$9&lt;14/24)</formula>
    </cfRule>
    <cfRule type="expression" dxfId="817" priority="342">
      <formula>E$9&lt;8/24</formula>
    </cfRule>
    <cfRule type="expression" dxfId="816" priority="338">
      <formula>E55&gt;$AG55</formula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815" priority="407">
      <formula>C$9&gt;=20/24</formula>
    </cfRule>
  </conditionalFormatting>
  <conditionalFormatting sqref="S8">
    <cfRule type="expression" dxfId="814" priority="380">
      <formula>U$9&gt;=20/24</formula>
    </cfRule>
    <cfRule type="expression" dxfId="813" priority="383">
      <formula>U$9&lt;8/24</formula>
    </cfRule>
    <cfRule type="expression" dxfId="812" priority="382">
      <formula>AND(U$9&gt;=8/24,U$9&lt;14/24)</formula>
    </cfRule>
    <cfRule type="expression" dxfId="811" priority="381">
      <formula>AND(U$9&gt;=14/24,U$9&lt;20/24)</formula>
    </cfRule>
  </conditionalFormatting>
  <conditionalFormatting sqref="T248">
    <cfRule type="expression" dxfId="810" priority="423">
      <formula>AX$9&lt;8/24</formula>
    </cfRule>
    <cfRule type="expression" dxfId="809" priority="420">
      <formula>AX$9&gt;=20/24</formula>
    </cfRule>
    <cfRule type="expression" dxfId="808" priority="421">
      <formula>AND(AX$9&gt;=14/24,AX$9&lt;20/24)</formula>
    </cfRule>
    <cfRule type="expression" dxfId="807" priority="422">
      <formula>AND(AX$9&gt;=8/24,AX$9&lt;14/24)</formula>
    </cfRule>
  </conditionalFormatting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AA61:AF66">
    <cfRule type="expression" dxfId="806" priority="243">
      <formula>AA61&gt;$AG61</formula>
    </cfRule>
    <cfRule type="expression" dxfId="805" priority="247">
      <formula>AA$9&lt;8/24</formula>
    </cfRule>
    <cfRule type="expression" dxfId="804" priority="246">
      <formula>AND(AA$9&gt;=8/24,AA$9&lt;14/24)</formula>
    </cfRule>
    <cfRule type="expression" dxfId="803" priority="245">
      <formula>AND(AA$9&gt;=14/24,AA$9&lt;20/24)</formula>
    </cfRule>
    <cfRule type="expression" dxfId="802" priority="244">
      <formula>AA$9&gt;=20/24</formula>
    </cfRule>
  </conditionalFormatting>
  <conditionalFormatting sqref="AB8">
    <cfRule type="expression" dxfId="801" priority="379">
      <formula>AD$9&lt;8/24</formula>
    </cfRule>
    <cfRule type="expression" dxfId="800" priority="378">
      <formula>AND(AD$9&gt;=8/24,AD$9&lt;14/24)</formula>
    </cfRule>
    <cfRule type="expression" dxfId="799" priority="377">
      <formula>AND(AD$9&gt;=14/24,AD$9&lt;20/24)</formula>
    </cfRule>
    <cfRule type="expression" dxfId="798" priority="376">
      <formula>AD$9&gt;=20/24</formula>
    </cfRule>
  </conditionalFormatting>
  <conditionalFormatting sqref="AB55:AF60 AA58:AA60">
    <cfRule type="expression" dxfId="797" priority="356">
      <formula>AA55&gt;$AG55</formula>
    </cfRule>
    <cfRule type="expression" dxfId="796" priority="359">
      <formula>AND(AA$9&gt;=8/24,AA$9&lt;14/24)</formula>
    </cfRule>
    <cfRule type="expression" dxfId="795" priority="358">
      <formula>AND(AA$9&gt;=14/24,AA$9&lt;20/24)</formula>
    </cfRule>
    <cfRule type="expression" dxfId="794" priority="357">
      <formula>AA$9&gt;=20/24</formula>
    </cfRule>
    <cfRule type="expression" dxfId="793" priority="360">
      <formula>AA$9&lt;8/24</formula>
    </cfRule>
  </conditionalFormatting>
  <conditionalFormatting sqref="AG50">
    <cfRule type="expression" dxfId="792" priority="333">
      <formula>AG50&gt;$AG50</formula>
    </cfRule>
  </conditionalFormatting>
  <conditionalFormatting sqref="AG89">
    <cfRule type="expression" dxfId="791" priority="336">
      <formula>AND(AG$9&gt;=8/24,AG$9&lt;14/24)</formula>
    </cfRule>
    <cfRule type="expression" dxfId="790" priority="337">
      <formula>AG$9&lt;8/24</formula>
    </cfRule>
    <cfRule type="expression" dxfId="789" priority="334">
      <formula>AG$9&gt;=20/24</formula>
    </cfRule>
    <cfRule type="expression" dxfId="788" priority="335">
      <formula>AND(AG$9&gt;=14/24,AG$9&lt;20/24)</formula>
    </cfRule>
  </conditionalFormatting>
  <conditionalFormatting sqref="AG248">
    <cfRule type="expression" dxfId="787" priority="412">
      <formula>B$9&gt;=20/24</formula>
    </cfRule>
    <cfRule type="expression" dxfId="786" priority="413">
      <formula>AND(B$9&gt;=14/24,B$9&lt;20/24)</formula>
    </cfRule>
    <cfRule type="expression" dxfId="785" priority="414">
      <formula>AND(B$9&gt;=8/24,B$9&lt;14/24)</formula>
    </cfRule>
    <cfRule type="expression" dxfId="784" priority="415">
      <formula>B$9&lt;8/24</formula>
    </cfRule>
  </conditionalFormatting>
  <conditionalFormatting sqref="AH248:AX248">
    <cfRule type="expression" dxfId="783" priority="416">
      <formula>AG$9&gt;=20/24</formula>
    </cfRule>
    <cfRule type="expression" dxfId="782" priority="417">
      <formula>AND(AG$9&gt;=14/24,AG$9&lt;20/24)</formula>
    </cfRule>
    <cfRule type="expression" dxfId="781" priority="418">
      <formula>AND(AG$9&gt;=8/24,AG$9&lt;14/24)</formula>
    </cfRule>
    <cfRule type="expression" dxfId="780" priority="419">
      <formula>AG$9&lt;8/24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779" priority="425">
      <formula>AJ$9&gt;=20/24</formula>
    </cfRule>
    <cfRule type="expression" dxfId="778" priority="426">
      <formula>AND(AJ$9&gt;=14/24,AJ$9&lt;20/24)</formula>
    </cfRule>
    <cfRule type="expression" dxfId="777" priority="427">
      <formula>AND(AJ$9&gt;=8/24,AJ$9&lt;14/24)</formula>
    </cfRule>
    <cfRule type="expression" dxfId="776" priority="428">
      <formula>AJ$9&lt;8/24</formula>
    </cfRule>
  </conditionalFormatting>
  <conditionalFormatting sqref="AL80:AN80 AL86:AN86">
    <cfRule type="expression" dxfId="775" priority="226">
      <formula>AND(AL$9&gt;=14/24,AL$9&lt;20/24)</formula>
    </cfRule>
    <cfRule type="expression" dxfId="774" priority="227">
      <formula>AND(AL$9&gt;=8/24,AL$9&lt;14/24)</formula>
    </cfRule>
    <cfRule type="expression" dxfId="773" priority="228">
      <formula>AL$9&lt;8/24</formula>
    </cfRule>
    <cfRule type="expression" dxfId="772" priority="225">
      <formula>AL$9&gt;=20/24</formula>
    </cfRule>
  </conditionalFormatting>
  <conditionalFormatting sqref="AN81:AN84">
    <cfRule type="expression" dxfId="771" priority="221">
      <formula>AN$9&gt;=20/24</formula>
    </cfRule>
    <cfRule type="expression" dxfId="770" priority="224">
      <formula>AN$9&lt;8/24</formula>
    </cfRule>
    <cfRule type="expression" dxfId="769" priority="223">
      <formula>AND(AN$9&gt;=8/24,AN$9&lt;14/24)</formula>
    </cfRule>
    <cfRule type="expression" dxfId="768" priority="222">
      <formula>AND(AN$9&gt;=14/24,AN$9&lt;20/24)</formula>
    </cfRule>
  </conditionalFormatting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287E-4BBD-4C78-B75F-68061699BB80}">
  <dimension ref="A1:CJ281"/>
  <sheetViews>
    <sheetView zoomScale="89" zoomScaleNormal="89" workbookViewId="0">
      <pane xSplit="1" ySplit="10" topLeftCell="B55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G74" sqref="AG7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7.5703125" style="1" customWidth="1"/>
    <col min="12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2080/03/18</v>
      </c>
      <c r="C4" s="187"/>
      <c r="D4" s="187"/>
      <c r="E4" s="188" t="str">
        <f ca="1">"2079/"&amp;"12/"&amp;INT(MID(CELL("filename",G6),FIND("]",CELL("filename",G6))+1,200))</f>
        <v>2079/12/18</v>
      </c>
      <c r="F4" s="188"/>
      <c r="G4" s="188"/>
      <c r="H4" s="188" t="str">
        <f ca="1">TEXT(E4,"dddd")</f>
        <v>Monday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16</v>
      </c>
      <c r="C5" s="30">
        <f t="shared" si="0"/>
        <v>10.7</v>
      </c>
      <c r="D5" s="30">
        <f t="shared" si="0"/>
        <v>7</v>
      </c>
      <c r="E5" s="30">
        <f t="shared" si="0"/>
        <v>12</v>
      </c>
      <c r="F5" s="30">
        <f t="shared" si="0"/>
        <v>7</v>
      </c>
      <c r="G5" s="30">
        <f t="shared" si="0"/>
        <v>15</v>
      </c>
      <c r="H5" s="30">
        <f t="shared" si="0"/>
        <v>7.6</v>
      </c>
      <c r="I5" s="30">
        <f t="shared" si="0"/>
        <v>0</v>
      </c>
      <c r="J5" s="30">
        <f t="shared" si="0"/>
        <v>3</v>
      </c>
      <c r="K5" s="30">
        <f t="shared" si="0"/>
        <v>8</v>
      </c>
      <c r="L5" s="30">
        <f t="shared" si="0"/>
        <v>5.7</v>
      </c>
      <c r="M5" s="30">
        <f t="shared" si="0"/>
        <v>73.7</v>
      </c>
      <c r="N5" s="30">
        <f t="shared" si="0"/>
        <v>10</v>
      </c>
      <c r="O5" s="30">
        <f t="shared" si="0"/>
        <v>15</v>
      </c>
      <c r="P5" s="30">
        <f t="shared" si="0"/>
        <v>18.399999999999999</v>
      </c>
      <c r="Q5" s="30">
        <f t="shared" si="0"/>
        <v>21.3</v>
      </c>
      <c r="R5" s="30">
        <f t="shared" si="0"/>
        <v>23.6</v>
      </c>
      <c r="S5" s="30">
        <f t="shared" si="0"/>
        <v>18.7</v>
      </c>
      <c r="T5" s="30">
        <f t="shared" si="0"/>
        <v>29.6</v>
      </c>
      <c r="U5" s="30">
        <f t="shared" si="0"/>
        <v>22</v>
      </c>
      <c r="V5" s="30">
        <f t="shared" si="0"/>
        <v>22</v>
      </c>
      <c r="W5" s="30">
        <f t="shared" si="0"/>
        <v>20.8</v>
      </c>
      <c r="X5" s="30">
        <f t="shared" si="0"/>
        <v>9.3000000000000007</v>
      </c>
      <c r="Y5" s="30">
        <f t="shared" si="0"/>
        <v>14.7</v>
      </c>
      <c r="Z5" s="30">
        <f t="shared" si="0"/>
        <v>80.3</v>
      </c>
      <c r="AA5" s="30">
        <f t="shared" si="0"/>
        <v>36</v>
      </c>
      <c r="AB5" s="30">
        <f t="shared" si="0"/>
        <v>51</v>
      </c>
      <c r="AC5" s="30">
        <f t="shared" si="0"/>
        <v>55</v>
      </c>
      <c r="AD5" s="30">
        <f t="shared" si="0"/>
        <v>70</v>
      </c>
      <c r="AE5" s="30">
        <f t="shared" si="0"/>
        <v>64</v>
      </c>
      <c r="AF5" s="30">
        <f>B84</f>
        <v>17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1988MW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Load=1788</v>
      </c>
      <c r="B7" s="35">
        <f t="shared" ref="B7:AF7" si="1">B91</f>
        <v>1843.75</v>
      </c>
      <c r="C7" s="35">
        <f t="shared" si="1"/>
        <v>1787.75</v>
      </c>
      <c r="D7" s="35">
        <f t="shared" si="1"/>
        <v>1817.45</v>
      </c>
      <c r="E7" s="35">
        <f t="shared" si="1"/>
        <v>1821.4</v>
      </c>
      <c r="F7" s="35">
        <f t="shared" si="1"/>
        <v>1826.4</v>
      </c>
      <c r="G7" s="35">
        <f t="shared" si="1"/>
        <v>1821.4</v>
      </c>
      <c r="H7" s="35">
        <f t="shared" si="1"/>
        <v>1862.3000000000002</v>
      </c>
      <c r="I7" s="35">
        <f t="shared" si="1"/>
        <v>1857.6999999999998</v>
      </c>
      <c r="J7" s="35">
        <f t="shared" si="1"/>
        <v>1865.7999999999997</v>
      </c>
      <c r="K7" s="35">
        <f t="shared" si="1"/>
        <v>1929.7999999999997</v>
      </c>
      <c r="L7" s="35">
        <f t="shared" si="1"/>
        <v>1934.7999999999997</v>
      </c>
      <c r="M7" s="35">
        <f t="shared" si="1"/>
        <v>1933.7</v>
      </c>
      <c r="N7" s="35">
        <f>N91</f>
        <v>1988.2</v>
      </c>
      <c r="O7" s="35">
        <f t="shared" si="1"/>
        <v>1971.8</v>
      </c>
      <c r="P7" s="35">
        <f t="shared" si="1"/>
        <v>1983.2400000000002</v>
      </c>
      <c r="Q7" s="35">
        <f t="shared" si="1"/>
        <v>1954.54</v>
      </c>
      <c r="R7" s="35">
        <f t="shared" si="1"/>
        <v>1973.04</v>
      </c>
      <c r="S7" s="35">
        <f t="shared" si="1"/>
        <v>1948.6399999999999</v>
      </c>
      <c r="T7" s="35">
        <f t="shared" si="1"/>
        <v>1925.14</v>
      </c>
      <c r="U7" s="35">
        <f t="shared" si="1"/>
        <v>1923.7399999999998</v>
      </c>
      <c r="V7" s="35">
        <f t="shared" si="1"/>
        <v>1932.34</v>
      </c>
      <c r="W7" s="35">
        <f t="shared" si="1"/>
        <v>1881.94</v>
      </c>
      <c r="X7" s="35">
        <f t="shared" si="1"/>
        <v>2113.04</v>
      </c>
      <c r="Y7" s="35">
        <f t="shared" si="1"/>
        <v>1962.84</v>
      </c>
      <c r="Z7" s="35">
        <f t="shared" si="1"/>
        <v>2037.94</v>
      </c>
      <c r="AA7" s="35">
        <f t="shared" si="1"/>
        <v>2036.5400000000002</v>
      </c>
      <c r="AB7" s="35">
        <f t="shared" si="1"/>
        <v>2009.0400000000002</v>
      </c>
      <c r="AC7" s="35">
        <f t="shared" si="1"/>
        <v>2005.64</v>
      </c>
      <c r="AD7" s="35">
        <f t="shared" si="1"/>
        <v>1916.3400000000001</v>
      </c>
      <c r="AE7" s="35">
        <f t="shared" si="1"/>
        <v>1895.14</v>
      </c>
      <c r="AF7" s="35">
        <f t="shared" si="1"/>
        <v>1857.64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60.6</v>
      </c>
      <c r="C11" s="45">
        <v>60.6</v>
      </c>
      <c r="D11" s="45">
        <v>60.6</v>
      </c>
      <c r="E11" s="45">
        <v>60.56</v>
      </c>
      <c r="F11" s="45">
        <v>60.56</v>
      </c>
      <c r="G11" s="45">
        <v>60.56</v>
      </c>
      <c r="H11" s="45">
        <v>60.56</v>
      </c>
      <c r="I11" s="45">
        <v>60.56</v>
      </c>
      <c r="J11" s="45">
        <v>60.56</v>
      </c>
      <c r="K11" s="45">
        <v>60.56</v>
      </c>
      <c r="L11" s="45">
        <v>60.56</v>
      </c>
      <c r="M11" s="45">
        <v>60.56</v>
      </c>
      <c r="N11" s="45">
        <v>60.56</v>
      </c>
      <c r="O11" s="45">
        <v>60.56</v>
      </c>
      <c r="P11" s="45">
        <v>60.5</v>
      </c>
      <c r="Q11" s="45">
        <v>60.5</v>
      </c>
      <c r="R11" s="45">
        <v>60.5</v>
      </c>
      <c r="S11" s="45">
        <v>60.5</v>
      </c>
      <c r="T11" s="45">
        <v>60.5</v>
      </c>
      <c r="U11" s="45">
        <v>60.5</v>
      </c>
      <c r="V11" s="45">
        <v>60.5</v>
      </c>
      <c r="W11" s="45">
        <v>60.5</v>
      </c>
      <c r="X11" s="45">
        <v>60.5</v>
      </c>
      <c r="Y11" s="45">
        <v>60.5</v>
      </c>
      <c r="Z11" s="45">
        <v>60.5</v>
      </c>
      <c r="AA11" s="45">
        <v>60.5</v>
      </c>
      <c r="AB11" s="45">
        <v>60.5</v>
      </c>
      <c r="AC11" s="45">
        <v>60.5</v>
      </c>
      <c r="AD11" s="45">
        <v>60.5</v>
      </c>
      <c r="AE11" s="45">
        <v>60.5</v>
      </c>
      <c r="AF11" s="45">
        <v>60.5</v>
      </c>
      <c r="AG11" s="46">
        <v>86</v>
      </c>
      <c r="AH11" s="47">
        <f t="shared" ref="AH11:AH76" si="2">MAX(B11:AF11)</f>
        <v>60.6</v>
      </c>
      <c r="AI11" s="48">
        <f t="shared" ref="AI11:AI76" si="3">MIN(B11:AF11)</f>
        <v>60.5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12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10</v>
      </c>
      <c r="I12" s="45">
        <v>10</v>
      </c>
      <c r="J12" s="45">
        <v>10</v>
      </c>
      <c r="K12" s="45">
        <v>27</v>
      </c>
      <c r="L12" s="45">
        <v>27</v>
      </c>
      <c r="M12" s="45">
        <v>27</v>
      </c>
      <c r="N12" s="45">
        <v>27</v>
      </c>
      <c r="O12" s="45">
        <v>27</v>
      </c>
      <c r="P12" s="45">
        <v>27</v>
      </c>
      <c r="Q12" s="45">
        <v>27</v>
      </c>
      <c r="R12" s="45">
        <v>27</v>
      </c>
      <c r="S12" s="45">
        <v>27</v>
      </c>
      <c r="T12" s="45">
        <v>27</v>
      </c>
      <c r="U12" s="45">
        <v>0</v>
      </c>
      <c r="V12" s="45">
        <v>27</v>
      </c>
      <c r="W12" s="45">
        <v>0</v>
      </c>
      <c r="X12" s="45">
        <v>27</v>
      </c>
      <c r="Y12" s="45">
        <v>27</v>
      </c>
      <c r="Z12" s="45">
        <v>27</v>
      </c>
      <c r="AA12" s="45">
        <v>27</v>
      </c>
      <c r="AB12" s="45">
        <v>27</v>
      </c>
      <c r="AC12" s="45">
        <v>27</v>
      </c>
      <c r="AD12" s="45">
        <v>27</v>
      </c>
      <c r="AE12" s="45">
        <v>27</v>
      </c>
      <c r="AF12" s="45">
        <v>15</v>
      </c>
      <c r="AG12" s="49">
        <v>54</v>
      </c>
      <c r="AH12" s="47">
        <f t="shared" si="2"/>
        <v>27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54.7</v>
      </c>
      <c r="C13" s="45">
        <v>54.7</v>
      </c>
      <c r="D13" s="45">
        <v>54.7</v>
      </c>
      <c r="E13" s="45">
        <v>54.7</v>
      </c>
      <c r="F13" s="45">
        <v>54.7</v>
      </c>
      <c r="G13" s="45">
        <v>54.7</v>
      </c>
      <c r="H13" s="45">
        <v>54.7</v>
      </c>
      <c r="I13" s="45">
        <v>54.7</v>
      </c>
      <c r="J13" s="45">
        <v>54.7</v>
      </c>
      <c r="K13" s="45">
        <v>54.7</v>
      </c>
      <c r="L13" s="45">
        <v>54.7</v>
      </c>
      <c r="M13" s="45">
        <v>54.7</v>
      </c>
      <c r="N13" s="45">
        <v>54.7</v>
      </c>
      <c r="O13" s="45">
        <v>54.7</v>
      </c>
      <c r="P13" s="45">
        <v>54.5</v>
      </c>
      <c r="Q13" s="45">
        <v>54.5</v>
      </c>
      <c r="R13" s="45">
        <v>54.5</v>
      </c>
      <c r="S13" s="45">
        <v>54.5</v>
      </c>
      <c r="T13" s="45">
        <v>54.5</v>
      </c>
      <c r="U13" s="45">
        <v>54.5</v>
      </c>
      <c r="V13" s="45">
        <v>54.5</v>
      </c>
      <c r="W13" s="45">
        <v>54.5</v>
      </c>
      <c r="X13" s="45">
        <v>54.5</v>
      </c>
      <c r="Y13" s="45">
        <v>54.5</v>
      </c>
      <c r="Z13" s="45">
        <v>54.5</v>
      </c>
      <c r="AA13" s="45">
        <v>54.5</v>
      </c>
      <c r="AB13" s="45">
        <v>54.5</v>
      </c>
      <c r="AC13" s="45">
        <v>54.5</v>
      </c>
      <c r="AD13" s="45">
        <v>54.5</v>
      </c>
      <c r="AE13" s="45">
        <v>54.5</v>
      </c>
      <c r="AF13" s="45">
        <v>46</v>
      </c>
      <c r="AG13" s="46">
        <v>52.4</v>
      </c>
      <c r="AH13" s="47">
        <f t="shared" si="2"/>
        <v>54.7</v>
      </c>
      <c r="AI13" s="48">
        <f t="shared" si="3"/>
        <v>46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50.4</v>
      </c>
      <c r="C14" s="50">
        <v>50.4</v>
      </c>
      <c r="D14" s="50">
        <v>50.4</v>
      </c>
      <c r="E14" s="50">
        <v>50.5</v>
      </c>
      <c r="F14" s="50">
        <v>50.5</v>
      </c>
      <c r="G14" s="50">
        <v>50.5</v>
      </c>
      <c r="H14" s="50">
        <v>50.5</v>
      </c>
      <c r="I14" s="50">
        <v>50.5</v>
      </c>
      <c r="J14" s="50">
        <v>50.5</v>
      </c>
      <c r="K14" s="50">
        <v>50.5</v>
      </c>
      <c r="L14" s="50">
        <v>50.5</v>
      </c>
      <c r="M14" s="50">
        <v>50.5</v>
      </c>
      <c r="N14" s="50">
        <v>50.5</v>
      </c>
      <c r="O14" s="50">
        <v>50.5</v>
      </c>
      <c r="P14" s="50">
        <v>50.5</v>
      </c>
      <c r="Q14" s="50">
        <v>50.5</v>
      </c>
      <c r="R14" s="50">
        <v>50.5</v>
      </c>
      <c r="S14" s="50">
        <v>50.5</v>
      </c>
      <c r="T14" s="50">
        <v>50.5</v>
      </c>
      <c r="U14" s="50">
        <v>50.5</v>
      </c>
      <c r="V14" s="50">
        <v>50.5</v>
      </c>
      <c r="W14" s="50">
        <v>50.5</v>
      </c>
      <c r="X14" s="50">
        <v>50.5</v>
      </c>
      <c r="Y14" s="50">
        <v>50.5</v>
      </c>
      <c r="Z14" s="50">
        <v>50.5</v>
      </c>
      <c r="AA14" s="45">
        <v>50.5</v>
      </c>
      <c r="AB14" s="45">
        <v>50.5</v>
      </c>
      <c r="AC14" s="45">
        <v>50.5</v>
      </c>
      <c r="AD14" s="45">
        <v>50.5</v>
      </c>
      <c r="AE14" s="45">
        <v>50.5</v>
      </c>
      <c r="AF14" s="45">
        <v>50.5</v>
      </c>
      <c r="AG14" s="49">
        <v>50</v>
      </c>
      <c r="AH14" s="47">
        <f t="shared" si="2"/>
        <v>50.5</v>
      </c>
      <c r="AI14" s="48">
        <f t="shared" si="3"/>
        <v>50.4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45.8</v>
      </c>
      <c r="C15" s="45">
        <v>45.8</v>
      </c>
      <c r="D15" s="45">
        <v>45.8</v>
      </c>
      <c r="E15" s="45">
        <v>37.200000000000003</v>
      </c>
      <c r="F15" s="45">
        <v>37.200000000000003</v>
      </c>
      <c r="G15" s="45">
        <v>37.200000000000003</v>
      </c>
      <c r="H15" s="45">
        <v>37.200000000000003</v>
      </c>
      <c r="I15" s="45">
        <v>40</v>
      </c>
      <c r="J15" s="45">
        <v>40</v>
      </c>
      <c r="K15" s="45">
        <v>45</v>
      </c>
      <c r="L15" s="45">
        <v>45</v>
      </c>
      <c r="M15" s="45">
        <v>45</v>
      </c>
      <c r="N15" s="45">
        <v>45.8</v>
      </c>
      <c r="O15" s="45">
        <v>45.8</v>
      </c>
      <c r="P15" s="45">
        <v>45.8</v>
      </c>
      <c r="Q15" s="45">
        <v>45.8</v>
      </c>
      <c r="R15" s="45">
        <v>45.8</v>
      </c>
      <c r="S15" s="45">
        <v>45.8</v>
      </c>
      <c r="T15" s="45">
        <v>45.8</v>
      </c>
      <c r="U15" s="45">
        <v>45.8</v>
      </c>
      <c r="V15" s="45">
        <v>45.8</v>
      </c>
      <c r="W15" s="45">
        <v>45.8</v>
      </c>
      <c r="X15" s="45">
        <v>45.8</v>
      </c>
      <c r="Y15" s="45">
        <v>45.8</v>
      </c>
      <c r="Z15" s="45">
        <v>45.8</v>
      </c>
      <c r="AA15" s="45">
        <v>45.8</v>
      </c>
      <c r="AB15" s="45">
        <v>45.8</v>
      </c>
      <c r="AC15" s="45">
        <v>45.8</v>
      </c>
      <c r="AD15" s="45">
        <v>45.8</v>
      </c>
      <c r="AE15" s="45">
        <v>45.8</v>
      </c>
      <c r="AF15" s="45">
        <v>45.8</v>
      </c>
      <c r="AG15" s="49">
        <v>45</v>
      </c>
      <c r="AH15" s="47">
        <f t="shared" si="2"/>
        <v>45.8</v>
      </c>
      <c r="AI15" s="48">
        <f t="shared" si="3"/>
        <v>37.200000000000003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9">
        <v>44</v>
      </c>
      <c r="AH16" s="47">
        <f>MAX(B16:AG16)</f>
        <v>44</v>
      </c>
      <c r="AI16" s="48">
        <f>MIN(B16:AG16)</f>
        <v>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30</v>
      </c>
      <c r="C17" s="45">
        <v>28</v>
      </c>
      <c r="D17" s="45">
        <v>28</v>
      </c>
      <c r="E17" s="45">
        <v>28</v>
      </c>
      <c r="F17" s="45">
        <v>28</v>
      </c>
      <c r="G17" s="45">
        <v>28</v>
      </c>
      <c r="H17" s="45">
        <v>28</v>
      </c>
      <c r="I17" s="45">
        <v>28</v>
      </c>
      <c r="J17" s="45">
        <v>28</v>
      </c>
      <c r="K17" s="45">
        <v>35</v>
      </c>
      <c r="L17" s="45">
        <v>35</v>
      </c>
      <c r="M17" s="45">
        <v>35</v>
      </c>
      <c r="N17" s="45">
        <v>35</v>
      </c>
      <c r="O17" s="45">
        <v>35</v>
      </c>
      <c r="P17" s="45">
        <v>35</v>
      </c>
      <c r="Q17" s="45">
        <v>35</v>
      </c>
      <c r="R17" s="45">
        <v>32.5</v>
      </c>
      <c r="S17" s="45">
        <v>32.5</v>
      </c>
      <c r="T17" s="45">
        <v>32.5</v>
      </c>
      <c r="U17" s="45">
        <v>0</v>
      </c>
      <c r="V17" s="45">
        <v>32.5</v>
      </c>
      <c r="W17" s="45">
        <v>0</v>
      </c>
      <c r="X17" s="45">
        <v>32.5</v>
      </c>
      <c r="Y17" s="45">
        <v>33</v>
      </c>
      <c r="Z17" s="45">
        <v>33</v>
      </c>
      <c r="AA17" s="45">
        <v>39</v>
      </c>
      <c r="AB17" s="45">
        <v>42</v>
      </c>
      <c r="AC17" s="45">
        <v>38.5</v>
      </c>
      <c r="AD17" s="45">
        <v>38.5</v>
      </c>
      <c r="AE17" s="45">
        <v>30</v>
      </c>
      <c r="AF17" s="45">
        <v>30</v>
      </c>
      <c r="AG17" s="49">
        <v>42</v>
      </c>
      <c r="AH17" s="47">
        <f t="shared" si="2"/>
        <v>42</v>
      </c>
      <c r="AI17" s="48">
        <f t="shared" si="3"/>
        <v>0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9">
        <v>38.46</v>
      </c>
      <c r="AH18" s="47">
        <f t="shared" si="2"/>
        <v>38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36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57" t="s">
        <v>33</v>
      </c>
      <c r="B20" s="45">
        <v>5</v>
      </c>
      <c r="C20" s="45">
        <v>0</v>
      </c>
      <c r="D20" s="45">
        <v>5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30</v>
      </c>
      <c r="L20" s="45">
        <v>30</v>
      </c>
      <c r="M20" s="45">
        <v>20</v>
      </c>
      <c r="N20" s="45">
        <v>20</v>
      </c>
      <c r="O20" s="45">
        <v>29</v>
      </c>
      <c r="P20" s="45">
        <v>29</v>
      </c>
      <c r="Q20" s="45">
        <v>29</v>
      </c>
      <c r="R20" s="45">
        <v>29</v>
      </c>
      <c r="S20" s="45">
        <v>29</v>
      </c>
      <c r="T20" s="45">
        <v>29</v>
      </c>
      <c r="U20" s="45">
        <v>0</v>
      </c>
      <c r="V20" s="45">
        <v>29</v>
      </c>
      <c r="W20" s="45">
        <v>0</v>
      </c>
      <c r="X20" s="45">
        <v>29</v>
      </c>
      <c r="Y20" s="45">
        <v>29</v>
      </c>
      <c r="Z20" s="45">
        <v>29</v>
      </c>
      <c r="AA20" s="45">
        <v>29</v>
      </c>
      <c r="AB20" s="45">
        <v>29</v>
      </c>
      <c r="AC20" s="45">
        <v>29</v>
      </c>
      <c r="AD20" s="45">
        <v>29</v>
      </c>
      <c r="AE20" s="45">
        <v>29</v>
      </c>
      <c r="AF20" s="45">
        <v>29</v>
      </c>
      <c r="AG20" s="51">
        <v>30</v>
      </c>
      <c r="AH20" s="47">
        <f t="shared" si="2"/>
        <v>30</v>
      </c>
      <c r="AI20" s="48">
        <f t="shared" si="3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20.6</v>
      </c>
      <c r="C21" s="45">
        <v>20.6</v>
      </c>
      <c r="D21" s="45">
        <v>20.6</v>
      </c>
      <c r="E21" s="45">
        <v>20.6</v>
      </c>
      <c r="F21" s="45">
        <v>20.6</v>
      </c>
      <c r="G21" s="45">
        <v>20.6</v>
      </c>
      <c r="H21" s="45">
        <v>20.6</v>
      </c>
      <c r="I21" s="45">
        <v>20.6</v>
      </c>
      <c r="J21" s="45">
        <v>20.6</v>
      </c>
      <c r="K21" s="45">
        <v>20.6</v>
      </c>
      <c r="L21" s="45">
        <v>20.6</v>
      </c>
      <c r="M21" s="45">
        <v>20.6</v>
      </c>
      <c r="N21" s="45">
        <v>20.6</v>
      </c>
      <c r="O21" s="45">
        <v>20.6</v>
      </c>
      <c r="P21" s="45">
        <v>20.6</v>
      </c>
      <c r="Q21" s="45">
        <v>20.6</v>
      </c>
      <c r="R21" s="45">
        <v>20.6</v>
      </c>
      <c r="S21" s="45">
        <v>20.6</v>
      </c>
      <c r="T21" s="45">
        <v>20.6</v>
      </c>
      <c r="U21" s="45">
        <v>20.6</v>
      </c>
      <c r="V21" s="45">
        <v>20.6</v>
      </c>
      <c r="W21" s="45">
        <v>20.6</v>
      </c>
      <c r="X21" s="45">
        <v>20.6</v>
      </c>
      <c r="Y21" s="45">
        <v>20.6</v>
      </c>
      <c r="Z21" s="45">
        <v>20.6</v>
      </c>
      <c r="AA21" s="45">
        <v>20.6</v>
      </c>
      <c r="AB21" s="45">
        <v>20.6</v>
      </c>
      <c r="AC21" s="45">
        <v>20.6</v>
      </c>
      <c r="AD21" s="45">
        <v>20.6</v>
      </c>
      <c r="AE21" s="45">
        <v>20.6</v>
      </c>
      <c r="AF21" s="45">
        <v>20.6</v>
      </c>
      <c r="AG21" s="49">
        <v>24.2</v>
      </c>
      <c r="AH21" s="47">
        <f t="shared" si="2"/>
        <v>20.6</v>
      </c>
      <c r="AI21" s="48">
        <f t="shared" si="3"/>
        <v>20.6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20</v>
      </c>
      <c r="Q22" s="45">
        <v>20</v>
      </c>
      <c r="R22" s="45">
        <v>20</v>
      </c>
      <c r="S22" s="45">
        <v>20</v>
      </c>
      <c r="T22" s="45">
        <v>20</v>
      </c>
      <c r="U22" s="45">
        <v>20</v>
      </c>
      <c r="V22" s="45">
        <v>20</v>
      </c>
      <c r="W22" s="45">
        <v>20</v>
      </c>
      <c r="X22" s="45">
        <v>20</v>
      </c>
      <c r="Y22" s="45">
        <v>20</v>
      </c>
      <c r="Z22" s="45">
        <v>20</v>
      </c>
      <c r="AA22" s="45">
        <v>20</v>
      </c>
      <c r="AB22" s="45">
        <v>20</v>
      </c>
      <c r="AC22" s="45">
        <v>20</v>
      </c>
      <c r="AD22" s="45">
        <v>20</v>
      </c>
      <c r="AE22" s="45">
        <v>20</v>
      </c>
      <c r="AF22" s="45">
        <v>20</v>
      </c>
      <c r="AG22" s="49">
        <v>28</v>
      </c>
      <c r="AH22" s="47">
        <f t="shared" si="2"/>
        <v>20</v>
      </c>
      <c r="AI22" s="48">
        <f t="shared" si="3"/>
        <v>20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3</v>
      </c>
      <c r="C23" s="45">
        <v>3</v>
      </c>
      <c r="D23" s="45">
        <v>3</v>
      </c>
      <c r="E23" s="45">
        <v>3</v>
      </c>
      <c r="F23" s="45">
        <v>3</v>
      </c>
      <c r="G23" s="45">
        <v>3</v>
      </c>
      <c r="H23" s="45">
        <v>3</v>
      </c>
      <c r="I23" s="45">
        <v>3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0</v>
      </c>
      <c r="V23" s="45">
        <v>9</v>
      </c>
      <c r="W23" s="45">
        <v>0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</v>
      </c>
      <c r="C24" s="45">
        <v>26</v>
      </c>
      <c r="D24" s="45">
        <v>26</v>
      </c>
      <c r="E24" s="45">
        <v>26</v>
      </c>
      <c r="F24" s="45">
        <v>26</v>
      </c>
      <c r="G24" s="45">
        <v>26</v>
      </c>
      <c r="H24" s="45">
        <v>26</v>
      </c>
      <c r="I24" s="45">
        <v>26</v>
      </c>
      <c r="J24" s="45">
        <v>26</v>
      </c>
      <c r="K24" s="45">
        <v>26</v>
      </c>
      <c r="L24" s="45">
        <v>26</v>
      </c>
      <c r="M24" s="45">
        <v>26</v>
      </c>
      <c r="N24" s="45">
        <v>26</v>
      </c>
      <c r="O24" s="45">
        <v>26</v>
      </c>
      <c r="P24" s="45">
        <v>26</v>
      </c>
      <c r="Q24" s="45">
        <v>26</v>
      </c>
      <c r="R24" s="45">
        <v>26</v>
      </c>
      <c r="S24" s="45">
        <v>26</v>
      </c>
      <c r="T24" s="45">
        <v>26</v>
      </c>
      <c r="U24" s="45">
        <v>26</v>
      </c>
      <c r="V24" s="45">
        <v>26</v>
      </c>
      <c r="W24" s="45">
        <v>26</v>
      </c>
      <c r="X24" s="45">
        <v>26</v>
      </c>
      <c r="Y24" s="45">
        <v>26</v>
      </c>
      <c r="Z24" s="45">
        <v>26</v>
      </c>
      <c r="AA24" s="45">
        <v>26</v>
      </c>
      <c r="AB24" s="45">
        <v>26</v>
      </c>
      <c r="AC24" s="45">
        <v>26</v>
      </c>
      <c r="AD24" s="45">
        <v>26</v>
      </c>
      <c r="AE24" s="45">
        <v>26</v>
      </c>
      <c r="AF24" s="45">
        <v>26</v>
      </c>
      <c r="AG24" s="49">
        <v>25</v>
      </c>
      <c r="AH24" s="47">
        <f t="shared" si="2"/>
        <v>26</v>
      </c>
      <c r="AI24" s="48">
        <f t="shared" si="3"/>
        <v>26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0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0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3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10</v>
      </c>
      <c r="I27" s="45">
        <v>10</v>
      </c>
      <c r="J27" s="45">
        <v>13</v>
      </c>
      <c r="K27" s="45">
        <v>25</v>
      </c>
      <c r="L27" s="45">
        <v>25</v>
      </c>
      <c r="M27" s="45">
        <v>25</v>
      </c>
      <c r="N27" s="45">
        <v>25</v>
      </c>
      <c r="O27" s="45">
        <v>25</v>
      </c>
      <c r="P27" s="45">
        <v>25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26</v>
      </c>
      <c r="Z27" s="45">
        <v>26</v>
      </c>
      <c r="AA27" s="45">
        <v>26</v>
      </c>
      <c r="AB27" s="45">
        <v>26</v>
      </c>
      <c r="AC27" s="45">
        <v>26</v>
      </c>
      <c r="AD27" s="45">
        <v>26</v>
      </c>
      <c r="AE27" s="45">
        <v>26</v>
      </c>
      <c r="AF27" s="45">
        <v>15</v>
      </c>
      <c r="AG27" s="49">
        <v>25</v>
      </c>
      <c r="AH27" s="47">
        <f t="shared" si="2"/>
        <v>26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22</v>
      </c>
      <c r="C28" s="45">
        <v>22</v>
      </c>
      <c r="D28" s="45">
        <v>22</v>
      </c>
      <c r="E28" s="45">
        <v>24.2</v>
      </c>
      <c r="F28" s="45">
        <v>24.2</v>
      </c>
      <c r="G28" s="45">
        <v>24.2</v>
      </c>
      <c r="H28" s="45">
        <v>24.1</v>
      </c>
      <c r="I28" s="45">
        <v>24.1</v>
      </c>
      <c r="J28" s="45">
        <v>24.1</v>
      </c>
      <c r="K28" s="45">
        <v>24.1</v>
      </c>
      <c r="L28" s="45">
        <v>24.1</v>
      </c>
      <c r="M28" s="45">
        <v>24.1</v>
      </c>
      <c r="N28" s="45">
        <v>24.1</v>
      </c>
      <c r="O28" s="45">
        <v>24.1</v>
      </c>
      <c r="P28" s="45">
        <v>24.1</v>
      </c>
      <c r="Q28" s="45">
        <v>22.8</v>
      </c>
      <c r="R28" s="45">
        <v>22.8</v>
      </c>
      <c r="S28" s="45">
        <v>22.8</v>
      </c>
      <c r="T28" s="45">
        <v>22.8</v>
      </c>
      <c r="U28" s="45">
        <v>22.8</v>
      </c>
      <c r="V28" s="45">
        <v>22.8</v>
      </c>
      <c r="W28" s="45">
        <v>22.8</v>
      </c>
      <c r="X28" s="45">
        <v>22.8</v>
      </c>
      <c r="Y28" s="45">
        <v>22.8</v>
      </c>
      <c r="Z28" s="45">
        <v>22.8</v>
      </c>
      <c r="AA28" s="45">
        <v>22.8</v>
      </c>
      <c r="AB28" s="45">
        <v>22.8</v>
      </c>
      <c r="AC28" s="45">
        <v>22.8</v>
      </c>
      <c r="AD28" s="45">
        <v>22.8</v>
      </c>
      <c r="AE28" s="45">
        <v>22.8</v>
      </c>
      <c r="AF28" s="45">
        <v>22.8</v>
      </c>
      <c r="AG28" s="49">
        <v>23.5</v>
      </c>
      <c r="AH28" s="47">
        <f t="shared" si="2"/>
        <v>24.2</v>
      </c>
      <c r="AI28" s="48">
        <f t="shared" si="3"/>
        <v>22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22</v>
      </c>
      <c r="C32" s="45">
        <v>22</v>
      </c>
      <c r="D32" s="45">
        <v>22</v>
      </c>
      <c r="E32" s="45">
        <v>25.2</v>
      </c>
      <c r="F32" s="45">
        <v>25.2</v>
      </c>
      <c r="G32" s="45">
        <v>25.2</v>
      </c>
      <c r="H32" s="45">
        <v>25.2</v>
      </c>
      <c r="I32" s="45">
        <v>25.2</v>
      </c>
      <c r="J32" s="45">
        <v>24.9</v>
      </c>
      <c r="K32" s="45">
        <v>24.9</v>
      </c>
      <c r="L32" s="45">
        <v>24.9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25.2</v>
      </c>
      <c r="AI32" s="48">
        <f t="shared" si="3"/>
        <v>22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5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4</v>
      </c>
      <c r="I33" s="45">
        <v>4</v>
      </c>
      <c r="J33" s="45">
        <v>6</v>
      </c>
      <c r="K33" s="45">
        <v>6</v>
      </c>
      <c r="L33" s="45">
        <v>6</v>
      </c>
      <c r="M33" s="45">
        <v>10</v>
      </c>
      <c r="N33" s="45">
        <v>15</v>
      </c>
      <c r="O33" s="45">
        <v>20</v>
      </c>
      <c r="P33" s="45">
        <v>20</v>
      </c>
      <c r="Q33" s="45">
        <v>20</v>
      </c>
      <c r="R33" s="45">
        <v>20</v>
      </c>
      <c r="S33" s="45">
        <v>20</v>
      </c>
      <c r="T33" s="45">
        <v>20</v>
      </c>
      <c r="U33" s="45">
        <v>0</v>
      </c>
      <c r="V33" s="45">
        <v>20</v>
      </c>
      <c r="W33" s="45">
        <v>0</v>
      </c>
      <c r="X33" s="45">
        <v>20</v>
      </c>
      <c r="Y33" s="45">
        <v>20</v>
      </c>
      <c r="Z33" s="45">
        <v>20</v>
      </c>
      <c r="AA33" s="45">
        <v>20</v>
      </c>
      <c r="AB33" s="45">
        <v>20</v>
      </c>
      <c r="AC33" s="45">
        <v>16</v>
      </c>
      <c r="AD33" s="45">
        <v>16</v>
      </c>
      <c r="AE33" s="45">
        <v>16</v>
      </c>
      <c r="AF33" s="45">
        <v>16</v>
      </c>
      <c r="AG33" s="49">
        <v>20</v>
      </c>
      <c r="AH33" s="47">
        <f t="shared" si="2"/>
        <v>20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4</v>
      </c>
      <c r="I34" s="45">
        <v>4</v>
      </c>
      <c r="J34" s="45">
        <v>6</v>
      </c>
      <c r="K34" s="45">
        <v>6</v>
      </c>
      <c r="L34" s="45">
        <v>6</v>
      </c>
      <c r="M34" s="45">
        <v>8</v>
      </c>
      <c r="N34" s="45">
        <v>15</v>
      </c>
      <c r="O34" s="45">
        <v>15</v>
      </c>
      <c r="P34" s="45">
        <v>15</v>
      </c>
      <c r="Q34" s="45">
        <v>15</v>
      </c>
      <c r="R34" s="45">
        <v>15</v>
      </c>
      <c r="S34" s="45">
        <v>10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9">
        <v>18</v>
      </c>
      <c r="AH34" s="47">
        <f t="shared" si="2"/>
        <v>15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9">
        <v>14.9</v>
      </c>
      <c r="AH35" s="47">
        <f t="shared" si="2"/>
        <v>15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3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5</v>
      </c>
      <c r="I39" s="45">
        <v>5</v>
      </c>
      <c r="J39" s="45">
        <v>8</v>
      </c>
      <c r="K39" s="45">
        <v>8</v>
      </c>
      <c r="L39" s="45">
        <v>8</v>
      </c>
      <c r="M39" s="45">
        <v>12</v>
      </c>
      <c r="N39" s="45">
        <v>12</v>
      </c>
      <c r="O39" s="45">
        <v>12</v>
      </c>
      <c r="P39" s="45">
        <v>12</v>
      </c>
      <c r="Q39" s="45">
        <v>12</v>
      </c>
      <c r="R39" s="45">
        <v>12</v>
      </c>
      <c r="S39" s="45">
        <v>12</v>
      </c>
      <c r="T39" s="45">
        <v>12</v>
      </c>
      <c r="U39" s="45">
        <v>12</v>
      </c>
      <c r="V39" s="45">
        <v>12</v>
      </c>
      <c r="W39" s="45">
        <v>12</v>
      </c>
      <c r="X39" s="45">
        <v>12</v>
      </c>
      <c r="Y39" s="45">
        <v>12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12</v>
      </c>
      <c r="AG39" s="49">
        <v>12</v>
      </c>
      <c r="AH39" s="47">
        <f t="shared" si="2"/>
        <v>12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6</v>
      </c>
      <c r="C41" s="45">
        <v>6</v>
      </c>
      <c r="D41" s="45">
        <v>6</v>
      </c>
      <c r="E41" s="45">
        <v>6</v>
      </c>
      <c r="F41" s="45">
        <v>6</v>
      </c>
      <c r="G41" s="45">
        <v>6</v>
      </c>
      <c r="H41" s="45">
        <v>6</v>
      </c>
      <c r="I41" s="45">
        <v>6</v>
      </c>
      <c r="J41" s="45">
        <v>6</v>
      </c>
      <c r="K41" s="45">
        <v>6</v>
      </c>
      <c r="L41" s="45">
        <v>6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6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6</v>
      </c>
      <c r="C42" s="45">
        <v>6</v>
      </c>
      <c r="D42" s="45">
        <v>6</v>
      </c>
      <c r="E42" s="45">
        <v>6</v>
      </c>
      <c r="F42" s="45">
        <v>6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6</v>
      </c>
      <c r="N42" s="45">
        <v>6</v>
      </c>
      <c r="O42" s="45">
        <v>6</v>
      </c>
      <c r="P42" s="45">
        <v>6</v>
      </c>
      <c r="Q42" s="45">
        <v>6</v>
      </c>
      <c r="R42" s="45">
        <v>6</v>
      </c>
      <c r="S42" s="45">
        <v>6</v>
      </c>
      <c r="T42" s="45">
        <v>6</v>
      </c>
      <c r="U42" s="45">
        <v>6</v>
      </c>
      <c r="V42" s="45">
        <v>6</v>
      </c>
      <c r="W42" s="45">
        <v>6</v>
      </c>
      <c r="X42" s="45">
        <v>6</v>
      </c>
      <c r="Y42" s="45">
        <v>6</v>
      </c>
      <c r="Z42" s="45">
        <v>6</v>
      </c>
      <c r="AA42" s="45">
        <v>6</v>
      </c>
      <c r="AB42" s="45">
        <v>6</v>
      </c>
      <c r="AC42" s="45">
        <v>6</v>
      </c>
      <c r="AD42" s="45">
        <v>6</v>
      </c>
      <c r="AE42" s="45">
        <v>6</v>
      </c>
      <c r="AF42" s="45">
        <v>6</v>
      </c>
      <c r="AG42" s="52">
        <v>22</v>
      </c>
      <c r="AH42" s="47">
        <f t="shared" si="2"/>
        <v>6</v>
      </c>
      <c r="AI42" s="48">
        <f t="shared" si="3"/>
        <v>6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10.210000000000001</v>
      </c>
      <c r="C44" s="45">
        <v>10.210000000000001</v>
      </c>
      <c r="D44" s="45">
        <v>10.210000000000001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10.210000000000001</v>
      </c>
      <c r="AI44" s="48">
        <f t="shared" si="3"/>
        <v>10.199999999999999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9.8000000000000007</v>
      </c>
      <c r="C45" s="45">
        <v>9.8000000000000007</v>
      </c>
      <c r="D45" s="45">
        <v>9.8000000000000007</v>
      </c>
      <c r="E45" s="45">
        <v>9.8000000000000007</v>
      </c>
      <c r="F45" s="45">
        <v>9.8000000000000007</v>
      </c>
      <c r="G45" s="45">
        <v>9.8000000000000007</v>
      </c>
      <c r="H45" s="45">
        <v>9.8000000000000007</v>
      </c>
      <c r="I45" s="45">
        <v>9.8000000000000007</v>
      </c>
      <c r="J45" s="45">
        <v>9.8000000000000007</v>
      </c>
      <c r="K45" s="45">
        <v>9.8000000000000007</v>
      </c>
      <c r="L45" s="45">
        <v>9.8000000000000007</v>
      </c>
      <c r="M45" s="45">
        <v>9.8000000000000007</v>
      </c>
      <c r="N45" s="45">
        <v>9.8000000000000007</v>
      </c>
      <c r="O45" s="45">
        <v>9.8000000000000007</v>
      </c>
      <c r="P45" s="45">
        <v>9.8000000000000007</v>
      </c>
      <c r="Q45" s="45">
        <v>9.8000000000000007</v>
      </c>
      <c r="R45" s="45">
        <v>9.8000000000000007</v>
      </c>
      <c r="S45" s="45">
        <v>9.8000000000000007</v>
      </c>
      <c r="T45" s="45">
        <v>9.8000000000000007</v>
      </c>
      <c r="U45" s="45">
        <v>9.8000000000000007</v>
      </c>
      <c r="V45" s="45">
        <v>9.8000000000000007</v>
      </c>
      <c r="W45" s="45">
        <v>9.8000000000000007</v>
      </c>
      <c r="X45" s="45">
        <v>9.8000000000000007</v>
      </c>
      <c r="Y45" s="45">
        <v>9.8000000000000007</v>
      </c>
      <c r="Z45" s="45">
        <v>9.8000000000000007</v>
      </c>
      <c r="AA45" s="45">
        <v>9.8000000000000007</v>
      </c>
      <c r="AB45" s="45">
        <v>9.8000000000000007</v>
      </c>
      <c r="AC45" s="45">
        <v>9.8000000000000007</v>
      </c>
      <c r="AD45" s="45">
        <v>9.8000000000000007</v>
      </c>
      <c r="AE45" s="45">
        <v>9.8000000000000007</v>
      </c>
      <c r="AF45" s="45">
        <v>9.8000000000000007</v>
      </c>
      <c r="AG45" s="54">
        <v>10</v>
      </c>
      <c r="AH45" s="47">
        <f t="shared" si="2"/>
        <v>9.8000000000000007</v>
      </c>
      <c r="AI45" s="48">
        <f t="shared" si="3"/>
        <v>9.8000000000000007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AF50" si="4">SUM(B11:B48)</f>
        <v>916.41</v>
      </c>
      <c r="C50" s="59">
        <f t="shared" si="4"/>
        <v>861.41</v>
      </c>
      <c r="D50" s="59">
        <f t="shared" si="4"/>
        <v>891.41</v>
      </c>
      <c r="E50" s="59">
        <f t="shared" si="4"/>
        <v>893.26</v>
      </c>
      <c r="F50" s="59">
        <f t="shared" ref="F50" si="5">SUM(F11:F48)</f>
        <v>893.26</v>
      </c>
      <c r="G50" s="59">
        <f t="shared" si="4"/>
        <v>893.26</v>
      </c>
      <c r="H50" s="59">
        <f t="shared" si="4"/>
        <v>926.16000000000008</v>
      </c>
      <c r="I50" s="59">
        <f t="shared" si="4"/>
        <v>928.96</v>
      </c>
      <c r="J50" s="59">
        <f t="shared" si="4"/>
        <v>944.66</v>
      </c>
      <c r="K50" s="59">
        <f t="shared" si="4"/>
        <v>1005.66</v>
      </c>
      <c r="L50" s="59">
        <f t="shared" si="4"/>
        <v>1005.66</v>
      </c>
      <c r="M50" s="59">
        <f t="shared" si="4"/>
        <v>1008.76</v>
      </c>
      <c r="N50" s="59">
        <f t="shared" si="4"/>
        <v>1021.5600000000001</v>
      </c>
      <c r="O50" s="59">
        <f t="shared" si="4"/>
        <v>1035.56</v>
      </c>
      <c r="P50" s="59">
        <f t="shared" si="4"/>
        <v>1035.3000000000002</v>
      </c>
      <c r="Q50" s="59">
        <f t="shared" si="4"/>
        <v>1009</v>
      </c>
      <c r="R50" s="59">
        <f t="shared" si="4"/>
        <v>1006.5</v>
      </c>
      <c r="S50" s="59">
        <f t="shared" si="4"/>
        <v>1001.5</v>
      </c>
      <c r="T50" s="59">
        <f t="shared" si="4"/>
        <v>991.5</v>
      </c>
      <c r="U50" s="59">
        <f t="shared" si="4"/>
        <v>830</v>
      </c>
      <c r="V50" s="59">
        <f t="shared" si="4"/>
        <v>947.5</v>
      </c>
      <c r="W50" s="59">
        <f t="shared" si="4"/>
        <v>830</v>
      </c>
      <c r="X50" s="59">
        <f t="shared" si="4"/>
        <v>947.5</v>
      </c>
      <c r="Y50" s="59">
        <f t="shared" si="4"/>
        <v>974</v>
      </c>
      <c r="Z50" s="59">
        <f t="shared" si="4"/>
        <v>974</v>
      </c>
      <c r="AA50" s="59">
        <f t="shared" si="4"/>
        <v>927</v>
      </c>
      <c r="AB50" s="59">
        <f t="shared" si="4"/>
        <v>930</v>
      </c>
      <c r="AC50" s="59">
        <f t="shared" si="4"/>
        <v>922.5</v>
      </c>
      <c r="AD50" s="59">
        <f t="shared" si="4"/>
        <v>922.5</v>
      </c>
      <c r="AE50" s="59">
        <f t="shared" si="4"/>
        <v>914</v>
      </c>
      <c r="AF50" s="59">
        <f t="shared" si="4"/>
        <v>882.5</v>
      </c>
      <c r="AG50" s="60">
        <f>SUM(AG13:AG48)</f>
        <v>922.14</v>
      </c>
      <c r="AH50" s="47">
        <f t="shared" si="2"/>
        <v>1035.56</v>
      </c>
      <c r="AI50" s="48">
        <f t="shared" si="3"/>
        <v>830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22.4</v>
      </c>
      <c r="AG53" s="67">
        <v>22.1</v>
      </c>
      <c r="AH53" s="47">
        <f t="shared" si="2"/>
        <v>22.5</v>
      </c>
      <c r="AI53" s="48">
        <f t="shared" si="3"/>
        <v>22.4</v>
      </c>
      <c r="AK53" s="74"/>
    </row>
    <row r="54" spans="1:41" ht="15.75" thickBot="1" x14ac:dyDescent="0.3">
      <c r="A54" s="68" t="s">
        <v>70</v>
      </c>
      <c r="B54" s="59">
        <f t="shared" ref="B54:AG54" si="6">SUM(B51:B53)</f>
        <v>533.5</v>
      </c>
      <c r="C54" s="59">
        <f t="shared" si="6"/>
        <v>533.5</v>
      </c>
      <c r="D54" s="59">
        <f t="shared" si="6"/>
        <v>533.5</v>
      </c>
      <c r="E54" s="59">
        <f t="shared" si="6"/>
        <v>533.5</v>
      </c>
      <c r="F54" s="59">
        <f t="shared" ref="F54" si="7">SUM(F51:F53)</f>
        <v>533.5</v>
      </c>
      <c r="G54" s="59">
        <f t="shared" si="6"/>
        <v>533.5</v>
      </c>
      <c r="H54" s="59">
        <f t="shared" si="6"/>
        <v>533.5</v>
      </c>
      <c r="I54" s="59">
        <f t="shared" si="6"/>
        <v>533.5</v>
      </c>
      <c r="J54" s="59">
        <f t="shared" si="6"/>
        <v>533.5</v>
      </c>
      <c r="K54" s="59">
        <f t="shared" si="6"/>
        <v>533.5</v>
      </c>
      <c r="L54" s="59">
        <f t="shared" si="6"/>
        <v>533.5</v>
      </c>
      <c r="M54" s="59">
        <f t="shared" si="6"/>
        <v>533.5</v>
      </c>
      <c r="N54" s="59">
        <f t="shared" si="6"/>
        <v>533.5</v>
      </c>
      <c r="O54" s="59">
        <f t="shared" si="6"/>
        <v>533.5</v>
      </c>
      <c r="P54" s="59">
        <f t="shared" si="6"/>
        <v>533.5</v>
      </c>
      <c r="Q54" s="59">
        <f t="shared" si="6"/>
        <v>533.5</v>
      </c>
      <c r="R54" s="59">
        <f t="shared" si="6"/>
        <v>533.5</v>
      </c>
      <c r="S54" s="59">
        <f t="shared" si="6"/>
        <v>533.5</v>
      </c>
      <c r="T54" s="59">
        <f t="shared" si="6"/>
        <v>533.5</v>
      </c>
      <c r="U54" s="59">
        <f t="shared" si="6"/>
        <v>533.5</v>
      </c>
      <c r="V54" s="59">
        <f t="shared" si="6"/>
        <v>533.5</v>
      </c>
      <c r="W54" s="59">
        <f t="shared" si="6"/>
        <v>533.5</v>
      </c>
      <c r="X54" s="59">
        <f t="shared" si="6"/>
        <v>533.5</v>
      </c>
      <c r="Y54" s="59">
        <f t="shared" si="6"/>
        <v>533.5</v>
      </c>
      <c r="Z54" s="59">
        <f t="shared" si="6"/>
        <v>533.5</v>
      </c>
      <c r="AA54" s="59">
        <f t="shared" si="6"/>
        <v>533.4</v>
      </c>
      <c r="AB54" s="59">
        <f t="shared" si="6"/>
        <v>533.4</v>
      </c>
      <c r="AC54" s="59">
        <f t="shared" si="6"/>
        <v>533.4</v>
      </c>
      <c r="AD54" s="59">
        <f t="shared" si="6"/>
        <v>533.4</v>
      </c>
      <c r="AE54" s="59">
        <f t="shared" si="6"/>
        <v>533.4</v>
      </c>
      <c r="AF54" s="59">
        <f t="shared" si="6"/>
        <v>533.4</v>
      </c>
      <c r="AG54" s="60">
        <f t="shared" si="6"/>
        <v>538.1</v>
      </c>
      <c r="AH54" s="47">
        <f t="shared" si="2"/>
        <v>533.5</v>
      </c>
      <c r="AI54" s="48">
        <f t="shared" si="3"/>
        <v>533.4</v>
      </c>
      <c r="AK54" s="74"/>
    </row>
    <row r="55" spans="1:41" x14ac:dyDescent="0.25">
      <c r="A55" s="44" t="s">
        <v>71</v>
      </c>
      <c r="B55" s="45">
        <v>96.5</v>
      </c>
      <c r="C55" s="45">
        <v>96.5</v>
      </c>
      <c r="D55" s="45">
        <v>96.5</v>
      </c>
      <c r="E55" s="45">
        <v>96.3</v>
      </c>
      <c r="F55" s="45">
        <v>96.3</v>
      </c>
      <c r="G55" s="45">
        <v>96.3</v>
      </c>
      <c r="H55" s="45">
        <v>96.3</v>
      </c>
      <c r="I55" s="45">
        <v>96.3</v>
      </c>
      <c r="J55" s="45">
        <v>96.3</v>
      </c>
      <c r="K55" s="45">
        <v>96.3</v>
      </c>
      <c r="L55" s="45">
        <v>96.3</v>
      </c>
      <c r="M55" s="45">
        <v>96.3</v>
      </c>
      <c r="N55" s="45">
        <v>96.3</v>
      </c>
      <c r="O55" s="45">
        <v>96.3</v>
      </c>
      <c r="P55" s="45">
        <v>96.3</v>
      </c>
      <c r="Q55" s="45">
        <v>96.1</v>
      </c>
      <c r="R55" s="45">
        <v>96.1</v>
      </c>
      <c r="S55" s="45">
        <v>96.1</v>
      </c>
      <c r="T55" s="45">
        <v>96.1</v>
      </c>
      <c r="U55" s="45">
        <v>0</v>
      </c>
      <c r="V55" s="45">
        <v>96.1</v>
      </c>
      <c r="W55" s="45">
        <v>0</v>
      </c>
      <c r="X55" s="45">
        <v>96.1</v>
      </c>
      <c r="Y55" s="45">
        <v>91</v>
      </c>
      <c r="Z55" s="45">
        <v>91</v>
      </c>
      <c r="AA55" s="45">
        <v>96.5</v>
      </c>
      <c r="AB55" s="45">
        <v>96.5</v>
      </c>
      <c r="AC55" s="45">
        <v>96.5</v>
      </c>
      <c r="AD55" s="45">
        <v>96.5</v>
      </c>
      <c r="AE55" s="45">
        <v>96.5</v>
      </c>
      <c r="AF55" s="45">
        <v>96.5</v>
      </c>
      <c r="AG55" s="51">
        <v>144</v>
      </c>
      <c r="AH55" s="47">
        <f t="shared" si="2"/>
        <v>96.5</v>
      </c>
      <c r="AI55" s="48">
        <f t="shared" si="3"/>
        <v>0</v>
      </c>
      <c r="AK55" s="74"/>
    </row>
    <row r="56" spans="1:41" x14ac:dyDescent="0.25">
      <c r="A56" s="53" t="s">
        <v>72</v>
      </c>
      <c r="B56" s="64">
        <v>69.599999999999994</v>
      </c>
      <c r="C56" s="64">
        <v>69.599999999999994</v>
      </c>
      <c r="D56" s="64">
        <v>69.599999999999994</v>
      </c>
      <c r="E56" s="64">
        <v>70.400000000000006</v>
      </c>
      <c r="F56" s="64">
        <v>70.400000000000006</v>
      </c>
      <c r="G56" s="64">
        <v>70.400000000000006</v>
      </c>
      <c r="H56" s="64">
        <v>70.400000000000006</v>
      </c>
      <c r="I56" s="64">
        <v>70.400000000000006</v>
      </c>
      <c r="J56" s="64">
        <v>70.400000000000006</v>
      </c>
      <c r="K56" s="64">
        <v>70.400000000000006</v>
      </c>
      <c r="L56" s="64">
        <v>70.400000000000006</v>
      </c>
      <c r="M56" s="64">
        <v>70.400000000000006</v>
      </c>
      <c r="N56" s="64">
        <v>70.400000000000006</v>
      </c>
      <c r="O56" s="64">
        <v>70.400000000000006</v>
      </c>
      <c r="P56" s="64">
        <v>70.400000000000006</v>
      </c>
      <c r="Q56" s="64">
        <v>71.099999999999994</v>
      </c>
      <c r="R56" s="64">
        <v>71.099999999999994</v>
      </c>
      <c r="S56" s="64">
        <v>71.099999999999994</v>
      </c>
      <c r="T56" s="64">
        <v>71.099999999999994</v>
      </c>
      <c r="U56" s="64">
        <v>71.099999999999994</v>
      </c>
      <c r="V56" s="64">
        <v>71.099999999999994</v>
      </c>
      <c r="W56" s="64">
        <v>71.099999999999994</v>
      </c>
      <c r="X56" s="64">
        <v>71.099999999999994</v>
      </c>
      <c r="Y56" s="64">
        <v>71.099999999999994</v>
      </c>
      <c r="Z56" s="64">
        <v>71.099999999999994</v>
      </c>
      <c r="AA56" s="45">
        <v>73.3</v>
      </c>
      <c r="AB56" s="45">
        <v>70.099999999999994</v>
      </c>
      <c r="AC56" s="45">
        <v>70.099999999999994</v>
      </c>
      <c r="AD56" s="45">
        <v>70.099999999999994</v>
      </c>
      <c r="AE56" s="45">
        <v>70.099999999999994</v>
      </c>
      <c r="AF56" s="45">
        <v>70.099999999999994</v>
      </c>
      <c r="AG56" s="54">
        <v>70</v>
      </c>
      <c r="AH56" s="47">
        <f t="shared" si="2"/>
        <v>73.3</v>
      </c>
      <c r="AI56" s="48">
        <f t="shared" si="3"/>
        <v>69.599999999999994</v>
      </c>
      <c r="AK56" s="74"/>
    </row>
    <row r="57" spans="1:41" x14ac:dyDescent="0.25">
      <c r="A57" s="53" t="s">
        <v>73</v>
      </c>
      <c r="B57" s="64">
        <v>60</v>
      </c>
      <c r="C57" s="64">
        <v>60</v>
      </c>
      <c r="D57" s="64">
        <v>65</v>
      </c>
      <c r="E57" s="64">
        <v>66.900000000000006</v>
      </c>
      <c r="F57" s="64">
        <v>66.900000000000006</v>
      </c>
      <c r="G57" s="64">
        <v>66.900000000000006</v>
      </c>
      <c r="H57" s="64">
        <v>66.900000000000006</v>
      </c>
      <c r="I57" s="64">
        <v>66.900000000000006</v>
      </c>
      <c r="J57" s="64">
        <v>66.900000000000006</v>
      </c>
      <c r="K57" s="64">
        <v>66.900000000000006</v>
      </c>
      <c r="L57" s="64">
        <v>66.900000000000006</v>
      </c>
      <c r="M57" s="64">
        <v>66.900000000000006</v>
      </c>
      <c r="N57" s="64">
        <v>66.900000000000006</v>
      </c>
      <c r="O57" s="64">
        <v>66.900000000000006</v>
      </c>
      <c r="P57" s="64">
        <v>67</v>
      </c>
      <c r="Q57" s="64">
        <v>67.3</v>
      </c>
      <c r="R57" s="64">
        <v>67.3</v>
      </c>
      <c r="S57" s="64">
        <v>67.3</v>
      </c>
      <c r="T57" s="64">
        <v>67.3</v>
      </c>
      <c r="U57" s="64">
        <v>67.3</v>
      </c>
      <c r="V57" s="64">
        <v>67.3</v>
      </c>
      <c r="W57" s="64">
        <v>67.3</v>
      </c>
      <c r="X57" s="64">
        <v>67.3</v>
      </c>
      <c r="Y57" s="64">
        <v>67.3</v>
      </c>
      <c r="Z57" s="64">
        <v>67.3</v>
      </c>
      <c r="AA57" s="45">
        <v>67.3</v>
      </c>
      <c r="AB57" s="45">
        <v>67.3</v>
      </c>
      <c r="AC57" s="45">
        <v>67.3</v>
      </c>
      <c r="AD57" s="45">
        <v>67.3</v>
      </c>
      <c r="AE57" s="45">
        <v>67.3</v>
      </c>
      <c r="AF57" s="45">
        <v>67.3</v>
      </c>
      <c r="AG57" s="54">
        <v>69</v>
      </c>
      <c r="AH57" s="47">
        <f t="shared" si="2"/>
        <v>67.3</v>
      </c>
      <c r="AI57" s="48">
        <f t="shared" si="3"/>
        <v>60</v>
      </c>
      <c r="AK57" s="74"/>
    </row>
    <row r="58" spans="1:41" x14ac:dyDescent="0.25">
      <c r="A58" s="53" t="s">
        <v>74</v>
      </c>
      <c r="B58" s="64">
        <v>60</v>
      </c>
      <c r="C58" s="64">
        <v>60</v>
      </c>
      <c r="D58" s="64">
        <v>60</v>
      </c>
      <c r="E58" s="56">
        <v>60.2</v>
      </c>
      <c r="F58" s="56">
        <v>60.2</v>
      </c>
      <c r="G58" s="56">
        <v>60.2</v>
      </c>
      <c r="H58" s="56">
        <v>60.2</v>
      </c>
      <c r="I58" s="56">
        <v>60.2</v>
      </c>
      <c r="J58" s="56">
        <v>60.2</v>
      </c>
      <c r="K58" s="56">
        <v>60.2</v>
      </c>
      <c r="L58" s="56">
        <v>60.2</v>
      </c>
      <c r="M58" s="56">
        <v>60.2</v>
      </c>
      <c r="N58" s="56">
        <v>60.2</v>
      </c>
      <c r="O58" s="56">
        <v>60.2</v>
      </c>
      <c r="P58" s="56">
        <v>60.2</v>
      </c>
      <c r="Q58" s="56">
        <v>60.2</v>
      </c>
      <c r="R58" s="56">
        <v>60.2</v>
      </c>
      <c r="S58" s="56">
        <v>60.2</v>
      </c>
      <c r="T58" s="56">
        <v>60.2</v>
      </c>
      <c r="U58" s="56">
        <v>60.2</v>
      </c>
      <c r="V58" s="56">
        <v>60.2</v>
      </c>
      <c r="W58" s="56">
        <v>60.2</v>
      </c>
      <c r="X58" s="56">
        <v>60.2</v>
      </c>
      <c r="Y58" s="56">
        <v>60.2</v>
      </c>
      <c r="Z58" s="56">
        <v>60.2</v>
      </c>
      <c r="AA58" s="45">
        <v>60.2</v>
      </c>
      <c r="AB58" s="45">
        <v>60.2</v>
      </c>
      <c r="AC58" s="45">
        <v>60.2</v>
      </c>
      <c r="AD58" s="45">
        <v>60.2</v>
      </c>
      <c r="AE58" s="45">
        <v>60.2</v>
      </c>
      <c r="AF58" s="45">
        <v>60.2</v>
      </c>
      <c r="AG58" s="54">
        <v>60</v>
      </c>
      <c r="AH58" s="47">
        <f t="shared" si="2"/>
        <v>60.2</v>
      </c>
      <c r="AI58" s="48">
        <f t="shared" si="3"/>
        <v>60</v>
      </c>
      <c r="AK58" s="74"/>
    </row>
    <row r="59" spans="1:41" x14ac:dyDescent="0.25">
      <c r="A59" s="53" t="s">
        <v>75</v>
      </c>
      <c r="B59" s="64">
        <v>30</v>
      </c>
      <c r="C59" s="64">
        <v>30</v>
      </c>
      <c r="D59" s="64">
        <v>30</v>
      </c>
      <c r="E59" s="56">
        <v>30</v>
      </c>
      <c r="F59" s="56">
        <v>30</v>
      </c>
      <c r="G59" s="56">
        <v>30</v>
      </c>
      <c r="H59" s="56">
        <v>30</v>
      </c>
      <c r="I59" s="56">
        <v>30</v>
      </c>
      <c r="J59" s="56">
        <v>30</v>
      </c>
      <c r="K59" s="56">
        <v>30</v>
      </c>
      <c r="L59" s="56">
        <v>30</v>
      </c>
      <c r="M59" s="56">
        <v>30</v>
      </c>
      <c r="N59" s="56">
        <v>0</v>
      </c>
      <c r="O59" s="56">
        <v>30</v>
      </c>
      <c r="P59" s="56">
        <v>30</v>
      </c>
      <c r="Q59" s="56">
        <v>30</v>
      </c>
      <c r="R59" s="56">
        <v>30</v>
      </c>
      <c r="S59" s="56">
        <v>30</v>
      </c>
      <c r="T59" s="56">
        <v>30</v>
      </c>
      <c r="U59" s="56">
        <v>30</v>
      </c>
      <c r="V59" s="56">
        <v>30</v>
      </c>
      <c r="W59" s="56">
        <v>30</v>
      </c>
      <c r="X59" s="56">
        <v>30</v>
      </c>
      <c r="Y59" s="56">
        <v>30</v>
      </c>
      <c r="Z59" s="56">
        <v>30</v>
      </c>
      <c r="AA59" s="45">
        <v>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2</v>
      </c>
      <c r="N60" s="64">
        <v>5.7</v>
      </c>
      <c r="O60" s="64">
        <v>12</v>
      </c>
      <c r="P60" s="64">
        <v>18.600000000000001</v>
      </c>
      <c r="Q60" s="64">
        <v>15.3</v>
      </c>
      <c r="R60" s="64">
        <v>11.7</v>
      </c>
      <c r="S60" s="64">
        <v>11.7</v>
      </c>
      <c r="T60" s="64">
        <v>3.1</v>
      </c>
      <c r="U60" s="64">
        <v>1.4</v>
      </c>
      <c r="V60" s="64">
        <v>2.2000000000000002</v>
      </c>
      <c r="W60" s="64">
        <v>1.4</v>
      </c>
      <c r="X60" s="64">
        <v>2.2000000000000002</v>
      </c>
      <c r="Y60" s="64">
        <v>0</v>
      </c>
      <c r="Z60" s="64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18.600000000000001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17</v>
      </c>
      <c r="C61" s="64">
        <v>17</v>
      </c>
      <c r="D61" s="64">
        <v>17</v>
      </c>
      <c r="E61" s="64">
        <v>18</v>
      </c>
      <c r="F61" s="64">
        <v>18</v>
      </c>
      <c r="G61" s="64">
        <v>18</v>
      </c>
      <c r="H61" s="64">
        <v>18</v>
      </c>
      <c r="I61" s="64">
        <v>18</v>
      </c>
      <c r="J61" s="64">
        <v>18</v>
      </c>
      <c r="K61" s="64">
        <v>18</v>
      </c>
      <c r="L61" s="64">
        <v>18</v>
      </c>
      <c r="M61" s="64">
        <v>18</v>
      </c>
      <c r="N61" s="64">
        <v>18</v>
      </c>
      <c r="O61" s="64">
        <v>18</v>
      </c>
      <c r="P61" s="64">
        <v>18</v>
      </c>
      <c r="Q61" s="64">
        <v>16</v>
      </c>
      <c r="R61" s="64">
        <v>16</v>
      </c>
      <c r="S61" s="64">
        <v>16</v>
      </c>
      <c r="T61" s="64">
        <v>16</v>
      </c>
      <c r="U61" s="64">
        <v>16</v>
      </c>
      <c r="V61" s="64">
        <v>16</v>
      </c>
      <c r="W61" s="64">
        <v>16</v>
      </c>
      <c r="X61" s="64">
        <v>16</v>
      </c>
      <c r="Y61" s="64">
        <v>16</v>
      </c>
      <c r="Z61" s="64">
        <v>16</v>
      </c>
      <c r="AA61" s="64">
        <v>16</v>
      </c>
      <c r="AB61" s="64">
        <v>16</v>
      </c>
      <c r="AC61" s="64">
        <v>16</v>
      </c>
      <c r="AD61" s="64">
        <v>16</v>
      </c>
      <c r="AE61" s="64">
        <v>16</v>
      </c>
      <c r="AF61" s="64">
        <v>16</v>
      </c>
      <c r="AG61" s="54">
        <v>24</v>
      </c>
      <c r="AH61" s="47">
        <f t="shared" si="2"/>
        <v>18</v>
      </c>
      <c r="AI61" s="48">
        <f t="shared" si="3"/>
        <v>16</v>
      </c>
      <c r="AK61" s="74"/>
    </row>
    <row r="62" spans="1:41" x14ac:dyDescent="0.25">
      <c r="A62" s="53" t="s">
        <v>78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3</v>
      </c>
      <c r="N62" s="64">
        <v>3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54">
        <v>15</v>
      </c>
      <c r="AH62" s="47">
        <f t="shared" si="2"/>
        <v>4</v>
      </c>
      <c r="AI62" s="48">
        <f t="shared" si="3"/>
        <v>0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12.8</v>
      </c>
      <c r="C63" s="64">
        <v>12.8</v>
      </c>
      <c r="D63" s="64">
        <v>12.8</v>
      </c>
      <c r="E63" s="64">
        <v>12.7</v>
      </c>
      <c r="F63" s="64">
        <v>12.7</v>
      </c>
      <c r="G63" s="64">
        <v>12.7</v>
      </c>
      <c r="H63" s="64">
        <v>12.7</v>
      </c>
      <c r="I63" s="64">
        <v>12.7</v>
      </c>
      <c r="J63" s="64">
        <v>12.7</v>
      </c>
      <c r="K63" s="64">
        <v>12.7</v>
      </c>
      <c r="L63" s="64">
        <v>12.7</v>
      </c>
      <c r="M63" s="64">
        <v>12.7</v>
      </c>
      <c r="N63" s="64">
        <v>12.7</v>
      </c>
      <c r="O63" s="64">
        <v>12.7</v>
      </c>
      <c r="P63" s="64">
        <v>12.7</v>
      </c>
      <c r="Q63" s="64">
        <v>11.4</v>
      </c>
      <c r="R63" s="64">
        <v>11.4</v>
      </c>
      <c r="S63" s="64">
        <v>11.4</v>
      </c>
      <c r="T63" s="64">
        <v>11.4</v>
      </c>
      <c r="U63" s="64">
        <v>9.4</v>
      </c>
      <c r="V63" s="64">
        <v>11.4</v>
      </c>
      <c r="W63" s="64">
        <v>9.4</v>
      </c>
      <c r="X63" s="64">
        <v>11.4</v>
      </c>
      <c r="Y63" s="64">
        <v>11.4</v>
      </c>
      <c r="Z63" s="64">
        <v>11.4</v>
      </c>
      <c r="AA63" s="64">
        <v>11.4</v>
      </c>
      <c r="AB63" s="64">
        <v>11.4</v>
      </c>
      <c r="AC63" s="64">
        <v>11.4</v>
      </c>
      <c r="AD63" s="64">
        <v>11.4</v>
      </c>
      <c r="AE63" s="64">
        <v>11.4</v>
      </c>
      <c r="AF63" s="64">
        <v>11.4</v>
      </c>
      <c r="AG63" s="54">
        <v>14.1</v>
      </c>
      <c r="AH63" s="47">
        <f t="shared" si="2"/>
        <v>12.8</v>
      </c>
      <c r="AI63" s="48">
        <f t="shared" si="3"/>
        <v>9.4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9.9</v>
      </c>
      <c r="C64" s="64">
        <v>9.9</v>
      </c>
      <c r="D64" s="64">
        <v>9.9</v>
      </c>
      <c r="E64" s="64">
        <v>9.9</v>
      </c>
      <c r="F64" s="64">
        <v>9.9</v>
      </c>
      <c r="G64" s="64">
        <v>9.9</v>
      </c>
      <c r="H64" s="64">
        <v>9.9</v>
      </c>
      <c r="I64" s="64">
        <v>9.9</v>
      </c>
      <c r="J64" s="64">
        <v>9.9</v>
      </c>
      <c r="K64" s="64">
        <v>9.9</v>
      </c>
      <c r="L64" s="64">
        <v>9.9</v>
      </c>
      <c r="M64" s="64">
        <v>7</v>
      </c>
      <c r="N64" s="64">
        <v>7</v>
      </c>
      <c r="O64" s="64">
        <v>7</v>
      </c>
      <c r="P64" s="64">
        <v>7</v>
      </c>
      <c r="Q64" s="64">
        <v>7</v>
      </c>
      <c r="R64" s="64">
        <v>7</v>
      </c>
      <c r="S64" s="64">
        <v>7</v>
      </c>
      <c r="T64" s="64">
        <v>7</v>
      </c>
      <c r="U64" s="64">
        <v>7</v>
      </c>
      <c r="V64" s="64">
        <v>7</v>
      </c>
      <c r="W64" s="64">
        <v>7</v>
      </c>
      <c r="X64" s="64">
        <v>7</v>
      </c>
      <c r="Y64" s="64">
        <v>7</v>
      </c>
      <c r="Z64" s="64">
        <v>7</v>
      </c>
      <c r="AA64" s="64">
        <v>7</v>
      </c>
      <c r="AB64" s="64">
        <v>7</v>
      </c>
      <c r="AC64" s="64">
        <v>7</v>
      </c>
      <c r="AD64" s="64">
        <v>7</v>
      </c>
      <c r="AE64" s="64">
        <v>7</v>
      </c>
      <c r="AF64" s="64">
        <v>7</v>
      </c>
      <c r="AG64" s="54">
        <v>14</v>
      </c>
      <c r="AH64" s="47">
        <f t="shared" si="2"/>
        <v>9.9</v>
      </c>
      <c r="AI64" s="48">
        <f t="shared" si="3"/>
        <v>7</v>
      </c>
      <c r="AK64" s="74"/>
    </row>
    <row r="65" spans="1:40" x14ac:dyDescent="0.25">
      <c r="A65" s="53" t="s">
        <v>81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74"/>
    </row>
    <row r="66" spans="1:40" x14ac:dyDescent="0.25">
      <c r="A66" s="53" t="s">
        <v>82</v>
      </c>
      <c r="B66" s="64">
        <v>4</v>
      </c>
      <c r="C66" s="64">
        <v>4</v>
      </c>
      <c r="D66" s="64">
        <v>4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4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AG68" si="8">SUM(B55:B67)</f>
        <v>376.84000000000003</v>
      </c>
      <c r="C68" s="59">
        <f t="shared" si="8"/>
        <v>376.84000000000003</v>
      </c>
      <c r="D68" s="59">
        <f t="shared" si="8"/>
        <v>381.84000000000003</v>
      </c>
      <c r="E68" s="59">
        <f t="shared" si="8"/>
        <v>387.64</v>
      </c>
      <c r="F68" s="59">
        <f t="shared" si="8"/>
        <v>387.64</v>
      </c>
      <c r="G68" s="59">
        <f t="shared" si="8"/>
        <v>387.64</v>
      </c>
      <c r="H68" s="59">
        <f t="shared" si="8"/>
        <v>387.64</v>
      </c>
      <c r="I68" s="59">
        <f t="shared" si="8"/>
        <v>387.64</v>
      </c>
      <c r="J68" s="59">
        <f t="shared" si="8"/>
        <v>387.64</v>
      </c>
      <c r="K68" s="59">
        <f t="shared" si="8"/>
        <v>387.64</v>
      </c>
      <c r="L68" s="59">
        <f t="shared" si="8"/>
        <v>387.64</v>
      </c>
      <c r="M68" s="59">
        <f t="shared" si="8"/>
        <v>385.74</v>
      </c>
      <c r="N68" s="59">
        <f t="shared" si="8"/>
        <v>359.44</v>
      </c>
      <c r="O68" s="59">
        <f t="shared" si="8"/>
        <v>392.74</v>
      </c>
      <c r="P68" s="59">
        <f t="shared" si="8"/>
        <v>399.44</v>
      </c>
      <c r="Q68" s="59">
        <f t="shared" si="8"/>
        <v>393.64</v>
      </c>
      <c r="R68" s="59">
        <f t="shared" si="8"/>
        <v>390.03999999999996</v>
      </c>
      <c r="S68" s="59">
        <f t="shared" si="8"/>
        <v>390.03999999999996</v>
      </c>
      <c r="T68" s="59">
        <f t="shared" si="8"/>
        <v>381.44</v>
      </c>
      <c r="U68" s="59">
        <f t="shared" si="8"/>
        <v>281.64</v>
      </c>
      <c r="V68" s="59">
        <f t="shared" si="8"/>
        <v>380.53999999999996</v>
      </c>
      <c r="W68" s="59">
        <f t="shared" si="8"/>
        <v>281.64</v>
      </c>
      <c r="X68" s="59">
        <f t="shared" si="8"/>
        <v>380.53999999999996</v>
      </c>
      <c r="Y68" s="59">
        <f t="shared" si="8"/>
        <v>373.23999999999995</v>
      </c>
      <c r="Z68" s="59">
        <f t="shared" si="8"/>
        <v>373.23999999999995</v>
      </c>
      <c r="AA68" s="59">
        <f t="shared" si="8"/>
        <v>350.94</v>
      </c>
      <c r="AB68" s="59">
        <f t="shared" si="8"/>
        <v>377.73999999999995</v>
      </c>
      <c r="AC68" s="59">
        <f t="shared" si="8"/>
        <v>377.73999999999995</v>
      </c>
      <c r="AD68" s="59">
        <f t="shared" si="8"/>
        <v>377.73999999999995</v>
      </c>
      <c r="AE68" s="59">
        <f t="shared" si="8"/>
        <v>377.73999999999995</v>
      </c>
      <c r="AF68" s="59">
        <f t="shared" si="8"/>
        <v>377.73999999999995</v>
      </c>
      <c r="AG68" s="60">
        <f t="shared" si="8"/>
        <v>489.91</v>
      </c>
      <c r="AH68" s="47">
        <f t="shared" si="2"/>
        <v>399.44</v>
      </c>
      <c r="AI68" s="48">
        <f t="shared" si="3"/>
        <v>281.64</v>
      </c>
      <c r="AK68" s="74"/>
    </row>
    <row r="69" spans="1:40" x14ac:dyDescent="0.25">
      <c r="A69" s="44" t="s">
        <v>85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13.6</v>
      </c>
      <c r="S69" s="45">
        <v>0</v>
      </c>
      <c r="T69" s="45">
        <v>0</v>
      </c>
      <c r="U69" s="45">
        <v>60</v>
      </c>
      <c r="V69" s="45">
        <v>30</v>
      </c>
      <c r="W69" s="45">
        <v>40</v>
      </c>
      <c r="X69" s="45">
        <v>41</v>
      </c>
      <c r="Y69" s="45">
        <v>12</v>
      </c>
      <c r="Z69" s="45">
        <v>60</v>
      </c>
      <c r="AA69" s="45">
        <v>55</v>
      </c>
      <c r="AB69" s="45">
        <v>50</v>
      </c>
      <c r="AC69" s="45">
        <v>40</v>
      </c>
      <c r="AD69" s="45">
        <v>14</v>
      </c>
      <c r="AE69" s="45">
        <v>0</v>
      </c>
      <c r="AF69" s="45">
        <v>0</v>
      </c>
      <c r="AG69" s="51">
        <v>60</v>
      </c>
      <c r="AH69" s="47">
        <f t="shared" si="2"/>
        <v>60</v>
      </c>
      <c r="AI69" s="48">
        <f t="shared" si="3"/>
        <v>0</v>
      </c>
      <c r="AK69" s="74"/>
    </row>
    <row r="70" spans="1:40" x14ac:dyDescent="0.25">
      <c r="A70" s="53" t="s">
        <v>86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5.9</v>
      </c>
      <c r="S70" s="64">
        <v>0</v>
      </c>
      <c r="T70" s="64">
        <v>0</v>
      </c>
      <c r="U70" s="64">
        <v>28.6</v>
      </c>
      <c r="V70" s="64">
        <v>13.8</v>
      </c>
      <c r="W70" s="64">
        <v>18</v>
      </c>
      <c r="X70" s="64">
        <v>29</v>
      </c>
      <c r="Y70" s="64">
        <v>7.9</v>
      </c>
      <c r="Z70" s="64">
        <v>23.8</v>
      </c>
      <c r="AA70" s="64">
        <v>29.2</v>
      </c>
      <c r="AB70" s="64">
        <v>23.4</v>
      </c>
      <c r="AC70" s="64">
        <v>23</v>
      </c>
      <c r="AD70" s="64">
        <v>10</v>
      </c>
      <c r="AE70" s="64">
        <v>0</v>
      </c>
      <c r="AF70" s="64">
        <v>0</v>
      </c>
      <c r="AG70" s="54">
        <v>32</v>
      </c>
      <c r="AH70" s="47">
        <f t="shared" si="2"/>
        <v>29.2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2.2000000000000002</v>
      </c>
      <c r="S71" s="66">
        <v>0</v>
      </c>
      <c r="T71" s="66">
        <v>0</v>
      </c>
      <c r="U71" s="66">
        <v>10.4</v>
      </c>
      <c r="V71" s="66">
        <v>5</v>
      </c>
      <c r="W71" s="66">
        <v>6.8</v>
      </c>
      <c r="X71" s="66">
        <v>10.7</v>
      </c>
      <c r="Y71" s="66">
        <v>2.9</v>
      </c>
      <c r="Z71" s="66">
        <v>8.6999999999999993</v>
      </c>
      <c r="AA71" s="66">
        <v>10.7</v>
      </c>
      <c r="AB71" s="66">
        <v>8.5</v>
      </c>
      <c r="AC71" s="66">
        <v>8</v>
      </c>
      <c r="AD71" s="66">
        <v>3.7</v>
      </c>
      <c r="AE71" s="66">
        <v>0</v>
      </c>
      <c r="AF71" s="66">
        <v>0</v>
      </c>
      <c r="AG71" s="67">
        <v>14</v>
      </c>
      <c r="AH71" s="47">
        <f t="shared" si="2"/>
        <v>10.7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>B69+B70+B71</f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F72" si="9">M69+M70+M71</f>
        <v>0</v>
      </c>
      <c r="N72" s="59">
        <f t="shared" si="9"/>
        <v>0</v>
      </c>
      <c r="O72" s="59">
        <f t="shared" si="9"/>
        <v>0</v>
      </c>
      <c r="P72" s="59">
        <f t="shared" si="9"/>
        <v>0</v>
      </c>
      <c r="Q72" s="59">
        <f t="shared" si="9"/>
        <v>0</v>
      </c>
      <c r="R72" s="59">
        <f t="shared" si="9"/>
        <v>21.7</v>
      </c>
      <c r="S72" s="59">
        <f t="shared" si="9"/>
        <v>0</v>
      </c>
      <c r="T72" s="59">
        <f t="shared" si="9"/>
        <v>0</v>
      </c>
      <c r="U72" s="59">
        <f t="shared" si="9"/>
        <v>99</v>
      </c>
      <c r="V72" s="59">
        <f t="shared" si="9"/>
        <v>48.8</v>
      </c>
      <c r="W72" s="59">
        <f t="shared" si="9"/>
        <v>64.8</v>
      </c>
      <c r="X72" s="59">
        <f t="shared" si="9"/>
        <v>80.7</v>
      </c>
      <c r="Y72" s="59">
        <f t="shared" si="9"/>
        <v>22.799999999999997</v>
      </c>
      <c r="Z72" s="59">
        <f t="shared" si="9"/>
        <v>92.5</v>
      </c>
      <c r="AA72" s="59">
        <f t="shared" si="9"/>
        <v>94.9</v>
      </c>
      <c r="AB72" s="59">
        <f t="shared" si="9"/>
        <v>81.900000000000006</v>
      </c>
      <c r="AC72" s="59">
        <f t="shared" si="9"/>
        <v>71</v>
      </c>
      <c r="AD72" s="59">
        <f t="shared" si="9"/>
        <v>27.7</v>
      </c>
      <c r="AE72" s="59">
        <f t="shared" si="9"/>
        <v>0</v>
      </c>
      <c r="AF72" s="59">
        <f t="shared" si="9"/>
        <v>0</v>
      </c>
      <c r="AG72" s="60">
        <f>SUM(AG69:AG71)</f>
        <v>106</v>
      </c>
      <c r="AH72" s="47">
        <f t="shared" si="2"/>
        <v>99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17</v>
      </c>
      <c r="C73" s="45">
        <v>16</v>
      </c>
      <c r="D73" s="45">
        <v>10.7</v>
      </c>
      <c r="E73" s="45">
        <v>7</v>
      </c>
      <c r="F73" s="45">
        <v>12</v>
      </c>
      <c r="G73" s="45">
        <v>7</v>
      </c>
      <c r="H73" s="45">
        <v>15</v>
      </c>
      <c r="I73" s="45">
        <v>7.6</v>
      </c>
      <c r="J73" s="45">
        <v>0</v>
      </c>
      <c r="K73" s="45">
        <v>3</v>
      </c>
      <c r="L73" s="45">
        <v>8</v>
      </c>
      <c r="M73" s="45">
        <v>5.7</v>
      </c>
      <c r="N73" s="45">
        <v>68.7</v>
      </c>
      <c r="O73" s="45">
        <v>10</v>
      </c>
      <c r="P73" s="45">
        <v>15</v>
      </c>
      <c r="Q73" s="45">
        <v>18.399999999999999</v>
      </c>
      <c r="R73" s="45">
        <v>21.3</v>
      </c>
      <c r="S73" s="45">
        <v>23.6</v>
      </c>
      <c r="T73" s="45">
        <v>18.7</v>
      </c>
      <c r="U73" s="45">
        <v>29.6</v>
      </c>
      <c r="V73" s="45">
        <v>22</v>
      </c>
      <c r="W73" s="45">
        <v>22</v>
      </c>
      <c r="X73" s="45">
        <v>20.8</v>
      </c>
      <c r="Y73" s="45">
        <v>9.3000000000000007</v>
      </c>
      <c r="Z73" s="45">
        <v>2.7</v>
      </c>
      <c r="AA73" s="45">
        <v>61.6</v>
      </c>
      <c r="AB73" s="45">
        <v>17.3</v>
      </c>
      <c r="AC73" s="45">
        <v>26</v>
      </c>
      <c r="AD73" s="45">
        <v>28</v>
      </c>
      <c r="AE73" s="45">
        <v>39</v>
      </c>
      <c r="AF73" s="45">
        <v>36</v>
      </c>
      <c r="AG73" s="51"/>
      <c r="AH73" s="47">
        <f t="shared" si="2"/>
        <v>68.7</v>
      </c>
      <c r="AI73" s="48">
        <f t="shared" si="3"/>
        <v>0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-290</v>
      </c>
      <c r="C75" s="64">
        <v>-280</v>
      </c>
      <c r="D75" s="64">
        <v>-314</v>
      </c>
      <c r="E75" s="64">
        <v>-345</v>
      </c>
      <c r="F75" s="64">
        <v>-341</v>
      </c>
      <c r="G75" s="64">
        <v>-360</v>
      </c>
      <c r="H75" s="64">
        <v>-372</v>
      </c>
      <c r="I75" s="64">
        <v>-400.3</v>
      </c>
      <c r="J75" s="64">
        <v>-369</v>
      </c>
      <c r="K75" s="64">
        <v>-372</v>
      </c>
      <c r="L75" s="64">
        <v>-350</v>
      </c>
      <c r="M75" s="64">
        <v>-371</v>
      </c>
      <c r="N75" s="64">
        <v>-364.1</v>
      </c>
      <c r="O75" s="64">
        <v>-419</v>
      </c>
      <c r="P75" s="64">
        <v>-429</v>
      </c>
      <c r="Q75" s="64">
        <v>-406.9</v>
      </c>
      <c r="R75" s="64">
        <v>-426</v>
      </c>
      <c r="S75" s="64">
        <v>-420</v>
      </c>
      <c r="T75" s="64">
        <v>-435</v>
      </c>
      <c r="U75" s="64">
        <v>-382</v>
      </c>
      <c r="V75" s="64">
        <v>-435</v>
      </c>
      <c r="W75" s="64">
        <v>-435</v>
      </c>
      <c r="X75" s="64">
        <v>-462</v>
      </c>
      <c r="Y75" s="64">
        <v>-396</v>
      </c>
      <c r="Z75" s="64">
        <v>-391</v>
      </c>
      <c r="AA75" s="64">
        <v>-351</v>
      </c>
      <c r="AB75" s="64">
        <v>-351</v>
      </c>
      <c r="AC75" s="64">
        <v>-340</v>
      </c>
      <c r="AD75" s="64">
        <v>-330</v>
      </c>
      <c r="AE75" s="64">
        <v>-326</v>
      </c>
      <c r="AF75" s="64">
        <v>-320</v>
      </c>
      <c r="AG75" s="75"/>
      <c r="AH75" s="47">
        <f t="shared" si="2"/>
        <v>-280</v>
      </c>
      <c r="AI75" s="48">
        <f t="shared" si="3"/>
        <v>-462</v>
      </c>
      <c r="AK75" s="74"/>
    </row>
    <row r="76" spans="1:40" x14ac:dyDescent="0.25">
      <c r="A76" s="53" t="s">
        <v>92</v>
      </c>
      <c r="B76" s="64">
        <v>0</v>
      </c>
      <c r="C76" s="64">
        <v>0</v>
      </c>
      <c r="D76" s="64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12</v>
      </c>
      <c r="AA76" s="76">
        <v>18.7</v>
      </c>
      <c r="AB76" s="76">
        <v>18.7</v>
      </c>
      <c r="AC76" s="76">
        <v>20</v>
      </c>
      <c r="AD76" s="64">
        <v>22</v>
      </c>
      <c r="AE76" s="76">
        <v>26</v>
      </c>
      <c r="AF76" s="76">
        <v>28</v>
      </c>
      <c r="AG76" s="75"/>
      <c r="AH76" s="47">
        <f t="shared" si="2"/>
        <v>28</v>
      </c>
      <c r="AI76" s="48">
        <f t="shared" si="3"/>
        <v>0</v>
      </c>
      <c r="AK76" s="74"/>
    </row>
    <row r="77" spans="1:40" x14ac:dyDescent="0.25">
      <c r="A77" s="53" t="s">
        <v>93</v>
      </c>
      <c r="B77" s="64">
        <v>0</v>
      </c>
      <c r="C77" s="64">
        <v>0</v>
      </c>
      <c r="D77" s="64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5</v>
      </c>
      <c r="AD77" s="45">
        <v>5</v>
      </c>
      <c r="AE77" s="45">
        <v>5</v>
      </c>
      <c r="AF77" s="45">
        <v>0</v>
      </c>
      <c r="AG77" s="75"/>
      <c r="AH77" s="47">
        <f t="shared" ref="AH77:AH120" si="10">MAX(B77:AF77)</f>
        <v>5</v>
      </c>
      <c r="AI77" s="48">
        <f t="shared" ref="AI77:AI120" si="11">MIN(B77:AF77)</f>
        <v>0</v>
      </c>
      <c r="AK77" s="74"/>
    </row>
    <row r="78" spans="1:40" x14ac:dyDescent="0.25">
      <c r="A78" s="53" t="s">
        <v>94</v>
      </c>
      <c r="B78" s="64">
        <v>0</v>
      </c>
      <c r="C78" s="64">
        <v>0</v>
      </c>
      <c r="D78" s="64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5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0"/>
        <v>5</v>
      </c>
      <c r="AI78" s="48">
        <f t="shared" si="11"/>
        <v>0</v>
      </c>
      <c r="AK78" s="74"/>
    </row>
    <row r="79" spans="1:40" ht="15.75" thickBot="1" x14ac:dyDescent="0.3">
      <c r="A79" s="53" t="s">
        <v>95</v>
      </c>
      <c r="B79" s="64">
        <v>0</v>
      </c>
      <c r="C79" s="64">
        <v>0</v>
      </c>
      <c r="D79" s="64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0"/>
        <v>0</v>
      </c>
      <c r="AI79" s="48">
        <f t="shared" si="11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64">
        <v>0</v>
      </c>
      <c r="C80" s="64">
        <v>0</v>
      </c>
      <c r="D80" s="64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10"/>
        <v>0</v>
      </c>
      <c r="AI80" s="48">
        <f t="shared" si="11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64">
        <v>0</v>
      </c>
      <c r="C81" s="64">
        <v>0</v>
      </c>
      <c r="D81" s="64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0"/>
        <v>0</v>
      </c>
      <c r="AI81" s="48">
        <f t="shared" si="11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64">
        <v>0</v>
      </c>
      <c r="C82" s="64">
        <v>0</v>
      </c>
      <c r="D82" s="64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0"/>
        <v>0</v>
      </c>
      <c r="AI82" s="48">
        <f t="shared" si="11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64">
        <v>0</v>
      </c>
      <c r="C83" s="64">
        <v>0</v>
      </c>
      <c r="D83" s="64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0"/>
        <v>0</v>
      </c>
      <c r="AI83" s="48">
        <f t="shared" si="11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2">SUMIF(B73:B83,"&gt;0")</f>
        <v>17</v>
      </c>
      <c r="C84" s="59">
        <f t="shared" si="12"/>
        <v>16</v>
      </c>
      <c r="D84" s="59">
        <f t="shared" si="12"/>
        <v>10.7</v>
      </c>
      <c r="E84" s="59">
        <f t="shared" si="12"/>
        <v>7</v>
      </c>
      <c r="F84" s="59">
        <f t="shared" si="12"/>
        <v>12</v>
      </c>
      <c r="G84" s="59">
        <f t="shared" si="12"/>
        <v>7</v>
      </c>
      <c r="H84" s="59">
        <f t="shared" si="12"/>
        <v>15</v>
      </c>
      <c r="I84" s="59">
        <f t="shared" si="12"/>
        <v>7.6</v>
      </c>
      <c r="J84" s="59">
        <f t="shared" si="12"/>
        <v>0</v>
      </c>
      <c r="K84" s="59">
        <f t="shared" si="12"/>
        <v>3</v>
      </c>
      <c r="L84" s="59">
        <f t="shared" si="12"/>
        <v>8</v>
      </c>
      <c r="M84" s="59">
        <f t="shared" si="12"/>
        <v>5.7</v>
      </c>
      <c r="N84" s="59">
        <f t="shared" si="12"/>
        <v>73.7</v>
      </c>
      <c r="O84" s="59">
        <f t="shared" si="12"/>
        <v>10</v>
      </c>
      <c r="P84" s="59">
        <f t="shared" si="12"/>
        <v>15</v>
      </c>
      <c r="Q84" s="59">
        <f t="shared" si="12"/>
        <v>18.399999999999999</v>
      </c>
      <c r="R84" s="59">
        <f t="shared" si="12"/>
        <v>21.3</v>
      </c>
      <c r="S84" s="59">
        <f t="shared" si="12"/>
        <v>23.6</v>
      </c>
      <c r="T84" s="59">
        <f t="shared" si="12"/>
        <v>18.7</v>
      </c>
      <c r="U84" s="59">
        <f t="shared" si="12"/>
        <v>29.6</v>
      </c>
      <c r="V84" s="59">
        <f t="shared" si="12"/>
        <v>22</v>
      </c>
      <c r="W84" s="59">
        <f t="shared" si="12"/>
        <v>22</v>
      </c>
      <c r="X84" s="59">
        <f t="shared" si="12"/>
        <v>20.8</v>
      </c>
      <c r="Y84" s="59">
        <f t="shared" si="12"/>
        <v>9.3000000000000007</v>
      </c>
      <c r="Z84" s="59">
        <f t="shared" si="12"/>
        <v>14.7</v>
      </c>
      <c r="AA84" s="59">
        <f t="shared" si="12"/>
        <v>80.3</v>
      </c>
      <c r="AB84" s="59">
        <f t="shared" si="12"/>
        <v>36</v>
      </c>
      <c r="AC84" s="59">
        <f t="shared" si="12"/>
        <v>51</v>
      </c>
      <c r="AD84" s="59">
        <f t="shared" si="12"/>
        <v>55</v>
      </c>
      <c r="AE84" s="59">
        <f t="shared" si="12"/>
        <v>70</v>
      </c>
      <c r="AF84" s="59">
        <f t="shared" si="12"/>
        <v>64</v>
      </c>
      <c r="AG84" s="88">
        <f>SUM(AG73:AG83)</f>
        <v>0</v>
      </c>
      <c r="AH84" s="47">
        <f t="shared" si="10"/>
        <v>80.3</v>
      </c>
      <c r="AI84" s="48">
        <f t="shared" si="11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0"/>
        <v>0</v>
      </c>
      <c r="AI85" s="48">
        <f t="shared" si="11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0"/>
        <v>0</v>
      </c>
      <c r="AI86" s="48">
        <f t="shared" si="11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0"/>
        <v>0</v>
      </c>
      <c r="AI87" s="48">
        <f t="shared" si="11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10"/>
        <v>0</v>
      </c>
      <c r="AI88" s="48">
        <f t="shared" si="11"/>
        <v>0</v>
      </c>
    </row>
    <row r="89" spans="1:40" ht="15.75" thickBot="1" x14ac:dyDescent="0.3">
      <c r="A89" s="73" t="s">
        <v>108</v>
      </c>
      <c r="B89" s="95">
        <f t="shared" ref="B89:AG89" si="13">B50+B54+B72+B68+B84+B88</f>
        <v>1843.75</v>
      </c>
      <c r="C89" s="95">
        <f t="shared" si="13"/>
        <v>1787.75</v>
      </c>
      <c r="D89" s="95">
        <f t="shared" si="13"/>
        <v>1817.45</v>
      </c>
      <c r="E89" s="95">
        <f t="shared" si="13"/>
        <v>1821.4</v>
      </c>
      <c r="F89" s="95">
        <f t="shared" si="13"/>
        <v>1826.4</v>
      </c>
      <c r="G89" s="95">
        <f t="shared" si="13"/>
        <v>1821.4</v>
      </c>
      <c r="H89" s="95">
        <f t="shared" si="13"/>
        <v>1862.3000000000002</v>
      </c>
      <c r="I89" s="95">
        <f t="shared" si="13"/>
        <v>1857.6999999999998</v>
      </c>
      <c r="J89" s="95">
        <f t="shared" si="13"/>
        <v>1865.7999999999997</v>
      </c>
      <c r="K89" s="95">
        <f t="shared" si="13"/>
        <v>1929.7999999999997</v>
      </c>
      <c r="L89" s="95">
        <f t="shared" si="13"/>
        <v>1934.7999999999997</v>
      </c>
      <c r="M89" s="95">
        <f t="shared" si="13"/>
        <v>1933.7</v>
      </c>
      <c r="N89" s="95">
        <f t="shared" si="13"/>
        <v>1988.2</v>
      </c>
      <c r="O89" s="95">
        <f t="shared" si="13"/>
        <v>1971.8</v>
      </c>
      <c r="P89" s="95">
        <f t="shared" si="13"/>
        <v>1983.2400000000002</v>
      </c>
      <c r="Q89" s="95">
        <f t="shared" si="13"/>
        <v>1954.54</v>
      </c>
      <c r="R89" s="95">
        <f t="shared" si="13"/>
        <v>1973.04</v>
      </c>
      <c r="S89" s="95">
        <f t="shared" si="13"/>
        <v>1948.6399999999999</v>
      </c>
      <c r="T89" s="95">
        <f t="shared" si="13"/>
        <v>1925.14</v>
      </c>
      <c r="U89" s="95">
        <f t="shared" si="13"/>
        <v>1773.7399999999998</v>
      </c>
      <c r="V89" s="95">
        <f t="shared" si="13"/>
        <v>1932.34</v>
      </c>
      <c r="W89" s="95">
        <f t="shared" si="13"/>
        <v>1731.94</v>
      </c>
      <c r="X89" s="95">
        <f t="shared" si="13"/>
        <v>1963.04</v>
      </c>
      <c r="Y89" s="95">
        <f t="shared" si="13"/>
        <v>1912.84</v>
      </c>
      <c r="Z89" s="95">
        <f t="shared" si="13"/>
        <v>1987.94</v>
      </c>
      <c r="AA89" s="95">
        <f t="shared" si="13"/>
        <v>1986.5400000000002</v>
      </c>
      <c r="AB89" s="95">
        <f t="shared" si="13"/>
        <v>1959.0400000000002</v>
      </c>
      <c r="AC89" s="95">
        <f t="shared" si="13"/>
        <v>1955.64</v>
      </c>
      <c r="AD89" s="95">
        <f t="shared" si="13"/>
        <v>1916.3400000000001</v>
      </c>
      <c r="AE89" s="95">
        <f t="shared" si="13"/>
        <v>1895.14</v>
      </c>
      <c r="AF89" s="95">
        <f t="shared" si="13"/>
        <v>1857.64</v>
      </c>
      <c r="AG89" s="60">
        <f t="shared" si="13"/>
        <v>2111.5500000000002</v>
      </c>
      <c r="AH89" s="47">
        <f t="shared" si="10"/>
        <v>1988.2</v>
      </c>
      <c r="AI89" s="48">
        <f t="shared" si="11"/>
        <v>1731.94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>
        <v>150</v>
      </c>
      <c r="V90" s="97"/>
      <c r="W90" s="97">
        <v>150</v>
      </c>
      <c r="X90" s="97">
        <v>150</v>
      </c>
      <c r="Y90" s="97">
        <v>50</v>
      </c>
      <c r="Z90" s="97">
        <v>50</v>
      </c>
      <c r="AA90" s="97">
        <v>50</v>
      </c>
      <c r="AB90" s="97">
        <v>50</v>
      </c>
      <c r="AC90" s="97">
        <v>50</v>
      </c>
      <c r="AD90" s="97"/>
      <c r="AE90" s="97"/>
      <c r="AF90" s="97"/>
      <c r="AG90" s="88"/>
      <c r="AH90" s="47">
        <f t="shared" si="10"/>
        <v>150</v>
      </c>
      <c r="AI90" s="48">
        <f t="shared" si="11"/>
        <v>50</v>
      </c>
    </row>
    <row r="91" spans="1:40" ht="15.75" thickBot="1" x14ac:dyDescent="0.3">
      <c r="A91" s="73" t="s">
        <v>110</v>
      </c>
      <c r="B91" s="95">
        <f t="shared" ref="B91:AF91" si="14">B89+B90</f>
        <v>1843.75</v>
      </c>
      <c r="C91" s="95">
        <f t="shared" si="14"/>
        <v>1787.75</v>
      </c>
      <c r="D91" s="95">
        <f t="shared" si="14"/>
        <v>1817.45</v>
      </c>
      <c r="E91" s="95">
        <f t="shared" si="14"/>
        <v>1821.4</v>
      </c>
      <c r="F91" s="95">
        <f t="shared" si="14"/>
        <v>1826.4</v>
      </c>
      <c r="G91" s="95">
        <f t="shared" si="14"/>
        <v>1821.4</v>
      </c>
      <c r="H91" s="95">
        <f t="shared" si="14"/>
        <v>1862.3000000000002</v>
      </c>
      <c r="I91" s="95">
        <f t="shared" si="14"/>
        <v>1857.6999999999998</v>
      </c>
      <c r="J91" s="95">
        <f t="shared" si="14"/>
        <v>1865.7999999999997</v>
      </c>
      <c r="K91" s="95">
        <f t="shared" si="14"/>
        <v>1929.7999999999997</v>
      </c>
      <c r="L91" s="95">
        <f t="shared" si="14"/>
        <v>1934.7999999999997</v>
      </c>
      <c r="M91" s="95">
        <f t="shared" si="14"/>
        <v>1933.7</v>
      </c>
      <c r="N91" s="95">
        <f t="shared" si="14"/>
        <v>1988.2</v>
      </c>
      <c r="O91" s="95">
        <f t="shared" si="14"/>
        <v>1971.8</v>
      </c>
      <c r="P91" s="95">
        <f t="shared" si="14"/>
        <v>1983.2400000000002</v>
      </c>
      <c r="Q91" s="95">
        <f t="shared" si="14"/>
        <v>1954.54</v>
      </c>
      <c r="R91" s="95">
        <f t="shared" si="14"/>
        <v>1973.04</v>
      </c>
      <c r="S91" s="95">
        <f t="shared" si="14"/>
        <v>1948.6399999999999</v>
      </c>
      <c r="T91" s="95">
        <f t="shared" si="14"/>
        <v>1925.14</v>
      </c>
      <c r="U91" s="95">
        <f t="shared" si="14"/>
        <v>1923.7399999999998</v>
      </c>
      <c r="V91" s="95">
        <f t="shared" si="14"/>
        <v>1932.34</v>
      </c>
      <c r="W91" s="95">
        <f t="shared" si="14"/>
        <v>1881.94</v>
      </c>
      <c r="X91" s="95">
        <f t="shared" si="14"/>
        <v>2113.04</v>
      </c>
      <c r="Y91" s="95">
        <f t="shared" si="14"/>
        <v>1962.84</v>
      </c>
      <c r="Z91" s="95">
        <f t="shared" si="14"/>
        <v>2037.94</v>
      </c>
      <c r="AA91" s="95">
        <f t="shared" si="14"/>
        <v>2036.5400000000002</v>
      </c>
      <c r="AB91" s="95">
        <f t="shared" si="14"/>
        <v>2009.0400000000002</v>
      </c>
      <c r="AC91" s="95">
        <f t="shared" si="14"/>
        <v>2005.64</v>
      </c>
      <c r="AD91" s="95">
        <f t="shared" si="14"/>
        <v>1916.3400000000001</v>
      </c>
      <c r="AE91" s="95">
        <f t="shared" si="14"/>
        <v>1895.14</v>
      </c>
      <c r="AF91" s="95">
        <f t="shared" si="14"/>
        <v>1857.64</v>
      </c>
      <c r="AG91" s="88">
        <f>AG88+AG84+AG72+AG68+AG50+AG90</f>
        <v>1573.45</v>
      </c>
      <c r="AH91" s="47">
        <f t="shared" si="10"/>
        <v>2113.04</v>
      </c>
      <c r="AI91" s="48">
        <f t="shared" si="11"/>
        <v>1787.75</v>
      </c>
    </row>
    <row r="92" spans="1:40" ht="15.75" thickBot="1" x14ac:dyDescent="0.3">
      <c r="A92" s="73" t="s">
        <v>111</v>
      </c>
      <c r="B92" s="95">
        <f t="shared" ref="B92:AF92" si="15">B91-B99</f>
        <v>1843.75</v>
      </c>
      <c r="C92" s="95">
        <f t="shared" si="15"/>
        <v>1787.75</v>
      </c>
      <c r="D92" s="95">
        <f t="shared" si="15"/>
        <v>1817.45</v>
      </c>
      <c r="E92" s="95">
        <f t="shared" si="15"/>
        <v>1821.4</v>
      </c>
      <c r="F92" s="95">
        <f t="shared" si="15"/>
        <v>1826.4</v>
      </c>
      <c r="G92" s="95">
        <f t="shared" si="15"/>
        <v>1821.4</v>
      </c>
      <c r="H92" s="95">
        <f t="shared" si="15"/>
        <v>1862.3000000000002</v>
      </c>
      <c r="I92" s="95">
        <f t="shared" si="15"/>
        <v>1857.6999999999998</v>
      </c>
      <c r="J92" s="95">
        <f t="shared" si="15"/>
        <v>1865.7999999999997</v>
      </c>
      <c r="K92" s="95">
        <f t="shared" si="15"/>
        <v>1929.7999999999997</v>
      </c>
      <c r="L92" s="95">
        <f t="shared" si="15"/>
        <v>1934.7999999999997</v>
      </c>
      <c r="M92" s="95">
        <f t="shared" si="15"/>
        <v>1933.7</v>
      </c>
      <c r="N92" s="95">
        <f t="shared" si="15"/>
        <v>1988.2</v>
      </c>
      <c r="O92" s="95">
        <f t="shared" si="15"/>
        <v>1971.8</v>
      </c>
      <c r="P92" s="95">
        <f t="shared" si="15"/>
        <v>1983.2400000000002</v>
      </c>
      <c r="Q92" s="95">
        <f t="shared" si="15"/>
        <v>1954.54</v>
      </c>
      <c r="R92" s="95">
        <f t="shared" si="15"/>
        <v>1973.04</v>
      </c>
      <c r="S92" s="95">
        <f t="shared" si="15"/>
        <v>1948.6399999999999</v>
      </c>
      <c r="T92" s="95">
        <f t="shared" si="15"/>
        <v>1925.14</v>
      </c>
      <c r="U92" s="95">
        <f t="shared" si="15"/>
        <v>1923.7399999999998</v>
      </c>
      <c r="V92" s="95">
        <f t="shared" si="15"/>
        <v>1932.34</v>
      </c>
      <c r="W92" s="95">
        <f t="shared" si="15"/>
        <v>1881.94</v>
      </c>
      <c r="X92" s="95">
        <f t="shared" si="15"/>
        <v>2113.04</v>
      </c>
      <c r="Y92" s="95">
        <f t="shared" si="15"/>
        <v>1962.84</v>
      </c>
      <c r="Z92" s="95">
        <f t="shared" si="15"/>
        <v>2037.94</v>
      </c>
      <c r="AA92" s="95">
        <f t="shared" si="15"/>
        <v>2036.5400000000002</v>
      </c>
      <c r="AB92" s="95">
        <f t="shared" si="15"/>
        <v>2009.0400000000002</v>
      </c>
      <c r="AC92" s="95">
        <f t="shared" si="15"/>
        <v>2005.64</v>
      </c>
      <c r="AD92" s="95">
        <f t="shared" si="15"/>
        <v>1916.3400000000001</v>
      </c>
      <c r="AE92" s="95">
        <f t="shared" si="15"/>
        <v>1895.14</v>
      </c>
      <c r="AF92" s="95">
        <f t="shared" si="15"/>
        <v>1857.64</v>
      </c>
      <c r="AG92" s="88"/>
      <c r="AH92" s="47">
        <f t="shared" si="10"/>
        <v>2113.04</v>
      </c>
      <c r="AI92" s="48">
        <f t="shared" si="11"/>
        <v>1787.75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0"/>
        <v>0</v>
      </c>
      <c r="AI93" s="48">
        <f t="shared" si="11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0"/>
        <v>0</v>
      </c>
      <c r="AI94" s="48">
        <f t="shared" si="11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0"/>
        <v>0</v>
      </c>
      <c r="AI95" s="48">
        <f t="shared" si="11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0"/>
        <v>0</v>
      </c>
      <c r="AI96" s="48">
        <f t="shared" si="11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0"/>
        <v>0</v>
      </c>
      <c r="AI97" s="48">
        <f t="shared" si="11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0"/>
        <v>0</v>
      </c>
      <c r="AI98" s="48">
        <f t="shared" si="11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10"/>
        <v>0</v>
      </c>
      <c r="AI99" s="48">
        <f t="shared" si="11"/>
        <v>0</v>
      </c>
      <c r="AK99" s="74"/>
    </row>
    <row r="100" spans="1:37" ht="15.75" thickBot="1" x14ac:dyDescent="0.3">
      <c r="A100" s="73" t="s">
        <v>116</v>
      </c>
      <c r="B100" s="59">
        <f t="shared" ref="B100:AF100" si="16">B84-B99</f>
        <v>17</v>
      </c>
      <c r="C100" s="59">
        <f t="shared" si="16"/>
        <v>16</v>
      </c>
      <c r="D100" s="59">
        <f t="shared" si="16"/>
        <v>10.7</v>
      </c>
      <c r="E100" s="59">
        <f t="shared" si="16"/>
        <v>7</v>
      </c>
      <c r="F100" s="59">
        <f t="shared" si="16"/>
        <v>12</v>
      </c>
      <c r="G100" s="59">
        <f t="shared" si="16"/>
        <v>7</v>
      </c>
      <c r="H100" s="59">
        <f t="shared" si="16"/>
        <v>15</v>
      </c>
      <c r="I100" s="59">
        <f t="shared" si="16"/>
        <v>7.6</v>
      </c>
      <c r="J100" s="59">
        <f t="shared" si="16"/>
        <v>0</v>
      </c>
      <c r="K100" s="59">
        <f t="shared" si="16"/>
        <v>3</v>
      </c>
      <c r="L100" s="59">
        <f t="shared" si="16"/>
        <v>8</v>
      </c>
      <c r="M100" s="59">
        <f t="shared" si="16"/>
        <v>5.7</v>
      </c>
      <c r="N100" s="59">
        <f t="shared" si="16"/>
        <v>73.7</v>
      </c>
      <c r="O100" s="59">
        <f t="shared" si="16"/>
        <v>10</v>
      </c>
      <c r="P100" s="59">
        <f t="shared" si="16"/>
        <v>15</v>
      </c>
      <c r="Q100" s="59">
        <f t="shared" si="16"/>
        <v>18.399999999999999</v>
      </c>
      <c r="R100" s="59">
        <f t="shared" si="16"/>
        <v>21.3</v>
      </c>
      <c r="S100" s="59">
        <f t="shared" si="16"/>
        <v>23.6</v>
      </c>
      <c r="T100" s="59">
        <f t="shared" si="16"/>
        <v>18.7</v>
      </c>
      <c r="U100" s="59">
        <f t="shared" si="16"/>
        <v>29.6</v>
      </c>
      <c r="V100" s="59">
        <f t="shared" si="16"/>
        <v>22</v>
      </c>
      <c r="W100" s="59">
        <f t="shared" si="16"/>
        <v>22</v>
      </c>
      <c r="X100" s="59">
        <f t="shared" si="16"/>
        <v>20.8</v>
      </c>
      <c r="Y100" s="59">
        <f t="shared" si="16"/>
        <v>9.3000000000000007</v>
      </c>
      <c r="Z100" s="59">
        <f t="shared" si="16"/>
        <v>14.7</v>
      </c>
      <c r="AA100" s="59">
        <f t="shared" si="16"/>
        <v>80.3</v>
      </c>
      <c r="AB100" s="59">
        <f t="shared" si="16"/>
        <v>36</v>
      </c>
      <c r="AC100" s="59">
        <f t="shared" si="16"/>
        <v>51</v>
      </c>
      <c r="AD100" s="59">
        <f t="shared" si="16"/>
        <v>55</v>
      </c>
      <c r="AE100" s="59">
        <f t="shared" si="16"/>
        <v>70</v>
      </c>
      <c r="AF100" s="59">
        <f t="shared" si="16"/>
        <v>64</v>
      </c>
      <c r="AG100" s="88"/>
      <c r="AH100" s="47">
        <f t="shared" si="10"/>
        <v>80.3</v>
      </c>
      <c r="AI100" s="48">
        <f t="shared" si="11"/>
        <v>0</v>
      </c>
    </row>
    <row r="101" spans="1:37" x14ac:dyDescent="0.25">
      <c r="A101" s="100" t="s">
        <v>117</v>
      </c>
      <c r="B101" s="101">
        <v>50.076000000000001</v>
      </c>
      <c r="C101" s="101">
        <v>50.029000000000003</v>
      </c>
      <c r="D101" s="101">
        <v>50.064</v>
      </c>
      <c r="E101" s="101">
        <v>49.987000000000002</v>
      </c>
      <c r="F101" s="101">
        <v>50.024000000000001</v>
      </c>
      <c r="G101" s="101">
        <v>49.996000000000002</v>
      </c>
      <c r="H101" s="101">
        <v>50.002000000000002</v>
      </c>
      <c r="I101" s="101">
        <v>50.002000000000002</v>
      </c>
      <c r="J101" s="101">
        <v>49.970999999999997</v>
      </c>
      <c r="K101" s="101">
        <v>50.015000000000001</v>
      </c>
      <c r="L101" s="101">
        <v>50.051000000000002</v>
      </c>
      <c r="M101" s="101">
        <v>50.045000000000002</v>
      </c>
      <c r="N101" s="101">
        <v>50.024999999999999</v>
      </c>
      <c r="O101" s="101">
        <v>50.012</v>
      </c>
      <c r="P101" s="101">
        <v>49.970999999999997</v>
      </c>
      <c r="Q101" s="101">
        <v>49.917000000000002</v>
      </c>
      <c r="R101" s="101">
        <v>49.987000000000002</v>
      </c>
      <c r="S101" s="101">
        <v>50.063000000000002</v>
      </c>
      <c r="T101" s="101">
        <v>49.768999999999998</v>
      </c>
      <c r="U101" s="101">
        <v>49.942999999999998</v>
      </c>
      <c r="V101" s="101">
        <v>49.956000000000003</v>
      </c>
      <c r="W101" s="101">
        <v>49.942999999999998</v>
      </c>
      <c r="X101" s="101">
        <v>49.993000000000002</v>
      </c>
      <c r="Y101" s="101">
        <v>50.042000000000002</v>
      </c>
      <c r="Z101" s="101">
        <v>50.055999999999997</v>
      </c>
      <c r="AA101" s="101">
        <v>49.756</v>
      </c>
      <c r="AB101" s="101">
        <v>49.77</v>
      </c>
      <c r="AC101" s="101">
        <v>49.75</v>
      </c>
      <c r="AD101" s="101">
        <v>49.85</v>
      </c>
      <c r="AE101" s="101">
        <v>50.03</v>
      </c>
      <c r="AF101" s="101">
        <v>50</v>
      </c>
      <c r="AG101" s="102"/>
      <c r="AH101" s="47">
        <f t="shared" si="10"/>
        <v>50.076000000000001</v>
      </c>
      <c r="AI101" s="48">
        <f t="shared" si="11"/>
        <v>49.75</v>
      </c>
    </row>
    <row r="102" spans="1:37" x14ac:dyDescent="0.25">
      <c r="A102" s="103" t="s">
        <v>118</v>
      </c>
      <c r="B102" s="64">
        <v>123.9</v>
      </c>
      <c r="C102" s="64">
        <v>122.2</v>
      </c>
      <c r="D102" s="64">
        <v>126.5</v>
      </c>
      <c r="E102" s="64">
        <v>125.2</v>
      </c>
      <c r="F102" s="64">
        <v>125.3</v>
      </c>
      <c r="G102" s="64">
        <v>125</v>
      </c>
      <c r="H102" s="64">
        <v>125.7</v>
      </c>
      <c r="I102" s="64">
        <v>125.7</v>
      </c>
      <c r="J102" s="64">
        <v>124.2</v>
      </c>
      <c r="K102" s="64">
        <v>123.9</v>
      </c>
      <c r="L102" s="64">
        <v>121.3</v>
      </c>
      <c r="M102" s="64">
        <v>124.54</v>
      </c>
      <c r="N102" s="64"/>
      <c r="O102" s="64"/>
      <c r="P102" s="64"/>
      <c r="Q102" s="64"/>
      <c r="R102" s="64"/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>
        <v>0</v>
      </c>
      <c r="AA102" s="64"/>
      <c r="AB102" s="64">
        <v>0</v>
      </c>
      <c r="AC102" s="64"/>
      <c r="AD102" s="64">
        <v>0</v>
      </c>
      <c r="AE102" s="64">
        <v>0</v>
      </c>
      <c r="AF102" s="64">
        <v>0</v>
      </c>
      <c r="AG102" s="104"/>
      <c r="AH102" s="47">
        <f t="shared" si="10"/>
        <v>126.5</v>
      </c>
      <c r="AI102" s="48">
        <f t="shared" si="11"/>
        <v>0</v>
      </c>
    </row>
    <row r="103" spans="1:37" x14ac:dyDescent="0.25">
      <c r="A103" s="103" t="s">
        <v>119</v>
      </c>
      <c r="B103" s="64">
        <v>129.69999999999999</v>
      </c>
      <c r="C103" s="64">
        <v>128.4</v>
      </c>
      <c r="D103" s="64">
        <v>131.5</v>
      </c>
      <c r="E103" s="64">
        <v>130.5</v>
      </c>
      <c r="F103" s="64">
        <v>130.69999999999999</v>
      </c>
      <c r="G103" s="64">
        <v>130.5</v>
      </c>
      <c r="H103" s="64">
        <v>129.9</v>
      </c>
      <c r="I103" s="64">
        <v>129.9</v>
      </c>
      <c r="J103" s="64">
        <v>128.19999999999999</v>
      </c>
      <c r="K103" s="64">
        <v>127.6</v>
      </c>
      <c r="L103" s="64">
        <v>125.6</v>
      </c>
      <c r="M103" s="64">
        <v>128</v>
      </c>
      <c r="N103" s="64">
        <v>124.3</v>
      </c>
      <c r="O103" s="64">
        <v>125.1</v>
      </c>
      <c r="P103" s="64">
        <v>126.3</v>
      </c>
      <c r="Q103" s="64">
        <v>126.6</v>
      </c>
      <c r="R103" s="64">
        <v>126.3</v>
      </c>
      <c r="S103" s="64">
        <v>125.2</v>
      </c>
      <c r="T103" s="64">
        <v>127.1</v>
      </c>
      <c r="U103" s="64">
        <v>130.6</v>
      </c>
      <c r="V103" s="64">
        <v>128.9</v>
      </c>
      <c r="W103" s="64">
        <v>130.6</v>
      </c>
      <c r="X103" s="64">
        <v>129</v>
      </c>
      <c r="Y103" s="64">
        <v>129.1</v>
      </c>
      <c r="Z103" s="64">
        <v>129.69999999999999</v>
      </c>
      <c r="AA103" s="64">
        <v>128.1</v>
      </c>
      <c r="AB103" s="64">
        <v>130</v>
      </c>
      <c r="AC103" s="64">
        <v>129</v>
      </c>
      <c r="AD103" s="64">
        <v>129</v>
      </c>
      <c r="AE103" s="64">
        <v>129</v>
      </c>
      <c r="AF103" s="64">
        <v>128</v>
      </c>
      <c r="AG103" s="104"/>
      <c r="AH103" s="47">
        <f t="shared" si="10"/>
        <v>131.5</v>
      </c>
      <c r="AI103" s="48">
        <f t="shared" si="11"/>
        <v>124.3</v>
      </c>
    </row>
    <row r="104" spans="1:37" x14ac:dyDescent="0.25">
      <c r="A104" s="103" t="s">
        <v>120</v>
      </c>
      <c r="B104" s="64">
        <v>126.9</v>
      </c>
      <c r="C104" s="64">
        <v>126.1</v>
      </c>
      <c r="D104" s="64">
        <v>125.6</v>
      </c>
      <c r="E104" s="64">
        <v>131.19999999999999</v>
      </c>
      <c r="F104" s="64">
        <v>127.2</v>
      </c>
      <c r="G104" s="64">
        <v>126.8</v>
      </c>
      <c r="H104" s="64">
        <v>128.19999999999999</v>
      </c>
      <c r="I104" s="64">
        <v>128.19999999999999</v>
      </c>
      <c r="J104" s="64">
        <v>127.2</v>
      </c>
      <c r="K104" s="64">
        <v>125.7</v>
      </c>
      <c r="L104" s="64">
        <v>121</v>
      </c>
      <c r="M104" s="64">
        <v>129.1</v>
      </c>
      <c r="N104" s="64">
        <v>124.8</v>
      </c>
      <c r="O104" s="64">
        <v>127.5</v>
      </c>
      <c r="P104" s="64">
        <v>126.7</v>
      </c>
      <c r="Q104" s="64">
        <v>126.3</v>
      </c>
      <c r="R104" s="64">
        <v>123.2</v>
      </c>
      <c r="S104" s="64">
        <v>127.7</v>
      </c>
      <c r="T104" s="64">
        <v>126.4</v>
      </c>
      <c r="U104" s="64">
        <v>126</v>
      </c>
      <c r="V104" s="64">
        <v>129.6</v>
      </c>
      <c r="W104" s="64">
        <v>126</v>
      </c>
      <c r="X104" s="64">
        <v>130</v>
      </c>
      <c r="Y104" s="64">
        <v>129.69999999999999</v>
      </c>
      <c r="Z104" s="64">
        <v>127.6</v>
      </c>
      <c r="AA104" s="64">
        <v>125.5</v>
      </c>
      <c r="AB104" s="64">
        <v>128.19999999999999</v>
      </c>
      <c r="AC104" s="64">
        <v>126.6</v>
      </c>
      <c r="AD104" s="64">
        <v>126.6</v>
      </c>
      <c r="AE104" s="64">
        <v>127</v>
      </c>
      <c r="AF104" s="64">
        <v>126.4</v>
      </c>
      <c r="AG104" s="104"/>
      <c r="AH104" s="47">
        <f t="shared" si="10"/>
        <v>131.19999999999999</v>
      </c>
      <c r="AI104" s="48">
        <f t="shared" si="11"/>
        <v>121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0"/>
        <v>0</v>
      </c>
      <c r="AI105" s="48">
        <f t="shared" si="11"/>
        <v>0</v>
      </c>
    </row>
    <row r="106" spans="1:37" x14ac:dyDescent="0.25">
      <c r="A106" s="105" t="s">
        <v>122</v>
      </c>
      <c r="B106" s="106">
        <v>130.19999999999999</v>
      </c>
      <c r="C106" s="106">
        <v>129</v>
      </c>
      <c r="D106" s="106">
        <v>134.5</v>
      </c>
      <c r="E106" s="106">
        <v>129.80000000000001</v>
      </c>
      <c r="F106" s="106">
        <v>130</v>
      </c>
      <c r="G106" s="106">
        <v>131.80000000000001</v>
      </c>
      <c r="H106" s="106">
        <v>132.30000000000001</v>
      </c>
      <c r="I106" s="106">
        <v>132.30000000000001</v>
      </c>
      <c r="J106" s="106">
        <v>132.30000000000001</v>
      </c>
      <c r="K106" s="106">
        <v>129.9</v>
      </c>
      <c r="L106" s="106">
        <v>129.5</v>
      </c>
      <c r="M106" s="106">
        <v>130.6</v>
      </c>
      <c r="N106" s="106">
        <v>131.30000000000001</v>
      </c>
      <c r="O106" s="106">
        <v>132.4</v>
      </c>
      <c r="P106" s="106">
        <v>128.5</v>
      </c>
      <c r="Q106" s="106">
        <v>130.69999999999999</v>
      </c>
      <c r="R106" s="106">
        <v>131.69999999999999</v>
      </c>
      <c r="S106" s="106">
        <v>128.69999999999999</v>
      </c>
      <c r="T106" s="106">
        <v>129.19999999999999</v>
      </c>
      <c r="U106" s="106">
        <v>132</v>
      </c>
      <c r="V106" s="106">
        <v>131.19999999999999</v>
      </c>
      <c r="W106" s="106">
        <v>132</v>
      </c>
      <c r="X106" s="106">
        <v>131.4</v>
      </c>
      <c r="Y106" s="106">
        <v>130.19999999999999</v>
      </c>
      <c r="Z106" s="106">
        <v>132</v>
      </c>
      <c r="AA106" s="106">
        <v>129</v>
      </c>
      <c r="AB106" s="106">
        <v>133.80000000000001</v>
      </c>
      <c r="AC106" s="106">
        <v>127</v>
      </c>
      <c r="AD106" s="106">
        <v>127</v>
      </c>
      <c r="AE106" s="106">
        <v>131.80000000000001</v>
      </c>
      <c r="AF106" s="106">
        <v>128.6</v>
      </c>
      <c r="AG106" s="107"/>
      <c r="AH106" s="47">
        <f t="shared" si="10"/>
        <v>134.5</v>
      </c>
      <c r="AI106" s="48">
        <f t="shared" si="11"/>
        <v>127</v>
      </c>
    </row>
    <row r="107" spans="1:37" x14ac:dyDescent="0.25">
      <c r="A107" s="103" t="s">
        <v>123</v>
      </c>
      <c r="B107" s="64">
        <v>128.4</v>
      </c>
      <c r="C107" s="64">
        <v>125.8</v>
      </c>
      <c r="D107" s="64">
        <v>126.8</v>
      </c>
      <c r="E107" s="64">
        <v>130</v>
      </c>
      <c r="F107" s="64">
        <v>128</v>
      </c>
      <c r="G107" s="64">
        <v>128.4</v>
      </c>
      <c r="H107" s="64">
        <v>127.2</v>
      </c>
      <c r="I107" s="64">
        <v>127.2</v>
      </c>
      <c r="J107" s="64">
        <v>129.4</v>
      </c>
      <c r="K107" s="64">
        <v>132.30000000000001</v>
      </c>
      <c r="L107" s="64">
        <v>127.2</v>
      </c>
      <c r="M107" s="64">
        <v>129</v>
      </c>
      <c r="N107" s="64">
        <v>132.5</v>
      </c>
      <c r="O107" s="64">
        <v>127.2</v>
      </c>
      <c r="P107" s="64">
        <v>127.3</v>
      </c>
      <c r="Q107" s="64">
        <v>120.9</v>
      </c>
      <c r="R107" s="64">
        <v>125</v>
      </c>
      <c r="S107" s="64">
        <v>127.9</v>
      </c>
      <c r="T107" s="64">
        <v>128.69999999999999</v>
      </c>
      <c r="U107" s="64">
        <v>135.19999999999999</v>
      </c>
      <c r="V107" s="64">
        <v>130.69999999999999</v>
      </c>
      <c r="W107" s="64">
        <v>135.19999999999999</v>
      </c>
      <c r="X107" s="64">
        <v>130.19999999999999</v>
      </c>
      <c r="Y107" s="64">
        <v>131.6</v>
      </c>
      <c r="Z107" s="64">
        <v>135</v>
      </c>
      <c r="AA107" s="64">
        <v>128.6</v>
      </c>
      <c r="AB107" s="64">
        <v>126.9</v>
      </c>
      <c r="AC107" s="64">
        <v>124</v>
      </c>
      <c r="AD107" s="64">
        <v>124</v>
      </c>
      <c r="AE107" s="64">
        <v>125</v>
      </c>
      <c r="AF107" s="64">
        <v>124.9</v>
      </c>
      <c r="AG107" s="104"/>
      <c r="AH107" s="47">
        <f t="shared" si="10"/>
        <v>135.19999999999999</v>
      </c>
      <c r="AI107" s="48">
        <f t="shared" si="11"/>
        <v>120.9</v>
      </c>
    </row>
    <row r="108" spans="1:37" ht="15.75" thickBot="1" x14ac:dyDescent="0.3">
      <c r="A108" s="103" t="s">
        <v>124</v>
      </c>
      <c r="B108" s="92">
        <v>65.3</v>
      </c>
      <c r="C108" s="92">
        <v>64.8</v>
      </c>
      <c r="D108" s="92">
        <v>66.3</v>
      </c>
      <c r="E108" s="92">
        <v>65.900000000000006</v>
      </c>
      <c r="F108" s="92">
        <v>65.8</v>
      </c>
      <c r="G108" s="92">
        <v>65.599999999999994</v>
      </c>
      <c r="H108" s="92">
        <v>65.5</v>
      </c>
      <c r="I108" s="92">
        <v>65.5</v>
      </c>
      <c r="J108" s="92">
        <v>64.400000000000006</v>
      </c>
      <c r="K108" s="92">
        <v>63.9</v>
      </c>
      <c r="L108" s="92">
        <v>62.96</v>
      </c>
      <c r="M108" s="92">
        <v>64.3</v>
      </c>
      <c r="N108" s="92">
        <v>62.7</v>
      </c>
      <c r="O108" s="92">
        <v>62.3</v>
      </c>
      <c r="P108" s="92">
        <v>63</v>
      </c>
      <c r="Q108" s="92">
        <v>63.3</v>
      </c>
      <c r="R108" s="92">
        <v>63.2</v>
      </c>
      <c r="S108" s="92">
        <v>62.2</v>
      </c>
      <c r="T108" s="92">
        <v>63.5</v>
      </c>
      <c r="U108" s="92">
        <v>65.3</v>
      </c>
      <c r="V108" s="92">
        <v>64.7</v>
      </c>
      <c r="W108" s="92">
        <v>65.3</v>
      </c>
      <c r="X108" s="92">
        <v>65</v>
      </c>
      <c r="Y108" s="92">
        <v>64.7</v>
      </c>
      <c r="Z108" s="92">
        <v>65</v>
      </c>
      <c r="AA108" s="92">
        <v>64.3</v>
      </c>
      <c r="AB108" s="92">
        <v>65.2</v>
      </c>
      <c r="AC108" s="92">
        <v>65.099999999999994</v>
      </c>
      <c r="AD108" s="92">
        <v>65.099999999999994</v>
      </c>
      <c r="AE108" s="92">
        <v>64.5</v>
      </c>
      <c r="AF108" s="92">
        <v>64.099999999999994</v>
      </c>
      <c r="AG108" s="108"/>
      <c r="AH108" s="47">
        <f t="shared" si="10"/>
        <v>66.3</v>
      </c>
      <c r="AI108" s="48">
        <f t="shared" si="11"/>
        <v>62.2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0"/>
        <v>0</v>
      </c>
      <c r="AI109" s="48">
        <f t="shared" si="11"/>
        <v>0</v>
      </c>
    </row>
    <row r="110" spans="1:37" ht="15.75" thickBot="1" x14ac:dyDescent="0.3">
      <c r="A110" s="110" t="s">
        <v>126</v>
      </c>
      <c r="B110" s="111">
        <f t="shared" ref="B110:O110" si="17">SUM(B20,B26,B29:B30,B58,B60:B61,B63,B65,B111:B115,B138,B144,B150,B159,B161,B173,B180,B183:B184,B191,B193,B195,B199:B201,B203:B205,B210,B216:B217,B219:B221,B229,B234)</f>
        <v>61.20000000000001</v>
      </c>
      <c r="C110" s="111">
        <f t="shared" si="17"/>
        <v>34.240000000000009</v>
      </c>
      <c r="D110" s="111">
        <f t="shared" si="17"/>
        <v>44.640000000000022</v>
      </c>
      <c r="E110" s="111">
        <f t="shared" si="17"/>
        <v>45.139999999999979</v>
      </c>
      <c r="F110" s="111">
        <f t="shared" si="17"/>
        <v>56.439999999999991</v>
      </c>
      <c r="G110" s="111">
        <f t="shared" si="17"/>
        <v>63.639999999999979</v>
      </c>
      <c r="H110" s="111">
        <f t="shared" si="17"/>
        <v>85.439999999999941</v>
      </c>
      <c r="I110" s="111">
        <f t="shared" si="17"/>
        <v>100.03999999999996</v>
      </c>
      <c r="J110" s="111">
        <f t="shared" si="17"/>
        <v>132.44</v>
      </c>
      <c r="K110" s="111">
        <f t="shared" si="17"/>
        <v>177.53999999999996</v>
      </c>
      <c r="L110" s="111">
        <f t="shared" si="17"/>
        <v>209.04</v>
      </c>
      <c r="M110" s="111">
        <f t="shared" si="17"/>
        <v>198.73999999999995</v>
      </c>
      <c r="N110" s="111">
        <f t="shared" si="17"/>
        <v>187.64</v>
      </c>
      <c r="O110" s="111">
        <f t="shared" si="17"/>
        <v>213.94</v>
      </c>
      <c r="P110" s="111">
        <v>42</v>
      </c>
      <c r="Q110" s="111">
        <f t="shared" ref="Q110:AF110" si="18">SUM(Q20,Q26,Q29:Q30,Q58,Q60:Q61,Q63,Q65,Q111:Q115,Q138,Q144,Q150,Q159,Q161,Q173,Q180,Q183:Q184,Q191,Q193,Q195,Q199:Q201,Q203:Q205,Q210,Q216:Q217,Q219:Q221,Q229,Q234)</f>
        <v>202.50000000000003</v>
      </c>
      <c r="R110" s="111">
        <f t="shared" si="18"/>
        <v>200</v>
      </c>
      <c r="S110" s="111">
        <f t="shared" si="18"/>
        <v>204.2</v>
      </c>
      <c r="T110" s="111">
        <f t="shared" si="18"/>
        <v>218.2</v>
      </c>
      <c r="U110" s="111">
        <f t="shared" si="18"/>
        <v>189.5</v>
      </c>
      <c r="V110" s="111">
        <f t="shared" si="18"/>
        <v>234.7</v>
      </c>
      <c r="W110" s="111">
        <f t="shared" si="18"/>
        <v>189.5</v>
      </c>
      <c r="X110" s="111">
        <f t="shared" si="18"/>
        <v>230.29999999999995</v>
      </c>
      <c r="Y110" s="111">
        <f t="shared" si="18"/>
        <v>239.10000000000002</v>
      </c>
      <c r="Z110" s="111">
        <f t="shared" si="18"/>
        <v>268.09999999999997</v>
      </c>
      <c r="AA110" s="111">
        <f t="shared" si="18"/>
        <v>278</v>
      </c>
      <c r="AB110" s="111">
        <f t="shared" si="18"/>
        <v>213.59999999999997</v>
      </c>
      <c r="AC110" s="111">
        <f t="shared" si="18"/>
        <v>214.10000000000002</v>
      </c>
      <c r="AD110" s="111"/>
      <c r="AE110" s="111">
        <f t="shared" si="18"/>
        <v>141.60000000000002</v>
      </c>
      <c r="AF110" s="111">
        <f t="shared" si="18"/>
        <v>126.10000000000002</v>
      </c>
      <c r="AG110" s="112"/>
      <c r="AH110" s="47">
        <f t="shared" si="10"/>
        <v>278</v>
      </c>
      <c r="AI110" s="48">
        <f t="shared" si="11"/>
        <v>34.240000000000009</v>
      </c>
    </row>
    <row r="111" spans="1:37" x14ac:dyDescent="0.25">
      <c r="A111" s="100" t="s">
        <v>127</v>
      </c>
      <c r="B111" s="113">
        <v>11.5</v>
      </c>
      <c r="C111" s="113">
        <v>12.6</v>
      </c>
      <c r="D111" s="113">
        <v>15.4</v>
      </c>
      <c r="E111" s="113">
        <v>14.6</v>
      </c>
      <c r="F111" s="113">
        <v>17</v>
      </c>
      <c r="G111" s="113">
        <v>18.5</v>
      </c>
      <c r="H111" s="113">
        <v>26.7</v>
      </c>
      <c r="I111" s="113">
        <v>26.7</v>
      </c>
      <c r="J111" s="113">
        <v>30.4</v>
      </c>
      <c r="K111" s="113">
        <v>34.6</v>
      </c>
      <c r="L111" s="113">
        <v>48.5</v>
      </c>
      <c r="M111" s="113">
        <v>48.9</v>
      </c>
      <c r="N111" s="113">
        <v>70.5</v>
      </c>
      <c r="O111" s="113">
        <v>83.5</v>
      </c>
      <c r="P111" s="113">
        <v>70.7</v>
      </c>
      <c r="Q111" s="113">
        <v>60.7</v>
      </c>
      <c r="R111" s="113">
        <v>62.6</v>
      </c>
      <c r="S111" s="113">
        <v>61.1</v>
      </c>
      <c r="T111" s="113">
        <v>68</v>
      </c>
      <c r="U111" s="113">
        <v>0</v>
      </c>
      <c r="V111" s="113">
        <v>52.2</v>
      </c>
      <c r="W111" s="113">
        <v>0</v>
      </c>
      <c r="X111" s="113">
        <v>54</v>
      </c>
      <c r="Y111" s="113">
        <v>59</v>
      </c>
      <c r="Z111" s="113">
        <v>63.8</v>
      </c>
      <c r="AA111" s="113">
        <v>55.4</v>
      </c>
      <c r="AB111" s="113">
        <v>50.2</v>
      </c>
      <c r="AC111" s="113">
        <v>80</v>
      </c>
      <c r="AD111" s="113">
        <v>84</v>
      </c>
      <c r="AE111" s="113">
        <v>76</v>
      </c>
      <c r="AF111" s="113">
        <v>64</v>
      </c>
      <c r="AG111" s="114">
        <v>75</v>
      </c>
      <c r="AH111" s="47">
        <f t="shared" si="10"/>
        <v>84</v>
      </c>
      <c r="AI111" s="48">
        <f t="shared" si="11"/>
        <v>0</v>
      </c>
    </row>
    <row r="112" spans="1:37" x14ac:dyDescent="0.25">
      <c r="A112" s="103" t="s">
        <v>128</v>
      </c>
      <c r="B112" s="115">
        <v>27.1</v>
      </c>
      <c r="C112" s="115">
        <v>26.4</v>
      </c>
      <c r="D112" s="115">
        <v>31.9</v>
      </c>
      <c r="E112" s="115">
        <v>30.9</v>
      </c>
      <c r="F112" s="115">
        <v>34.299999999999997</v>
      </c>
      <c r="G112" s="115">
        <v>34.700000000000003</v>
      </c>
      <c r="H112" s="115">
        <v>47.5</v>
      </c>
      <c r="I112" s="115">
        <v>43</v>
      </c>
      <c r="J112" s="115">
        <v>51.2</v>
      </c>
      <c r="K112" s="115">
        <v>60.6</v>
      </c>
      <c r="L112" s="115">
        <v>71.599999999999994</v>
      </c>
      <c r="M112" s="115">
        <v>74.3</v>
      </c>
      <c r="N112" s="115">
        <v>103.6</v>
      </c>
      <c r="O112" s="115">
        <v>123.5</v>
      </c>
      <c r="P112" s="115">
        <v>106.2</v>
      </c>
      <c r="Q112" s="115">
        <v>98.1</v>
      </c>
      <c r="R112" s="115">
        <v>95.1</v>
      </c>
      <c r="S112" s="115">
        <v>93.3</v>
      </c>
      <c r="T112" s="115">
        <v>104</v>
      </c>
      <c r="U112" s="115">
        <v>-5</v>
      </c>
      <c r="V112" s="115">
        <v>80.2</v>
      </c>
      <c r="W112" s="115">
        <v>-5</v>
      </c>
      <c r="X112" s="115">
        <v>76</v>
      </c>
      <c r="Y112" s="115">
        <v>89</v>
      </c>
      <c r="Z112" s="115">
        <v>97.2</v>
      </c>
      <c r="AA112" s="115">
        <v>83.2</v>
      </c>
      <c r="AB112" s="115">
        <v>76.099999999999994</v>
      </c>
      <c r="AC112" s="115">
        <v>53</v>
      </c>
      <c r="AD112" s="115">
        <v>53</v>
      </c>
      <c r="AE112" s="115">
        <v>49</v>
      </c>
      <c r="AF112" s="115">
        <v>40</v>
      </c>
      <c r="AG112" s="114">
        <v>240</v>
      </c>
      <c r="AH112" s="47">
        <f t="shared" si="10"/>
        <v>123.5</v>
      </c>
      <c r="AI112" s="48">
        <f t="shared" si="11"/>
        <v>-5</v>
      </c>
    </row>
    <row r="113" spans="1:37" x14ac:dyDescent="0.25">
      <c r="A113" s="103" t="s">
        <v>129</v>
      </c>
      <c r="B113" s="115">
        <v>-140</v>
      </c>
      <c r="C113" s="115">
        <v>-130</v>
      </c>
      <c r="D113" s="115">
        <v>-145</v>
      </c>
      <c r="E113" s="115">
        <v>-150</v>
      </c>
      <c r="F113" s="115">
        <v>-144</v>
      </c>
      <c r="G113" s="115">
        <v>-141.19999999999999</v>
      </c>
      <c r="H113" s="115">
        <v>-139.80000000000001</v>
      </c>
      <c r="I113" s="115">
        <v>-129</v>
      </c>
      <c r="J113" s="115">
        <v>-115</v>
      </c>
      <c r="K113" s="115">
        <v>-114.9</v>
      </c>
      <c r="L113" s="115">
        <v>-110</v>
      </c>
      <c r="M113" s="115">
        <v>-115.3</v>
      </c>
      <c r="N113" s="115">
        <v>-173</v>
      </c>
      <c r="O113" s="115">
        <v>-195</v>
      </c>
      <c r="P113" s="115">
        <v>-170</v>
      </c>
      <c r="Q113" s="115">
        <v>-160</v>
      </c>
      <c r="R113" s="115">
        <v>-166</v>
      </c>
      <c r="S113" s="115">
        <f>-74-78</f>
        <v>-152</v>
      </c>
      <c r="T113" s="115">
        <f>-73-80</f>
        <v>-153</v>
      </c>
      <c r="U113" s="115">
        <v>-46</v>
      </c>
      <c r="V113" s="115">
        <v>-107</v>
      </c>
      <c r="W113" s="115">
        <v>-46</v>
      </c>
      <c r="X113" s="115">
        <v>-125</v>
      </c>
      <c r="Y113" s="115">
        <v>-116</v>
      </c>
      <c r="Z113" s="115">
        <v>-125</v>
      </c>
      <c r="AA113" s="115">
        <v>-93</v>
      </c>
      <c r="AB113" s="115">
        <f>-80.4-59.1</f>
        <v>-139.5</v>
      </c>
      <c r="AC113" s="115">
        <v>-125</v>
      </c>
      <c r="AD113" s="115">
        <v>-125</v>
      </c>
      <c r="AE113" s="115">
        <v>-170</v>
      </c>
      <c r="AF113" s="115">
        <v>-160</v>
      </c>
      <c r="AG113" s="114">
        <v>240</v>
      </c>
      <c r="AH113" s="47">
        <f t="shared" si="10"/>
        <v>-46</v>
      </c>
      <c r="AI113" s="48">
        <f t="shared" si="11"/>
        <v>-195</v>
      </c>
    </row>
    <row r="114" spans="1:37" x14ac:dyDescent="0.25">
      <c r="A114" s="103" t="s">
        <v>130</v>
      </c>
      <c r="B114" s="115">
        <v>-3.8</v>
      </c>
      <c r="C114" s="115">
        <v>-12</v>
      </c>
      <c r="D114" s="115">
        <v>-15</v>
      </c>
      <c r="E114" s="115">
        <v>-13.8</v>
      </c>
      <c r="F114" s="115">
        <v>-14.4</v>
      </c>
      <c r="G114" s="115">
        <v>-11.8</v>
      </c>
      <c r="H114" s="115">
        <v>-11.9</v>
      </c>
      <c r="I114" s="115">
        <v>-3</v>
      </c>
      <c r="J114" s="115">
        <v>0</v>
      </c>
      <c r="K114" s="115">
        <v>0</v>
      </c>
      <c r="L114" s="115">
        <v>1.7</v>
      </c>
      <c r="M114" s="115">
        <v>2.1</v>
      </c>
      <c r="N114" s="115">
        <v>-5.9</v>
      </c>
      <c r="O114" s="115">
        <v>-6.2</v>
      </c>
      <c r="P114" s="115">
        <v>-3.2</v>
      </c>
      <c r="Q114" s="115">
        <v>-3.9</v>
      </c>
      <c r="R114" s="115">
        <v>4.7</v>
      </c>
      <c r="S114" s="115">
        <v>-2</v>
      </c>
      <c r="T114" s="115">
        <v>4</v>
      </c>
      <c r="U114" s="115">
        <v>43</v>
      </c>
      <c r="V114" s="115">
        <v>22</v>
      </c>
      <c r="W114" s="115">
        <v>43</v>
      </c>
      <c r="X114" s="115">
        <v>27</v>
      </c>
      <c r="Y114" s="115">
        <v>12</v>
      </c>
      <c r="Z114" s="115">
        <v>39</v>
      </c>
      <c r="AA114" s="115">
        <v>40</v>
      </c>
      <c r="AB114" s="115">
        <v>32.200000000000003</v>
      </c>
      <c r="AC114" s="115">
        <v>11</v>
      </c>
      <c r="AD114" s="115">
        <v>11</v>
      </c>
      <c r="AE114" s="115">
        <v>-8.5</v>
      </c>
      <c r="AF114" s="115">
        <v>-14</v>
      </c>
      <c r="AG114" s="114">
        <v>60</v>
      </c>
      <c r="AH114" s="47">
        <f t="shared" si="10"/>
        <v>43</v>
      </c>
      <c r="AI114" s="48">
        <f t="shared" si="11"/>
        <v>-15</v>
      </c>
    </row>
    <row r="115" spans="1:37" x14ac:dyDescent="0.25">
      <c r="A115" s="116" t="s">
        <v>131</v>
      </c>
      <c r="B115" s="117">
        <v>15.1</v>
      </c>
      <c r="C115" s="117">
        <v>15</v>
      </c>
      <c r="D115" s="117">
        <v>5.0999999999999996</v>
      </c>
      <c r="E115" s="117">
        <v>5.0999999999999996</v>
      </c>
      <c r="F115" s="117">
        <v>5.2</v>
      </c>
      <c r="G115" s="117">
        <v>5.0999999999999996</v>
      </c>
      <c r="H115" s="117">
        <v>4.5999999999999996</v>
      </c>
      <c r="I115" s="117">
        <v>4</v>
      </c>
      <c r="J115" s="117">
        <v>7.5</v>
      </c>
      <c r="K115" s="117">
        <v>18.899999999999999</v>
      </c>
      <c r="L115" s="117">
        <v>18.899999999999999</v>
      </c>
      <c r="M115" s="117">
        <v>18.399999999999999</v>
      </c>
      <c r="N115" s="117">
        <v>18.399999999999999</v>
      </c>
      <c r="O115" s="117">
        <v>18.8</v>
      </c>
      <c r="P115" s="117">
        <v>18.8</v>
      </c>
      <c r="Q115" s="117">
        <v>19.2</v>
      </c>
      <c r="R115" s="117">
        <v>18.8</v>
      </c>
      <c r="S115" s="117">
        <v>19</v>
      </c>
      <c r="T115" s="117">
        <v>19</v>
      </c>
      <c r="U115" s="117">
        <v>54</v>
      </c>
      <c r="V115" s="117">
        <v>12</v>
      </c>
      <c r="W115" s="117">
        <v>54</v>
      </c>
      <c r="X115" s="117">
        <v>23</v>
      </c>
      <c r="Y115" s="117">
        <v>22</v>
      </c>
      <c r="Z115" s="117">
        <v>20</v>
      </c>
      <c r="AA115" s="117">
        <v>19.3</v>
      </c>
      <c r="AB115" s="117">
        <v>21.5</v>
      </c>
      <c r="AC115" s="117">
        <v>22</v>
      </c>
      <c r="AD115" s="117">
        <v>22</v>
      </c>
      <c r="AE115" s="117">
        <v>22</v>
      </c>
      <c r="AF115" s="117">
        <v>23</v>
      </c>
      <c r="AG115" s="118">
        <v>120</v>
      </c>
      <c r="AH115" s="47">
        <f t="shared" si="10"/>
        <v>54</v>
      </c>
      <c r="AI115" s="48">
        <f t="shared" si="11"/>
        <v>4</v>
      </c>
    </row>
    <row r="116" spans="1:37" x14ac:dyDescent="0.25">
      <c r="A116" s="116" t="s">
        <v>132</v>
      </c>
      <c r="B116" s="117">
        <v>65.900000000000006</v>
      </c>
      <c r="C116" s="117">
        <v>72</v>
      </c>
      <c r="D116" s="117">
        <v>44.3</v>
      </c>
      <c r="E116" s="117">
        <v>56</v>
      </c>
      <c r="F116" s="117">
        <v>52.9</v>
      </c>
      <c r="G116" s="117">
        <v>53.3</v>
      </c>
      <c r="H116" s="117">
        <v>43.9</v>
      </c>
      <c r="I116" s="117">
        <v>52</v>
      </c>
      <c r="J116" s="117">
        <v>59</v>
      </c>
      <c r="K116" s="117">
        <v>57.7</v>
      </c>
      <c r="L116" s="117">
        <v>42.6</v>
      </c>
      <c r="M116" s="117">
        <v>37.799999999999997</v>
      </c>
      <c r="N116" s="117">
        <v>40.5</v>
      </c>
      <c r="O116" s="117">
        <v>20.5</v>
      </c>
      <c r="P116" s="117">
        <v>12.6</v>
      </c>
      <c r="Q116" s="117">
        <v>30.5</v>
      </c>
      <c r="R116" s="117">
        <v>20.2</v>
      </c>
      <c r="S116" s="117">
        <v>30</v>
      </c>
      <c r="T116" s="117">
        <v>25</v>
      </c>
      <c r="U116" s="117">
        <v>20</v>
      </c>
      <c r="V116" s="117">
        <v>39</v>
      </c>
      <c r="W116" s="117">
        <v>20</v>
      </c>
      <c r="X116" s="117">
        <v>15</v>
      </c>
      <c r="Y116" s="117">
        <v>39</v>
      </c>
      <c r="Z116" s="117">
        <v>22</v>
      </c>
      <c r="AA116" s="117">
        <v>43</v>
      </c>
      <c r="AB116" s="117">
        <v>42.2</v>
      </c>
      <c r="AC116" s="117">
        <v>36</v>
      </c>
      <c r="AD116" s="117">
        <v>36</v>
      </c>
      <c r="AE116" s="117">
        <v>47</v>
      </c>
      <c r="AF116" s="117">
        <v>64</v>
      </c>
      <c r="AG116" s="118"/>
      <c r="AH116" s="47">
        <f t="shared" si="10"/>
        <v>72</v>
      </c>
      <c r="AI116" s="48">
        <f t="shared" si="11"/>
        <v>12.6</v>
      </c>
    </row>
    <row r="117" spans="1:37" x14ac:dyDescent="0.25">
      <c r="A117" s="116" t="s">
        <v>133</v>
      </c>
      <c r="B117" s="117">
        <v>27.2</v>
      </c>
      <c r="C117" s="117">
        <v>30.6</v>
      </c>
      <c r="D117" s="117">
        <v>28.9</v>
      </c>
      <c r="E117" s="117">
        <v>35</v>
      </c>
      <c r="F117" s="117">
        <v>34.5</v>
      </c>
      <c r="G117" s="117">
        <v>30.1</v>
      </c>
      <c r="H117" s="117">
        <v>20.3</v>
      </c>
      <c r="I117" s="117">
        <v>26</v>
      </c>
      <c r="J117" s="117">
        <v>29.6</v>
      </c>
      <c r="K117" s="117">
        <v>36.799999999999997</v>
      </c>
      <c r="L117" s="117">
        <v>10.199999999999999</v>
      </c>
      <c r="M117" s="117">
        <v>17.3</v>
      </c>
      <c r="N117" s="117">
        <v>16.899999999999999</v>
      </c>
      <c r="O117" s="117">
        <v>6.5</v>
      </c>
      <c r="P117" s="117">
        <v>25.1</v>
      </c>
      <c r="Q117" s="117">
        <v>17.3</v>
      </c>
      <c r="R117" s="117">
        <v>20.9</v>
      </c>
      <c r="S117" s="117">
        <v>23</v>
      </c>
      <c r="T117" s="117">
        <v>25</v>
      </c>
      <c r="U117" s="117">
        <v>41</v>
      </c>
      <c r="V117" s="117">
        <v>31</v>
      </c>
      <c r="W117" s="117">
        <v>41</v>
      </c>
      <c r="X117" s="117">
        <v>36</v>
      </c>
      <c r="Y117" s="117">
        <v>0.36</v>
      </c>
      <c r="Z117" s="117">
        <v>40</v>
      </c>
      <c r="AA117" s="117">
        <v>50</v>
      </c>
      <c r="AB117" s="117">
        <v>51.4</v>
      </c>
      <c r="AC117" s="117">
        <v>52</v>
      </c>
      <c r="AD117" s="117">
        <v>52</v>
      </c>
      <c r="AE117" s="117">
        <v>67</v>
      </c>
      <c r="AF117" s="117">
        <v>59</v>
      </c>
      <c r="AG117" s="119"/>
      <c r="AH117" s="47">
        <f t="shared" si="10"/>
        <v>67</v>
      </c>
      <c r="AI117" s="48">
        <f t="shared" si="11"/>
        <v>0.36</v>
      </c>
    </row>
    <row r="118" spans="1:37" x14ac:dyDescent="0.25">
      <c r="A118" s="120" t="s">
        <v>134</v>
      </c>
      <c r="B118" s="106">
        <v>38.5</v>
      </c>
      <c r="C118" s="106">
        <v>39</v>
      </c>
      <c r="D118" s="106">
        <v>41.3</v>
      </c>
      <c r="E118" s="106">
        <v>43.8</v>
      </c>
      <c r="F118" s="106">
        <v>42.3</v>
      </c>
      <c r="G118" s="106">
        <v>48</v>
      </c>
      <c r="H118" s="106">
        <v>47.1</v>
      </c>
      <c r="I118" s="106">
        <v>42</v>
      </c>
      <c r="J118" s="106">
        <v>35.6</v>
      </c>
      <c r="K118" s="106">
        <v>25</v>
      </c>
      <c r="L118" s="106">
        <v>27.8</v>
      </c>
      <c r="M118" s="106">
        <v>25.1</v>
      </c>
      <c r="N118" s="106">
        <v>25.4</v>
      </c>
      <c r="O118" s="106">
        <v>29.7</v>
      </c>
      <c r="P118" s="106">
        <v>31.3</v>
      </c>
      <c r="Q118" s="106">
        <v>40.6</v>
      </c>
      <c r="R118" s="106">
        <v>40.1</v>
      </c>
      <c r="S118" s="106">
        <v>43</v>
      </c>
      <c r="T118" s="106">
        <v>42</v>
      </c>
      <c r="U118" s="106">
        <v>37</v>
      </c>
      <c r="V118" s="106">
        <v>34</v>
      </c>
      <c r="W118" s="106">
        <v>37</v>
      </c>
      <c r="X118" s="106">
        <v>32</v>
      </c>
      <c r="Y118" s="106">
        <v>31</v>
      </c>
      <c r="Z118" s="106">
        <v>23</v>
      </c>
      <c r="AA118" s="106">
        <v>18</v>
      </c>
      <c r="AB118" s="106">
        <v>20.3</v>
      </c>
      <c r="AC118" s="106">
        <v>23</v>
      </c>
      <c r="AD118" s="106">
        <v>23</v>
      </c>
      <c r="AE118" s="106">
        <v>30</v>
      </c>
      <c r="AF118" s="106">
        <v>36</v>
      </c>
      <c r="AG118" s="119"/>
      <c r="AH118" s="47">
        <f t="shared" si="10"/>
        <v>48</v>
      </c>
      <c r="AI118" s="48">
        <f t="shared" si="11"/>
        <v>18</v>
      </c>
    </row>
    <row r="119" spans="1:37" x14ac:dyDescent="0.25">
      <c r="A119" s="121" t="s">
        <v>135</v>
      </c>
      <c r="B119" s="106">
        <v>89.2</v>
      </c>
      <c r="C119" s="106">
        <v>89</v>
      </c>
      <c r="D119" s="106">
        <v>90.3</v>
      </c>
      <c r="E119" s="106">
        <v>93.777000000000001</v>
      </c>
      <c r="F119" s="106">
        <v>95</v>
      </c>
      <c r="G119" s="106">
        <v>92.1</v>
      </c>
      <c r="H119" s="106">
        <v>95</v>
      </c>
      <c r="I119" s="106">
        <v>89</v>
      </c>
      <c r="J119" s="106">
        <v>82</v>
      </c>
      <c r="K119" s="106">
        <v>74</v>
      </c>
      <c r="L119" s="106">
        <v>78.900000000000006</v>
      </c>
      <c r="M119" s="106">
        <v>84.2</v>
      </c>
      <c r="N119" s="106">
        <v>86.9</v>
      </c>
      <c r="O119" s="106">
        <v>91.8</v>
      </c>
      <c r="P119" s="106">
        <v>80.5</v>
      </c>
      <c r="Q119" s="106">
        <v>71.3</v>
      </c>
      <c r="R119" s="106">
        <v>82.9</v>
      </c>
      <c r="S119" s="106">
        <v>73</v>
      </c>
      <c r="T119" s="106">
        <v>80</v>
      </c>
      <c r="U119" s="106">
        <v>46</v>
      </c>
      <c r="V119" s="106">
        <v>64</v>
      </c>
      <c r="W119" s="106">
        <v>46</v>
      </c>
      <c r="X119" s="106">
        <v>87</v>
      </c>
      <c r="Y119" s="106">
        <v>65</v>
      </c>
      <c r="Z119" s="106">
        <v>85</v>
      </c>
      <c r="AA119" s="106">
        <v>66</v>
      </c>
      <c r="AB119" s="106">
        <v>66.209999999999994</v>
      </c>
      <c r="AC119" s="106">
        <v>74</v>
      </c>
      <c r="AD119" s="106">
        <v>74</v>
      </c>
      <c r="AE119" s="106">
        <v>80</v>
      </c>
      <c r="AF119" s="106">
        <v>80</v>
      </c>
      <c r="AG119" s="119"/>
      <c r="AH119" s="47">
        <f t="shared" si="10"/>
        <v>95</v>
      </c>
      <c r="AI119" s="48">
        <f t="shared" si="11"/>
        <v>46</v>
      </c>
    </row>
    <row r="120" spans="1:37" ht="15.75" thickBot="1" x14ac:dyDescent="0.3">
      <c r="A120" s="120" t="s">
        <v>136</v>
      </c>
      <c r="B120" s="106">
        <v>51.8</v>
      </c>
      <c r="C120" s="106">
        <v>44.5</v>
      </c>
      <c r="D120" s="106">
        <v>46.7</v>
      </c>
      <c r="E120" s="106">
        <v>25.5</v>
      </c>
      <c r="F120" s="106">
        <v>30.3</v>
      </c>
      <c r="G120" s="106">
        <v>28.6</v>
      </c>
      <c r="H120" s="106">
        <v>26.1</v>
      </c>
      <c r="I120" s="106">
        <v>25</v>
      </c>
      <c r="J120" s="106">
        <v>29.3</v>
      </c>
      <c r="K120" s="106">
        <v>32.700000000000003</v>
      </c>
      <c r="L120" s="106">
        <v>44.2</v>
      </c>
      <c r="M120" s="106">
        <v>42.4</v>
      </c>
      <c r="N120" s="106">
        <v>42.9</v>
      </c>
      <c r="O120" s="106">
        <v>38.1</v>
      </c>
      <c r="P120" s="106">
        <v>34.9</v>
      </c>
      <c r="Q120" s="106">
        <v>26.1</v>
      </c>
      <c r="R120" s="106">
        <v>23.9</v>
      </c>
      <c r="S120" s="106">
        <v>21</v>
      </c>
      <c r="T120" s="106">
        <v>22</v>
      </c>
      <c r="U120" s="106">
        <v>31</v>
      </c>
      <c r="V120" s="106">
        <v>30</v>
      </c>
      <c r="W120" s="106">
        <v>31</v>
      </c>
      <c r="X120" s="106">
        <v>14</v>
      </c>
      <c r="Y120" s="106">
        <v>14</v>
      </c>
      <c r="Z120" s="106">
        <v>32</v>
      </c>
      <c r="AA120" s="106">
        <v>37</v>
      </c>
      <c r="AB120" s="106">
        <v>41</v>
      </c>
      <c r="AC120" s="106">
        <v>55</v>
      </c>
      <c r="AD120" s="106">
        <v>55</v>
      </c>
      <c r="AE120" s="106">
        <v>39</v>
      </c>
      <c r="AF120" s="106">
        <v>39</v>
      </c>
      <c r="AG120" s="119"/>
      <c r="AH120" s="47">
        <f t="shared" si="10"/>
        <v>55</v>
      </c>
      <c r="AI120" s="48">
        <f t="shared" si="11"/>
        <v>14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19">SUM(B122:B226)</f>
        <v>0</v>
      </c>
      <c r="C227" s="137">
        <f t="shared" si="19"/>
        <v>0</v>
      </c>
      <c r="D227" s="137">
        <f t="shared" si="19"/>
        <v>0</v>
      </c>
      <c r="E227" s="137">
        <f t="shared" si="19"/>
        <v>0</v>
      </c>
      <c r="F227" s="137">
        <f t="shared" si="19"/>
        <v>0</v>
      </c>
      <c r="G227" s="137">
        <f t="shared" si="19"/>
        <v>0</v>
      </c>
      <c r="H227" s="137">
        <f t="shared" si="19"/>
        <v>0</v>
      </c>
      <c r="I227" s="137">
        <f t="shared" si="19"/>
        <v>0</v>
      </c>
      <c r="J227" s="137">
        <f t="shared" si="19"/>
        <v>0</v>
      </c>
      <c r="K227" s="137">
        <f t="shared" si="19"/>
        <v>0</v>
      </c>
      <c r="L227" s="137">
        <f t="shared" si="19"/>
        <v>0</v>
      </c>
      <c r="M227" s="137">
        <f t="shared" si="19"/>
        <v>0</v>
      </c>
      <c r="N227" s="137">
        <f t="shared" si="19"/>
        <v>0</v>
      </c>
      <c r="O227" s="137">
        <f t="shared" si="19"/>
        <v>0</v>
      </c>
      <c r="P227" s="137">
        <f t="shared" si="19"/>
        <v>0</v>
      </c>
      <c r="Q227" s="137">
        <f t="shared" si="19"/>
        <v>0</v>
      </c>
      <c r="R227" s="137">
        <f t="shared" si="19"/>
        <v>0</v>
      </c>
      <c r="S227" s="137">
        <f t="shared" si="19"/>
        <v>0</v>
      </c>
      <c r="T227" s="137">
        <f t="shared" si="19"/>
        <v>0</v>
      </c>
      <c r="U227" s="137">
        <f t="shared" si="19"/>
        <v>0</v>
      </c>
      <c r="V227" s="137">
        <f t="shared" si="19"/>
        <v>0</v>
      </c>
      <c r="W227" s="137">
        <f t="shared" si="19"/>
        <v>0</v>
      </c>
      <c r="X227" s="137">
        <f t="shared" si="19"/>
        <v>0</v>
      </c>
      <c r="Y227" s="137">
        <f t="shared" si="19"/>
        <v>0</v>
      </c>
      <c r="Z227" s="137">
        <f t="shared" si="19"/>
        <v>0</v>
      </c>
      <c r="AA227" s="137">
        <f t="shared" si="19"/>
        <v>0</v>
      </c>
      <c r="AB227" s="137">
        <f t="shared" si="19"/>
        <v>0</v>
      </c>
      <c r="AC227" s="137">
        <f t="shared" si="19"/>
        <v>0</v>
      </c>
      <c r="AD227" s="137">
        <f t="shared" si="19"/>
        <v>0</v>
      </c>
      <c r="AE227" s="137">
        <f t="shared" si="19"/>
        <v>0</v>
      </c>
      <c r="AF227" s="138">
        <f t="shared" si="19"/>
        <v>0</v>
      </c>
      <c r="AG227" s="139">
        <f t="shared" si="19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20">AF229</f>
        <v>0</v>
      </c>
      <c r="C229" s="141">
        <v>0.3</v>
      </c>
      <c r="D229" s="141">
        <f t="shared" ref="D229:P234" si="21">C229</f>
        <v>0.3</v>
      </c>
      <c r="E229" s="141">
        <f t="shared" si="21"/>
        <v>0.3</v>
      </c>
      <c r="F229" s="141">
        <f t="shared" si="21"/>
        <v>0.3</v>
      </c>
      <c r="G229" s="141">
        <f t="shared" si="21"/>
        <v>0.3</v>
      </c>
      <c r="H229" s="141">
        <f t="shared" si="21"/>
        <v>0.3</v>
      </c>
      <c r="I229" s="141">
        <f t="shared" si="21"/>
        <v>0.3</v>
      </c>
      <c r="J229" s="141">
        <f t="shared" si="21"/>
        <v>0.3</v>
      </c>
      <c r="K229" s="141">
        <f t="shared" si="21"/>
        <v>0.3</v>
      </c>
      <c r="L229" s="141">
        <f t="shared" si="21"/>
        <v>0.3</v>
      </c>
      <c r="M229" s="141">
        <f t="shared" si="21"/>
        <v>0.3</v>
      </c>
      <c r="N229" s="141">
        <f t="shared" si="21"/>
        <v>0.3</v>
      </c>
      <c r="O229" s="141">
        <f t="shared" si="21"/>
        <v>0.3</v>
      </c>
      <c r="P229" s="141">
        <f t="shared" si="21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20"/>
        <v>0</v>
      </c>
      <c r="C230" s="129">
        <v>0.4</v>
      </c>
      <c r="D230" s="129">
        <f t="shared" si="21"/>
        <v>0.4</v>
      </c>
      <c r="E230" s="129">
        <f t="shared" si="21"/>
        <v>0.4</v>
      </c>
      <c r="F230" s="129">
        <f t="shared" si="21"/>
        <v>0.4</v>
      </c>
      <c r="G230" s="129">
        <f t="shared" si="21"/>
        <v>0.4</v>
      </c>
      <c r="H230" s="129">
        <f t="shared" si="21"/>
        <v>0.4</v>
      </c>
      <c r="I230" s="129">
        <f t="shared" si="21"/>
        <v>0.4</v>
      </c>
      <c r="J230" s="129">
        <f t="shared" si="21"/>
        <v>0.4</v>
      </c>
      <c r="K230" s="129">
        <f t="shared" si="21"/>
        <v>0.4</v>
      </c>
      <c r="L230" s="129">
        <f t="shared" si="21"/>
        <v>0.4</v>
      </c>
      <c r="M230" s="129">
        <f t="shared" si="21"/>
        <v>0.4</v>
      </c>
      <c r="N230" s="129">
        <f t="shared" si="21"/>
        <v>0.4</v>
      </c>
      <c r="O230" s="129">
        <f t="shared" si="21"/>
        <v>0.4</v>
      </c>
      <c r="P230" s="129">
        <f t="shared" si="21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20"/>
        <v>0</v>
      </c>
      <c r="C231" s="129">
        <v>1.5</v>
      </c>
      <c r="D231" s="129">
        <f t="shared" si="21"/>
        <v>1.5</v>
      </c>
      <c r="E231" s="129">
        <f t="shared" si="21"/>
        <v>1.5</v>
      </c>
      <c r="F231" s="129">
        <f t="shared" si="21"/>
        <v>1.5</v>
      </c>
      <c r="G231" s="129">
        <f t="shared" si="21"/>
        <v>1.5</v>
      </c>
      <c r="H231" s="129">
        <f t="shared" si="21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21"/>
        <v>123.21900000000009</v>
      </c>
      <c r="K231" s="129">
        <f t="shared" ca="1" si="21"/>
        <v>123.21900000000009</v>
      </c>
      <c r="L231" s="129">
        <f t="shared" ca="1" si="21"/>
        <v>123.21900000000009</v>
      </c>
      <c r="M231" s="129">
        <f t="shared" ca="1" si="21"/>
        <v>119.19900000000008</v>
      </c>
      <c r="N231" s="129">
        <f t="shared" ca="1" si="21"/>
        <v>119.19900000000008</v>
      </c>
      <c r="O231" s="129">
        <f t="shared" ca="1" si="21"/>
        <v>119.19900000000008</v>
      </c>
      <c r="P231" s="129">
        <f t="shared" ca="1" si="21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20"/>
        <v>0</v>
      </c>
      <c r="C232" s="129">
        <v>0.3</v>
      </c>
      <c r="D232" s="129">
        <f t="shared" si="21"/>
        <v>0.3</v>
      </c>
      <c r="E232" s="129">
        <f t="shared" si="21"/>
        <v>0.3</v>
      </c>
      <c r="F232" s="129">
        <f t="shared" si="21"/>
        <v>0.3</v>
      </c>
      <c r="G232" s="129">
        <f t="shared" si="21"/>
        <v>0.3</v>
      </c>
      <c r="H232" s="129">
        <f t="shared" si="21"/>
        <v>0.3</v>
      </c>
      <c r="I232" s="129">
        <f t="shared" si="21"/>
        <v>0.3</v>
      </c>
      <c r="J232" s="129">
        <f t="shared" si="21"/>
        <v>0.3</v>
      </c>
      <c r="K232" s="129">
        <f t="shared" si="21"/>
        <v>0.3</v>
      </c>
      <c r="L232" s="129">
        <f t="shared" si="21"/>
        <v>0.3</v>
      </c>
      <c r="M232" s="129">
        <f t="shared" si="21"/>
        <v>0.3</v>
      </c>
      <c r="N232" s="129">
        <f t="shared" si="21"/>
        <v>0.3</v>
      </c>
      <c r="O232" s="129">
        <f t="shared" si="21"/>
        <v>0.3</v>
      </c>
      <c r="P232" s="129">
        <f t="shared" si="21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20"/>
        <v>0</v>
      </c>
      <c r="C233" s="129">
        <v>0.4</v>
      </c>
      <c r="D233" s="129">
        <f t="shared" si="21"/>
        <v>0.4</v>
      </c>
      <c r="E233" s="129">
        <f t="shared" si="21"/>
        <v>0.4</v>
      </c>
      <c r="F233" s="129">
        <f t="shared" si="21"/>
        <v>0.4</v>
      </c>
      <c r="G233" s="129">
        <f t="shared" si="21"/>
        <v>0.4</v>
      </c>
      <c r="H233" s="129">
        <f t="shared" si="21"/>
        <v>0.4</v>
      </c>
      <c r="I233" s="129">
        <f t="shared" si="21"/>
        <v>0.4</v>
      </c>
      <c r="J233" s="129">
        <f t="shared" si="21"/>
        <v>0.4</v>
      </c>
      <c r="K233" s="129">
        <f t="shared" si="21"/>
        <v>0.4</v>
      </c>
      <c r="L233" s="129">
        <f t="shared" si="21"/>
        <v>0.4</v>
      </c>
      <c r="M233" s="129">
        <f t="shared" si="21"/>
        <v>0.4</v>
      </c>
      <c r="N233" s="129">
        <f t="shared" si="21"/>
        <v>0.4</v>
      </c>
      <c r="O233" s="129">
        <f t="shared" si="21"/>
        <v>0.4</v>
      </c>
      <c r="P233" s="129">
        <f t="shared" si="21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20"/>
        <v>0</v>
      </c>
      <c r="C234" s="133">
        <v>0.64</v>
      </c>
      <c r="D234" s="133">
        <f t="shared" si="21"/>
        <v>0.64</v>
      </c>
      <c r="E234" s="133">
        <f t="shared" si="21"/>
        <v>0.64</v>
      </c>
      <c r="F234" s="133">
        <f t="shared" si="21"/>
        <v>0.64</v>
      </c>
      <c r="G234" s="133">
        <f t="shared" si="21"/>
        <v>0.64</v>
      </c>
      <c r="H234" s="133">
        <f t="shared" si="21"/>
        <v>0.64</v>
      </c>
      <c r="I234" s="133">
        <f t="shared" si="21"/>
        <v>0.64</v>
      </c>
      <c r="J234" s="133">
        <f t="shared" si="21"/>
        <v>0.64</v>
      </c>
      <c r="K234" s="133">
        <f t="shared" si="21"/>
        <v>0.64</v>
      </c>
      <c r="L234" s="133">
        <f t="shared" si="21"/>
        <v>0.64</v>
      </c>
      <c r="M234" s="133">
        <f t="shared" si="21"/>
        <v>0.64</v>
      </c>
      <c r="N234" s="133">
        <f t="shared" si="21"/>
        <v>0.64</v>
      </c>
      <c r="O234" s="133">
        <f t="shared" si="21"/>
        <v>0.64</v>
      </c>
      <c r="P234" s="133">
        <f t="shared" si="21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2">SUM(B229:B234)</f>
        <v>0</v>
      </c>
      <c r="C235" s="137">
        <f t="shared" si="22"/>
        <v>3.54</v>
      </c>
      <c r="D235" s="137">
        <f t="shared" si="22"/>
        <v>3.54</v>
      </c>
      <c r="E235" s="137">
        <f t="shared" si="22"/>
        <v>3.54</v>
      </c>
      <c r="F235" s="137">
        <f t="shared" si="22"/>
        <v>3.54</v>
      </c>
      <c r="G235" s="137">
        <f t="shared" si="22"/>
        <v>3.54</v>
      </c>
      <c r="H235" s="137">
        <f t="shared" si="22"/>
        <v>3.54</v>
      </c>
      <c r="I235" s="137">
        <f t="shared" ca="1" si="22"/>
        <v>121.23900000000009</v>
      </c>
      <c r="J235" s="137">
        <f t="shared" ca="1" si="22"/>
        <v>121.23900000000009</v>
      </c>
      <c r="K235" s="137">
        <f t="shared" ca="1" si="22"/>
        <v>121.23900000000009</v>
      </c>
      <c r="L235" s="137">
        <f t="shared" ca="1" si="22"/>
        <v>125.2590000000001</v>
      </c>
      <c r="M235" s="137">
        <f t="shared" ca="1" si="22"/>
        <v>121.23900000000009</v>
      </c>
      <c r="N235" s="137">
        <f t="shared" ca="1" si="22"/>
        <v>121.23900000000009</v>
      </c>
      <c r="O235" s="137">
        <f t="shared" ca="1" si="22"/>
        <v>121.23900000000009</v>
      </c>
      <c r="P235" s="137">
        <f t="shared" ca="1" si="22"/>
        <v>121.23900000000009</v>
      </c>
      <c r="Q235" s="137">
        <f t="shared" si="22"/>
        <v>0</v>
      </c>
      <c r="R235" s="137">
        <f t="shared" si="22"/>
        <v>0</v>
      </c>
      <c r="S235" s="137">
        <f t="shared" si="22"/>
        <v>0</v>
      </c>
      <c r="T235" s="137">
        <f t="shared" si="22"/>
        <v>0</v>
      </c>
      <c r="U235" s="137">
        <f t="shared" si="22"/>
        <v>0</v>
      </c>
      <c r="V235" s="137">
        <f t="shared" si="22"/>
        <v>0</v>
      </c>
      <c r="W235" s="137">
        <f t="shared" si="22"/>
        <v>0</v>
      </c>
      <c r="X235" s="137">
        <f t="shared" si="22"/>
        <v>0</v>
      </c>
      <c r="Y235" s="137">
        <f t="shared" si="22"/>
        <v>0</v>
      </c>
      <c r="Z235" s="137">
        <f t="shared" si="22"/>
        <v>0</v>
      </c>
      <c r="AA235" s="137">
        <f t="shared" si="22"/>
        <v>0</v>
      </c>
      <c r="AB235" s="137">
        <f t="shared" si="22"/>
        <v>0</v>
      </c>
      <c r="AC235" s="137">
        <f t="shared" si="22"/>
        <v>0</v>
      </c>
      <c r="AD235" s="137">
        <f t="shared" si="22"/>
        <v>0</v>
      </c>
      <c r="AE235" s="137">
        <f t="shared" si="22"/>
        <v>0</v>
      </c>
      <c r="AF235" s="137">
        <f t="shared" si="22"/>
        <v>0</v>
      </c>
      <c r="AG235" s="146">
        <f t="shared" si="22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1988.2</v>
      </c>
      <c r="C244" s="162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18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2080/03/18)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2080/03/18)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3">B91</f>
        <v>1843.75</v>
      </c>
      <c r="U249" s="171">
        <f t="shared" si="23"/>
        <v>1787.75</v>
      </c>
      <c r="V249" s="171">
        <f t="shared" si="23"/>
        <v>1817.45</v>
      </c>
      <c r="W249" s="171">
        <f t="shared" si="23"/>
        <v>1821.4</v>
      </c>
      <c r="X249" s="171">
        <f t="shared" si="23"/>
        <v>1826.4</v>
      </c>
      <c r="Y249" s="171">
        <f t="shared" si="23"/>
        <v>1821.4</v>
      </c>
      <c r="Z249" s="171">
        <f t="shared" si="23"/>
        <v>1862.3000000000002</v>
      </c>
      <c r="AA249" s="171">
        <f t="shared" si="23"/>
        <v>1857.6999999999998</v>
      </c>
      <c r="AB249" s="171">
        <f t="shared" si="23"/>
        <v>1865.7999999999997</v>
      </c>
      <c r="AC249" s="171">
        <f t="shared" si="23"/>
        <v>1929.7999999999997</v>
      </c>
      <c r="AD249" s="171">
        <f t="shared" si="23"/>
        <v>1934.7999999999997</v>
      </c>
      <c r="AE249" s="171">
        <f t="shared" si="23"/>
        <v>1933.7</v>
      </c>
      <c r="AF249" s="171">
        <f t="shared" si="23"/>
        <v>1988.2</v>
      </c>
      <c r="AG249" s="171">
        <f t="shared" si="23"/>
        <v>1971.8</v>
      </c>
      <c r="AH249" s="171">
        <f t="shared" si="23"/>
        <v>1983.2400000000002</v>
      </c>
      <c r="AI249" s="171">
        <f t="shared" si="23"/>
        <v>1954.54</v>
      </c>
      <c r="AJ249" s="171">
        <f t="shared" si="23"/>
        <v>1973.04</v>
      </c>
      <c r="AK249" s="171">
        <f t="shared" si="23"/>
        <v>1948.6399999999999</v>
      </c>
      <c r="AL249" s="171">
        <f t="shared" si="23"/>
        <v>1925.14</v>
      </c>
      <c r="AM249" s="171">
        <f t="shared" si="23"/>
        <v>1923.7399999999998</v>
      </c>
      <c r="AN249" s="171">
        <f t="shared" si="23"/>
        <v>1932.34</v>
      </c>
      <c r="AO249" s="171">
        <f t="shared" si="23"/>
        <v>1881.94</v>
      </c>
      <c r="AP249" s="171">
        <f t="shared" si="23"/>
        <v>2113.04</v>
      </c>
      <c r="AQ249" s="171">
        <f t="shared" si="23"/>
        <v>1962.84</v>
      </c>
      <c r="AR249" s="171">
        <f t="shared" si="23"/>
        <v>2037.94</v>
      </c>
      <c r="AS249" s="171">
        <f t="shared" si="23"/>
        <v>2036.5400000000002</v>
      </c>
      <c r="AT249" s="171">
        <f t="shared" si="23"/>
        <v>2009.0400000000002</v>
      </c>
      <c r="AU249" s="171">
        <f t="shared" si="23"/>
        <v>2005.64</v>
      </c>
      <c r="AV249" s="171">
        <f t="shared" si="23"/>
        <v>1916.3400000000001</v>
      </c>
      <c r="AW249" s="171">
        <f t="shared" si="23"/>
        <v>1895.14</v>
      </c>
      <c r="AX249" s="171">
        <f t="shared" si="23"/>
        <v>1857.64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24">C234</f>
        <v>0.64</v>
      </c>
      <c r="C270" s="174">
        <f t="shared" si="24"/>
        <v>0.64</v>
      </c>
      <c r="D270" s="174">
        <f t="shared" si="24"/>
        <v>0.64</v>
      </c>
      <c r="E270" s="174">
        <f t="shared" si="24"/>
        <v>0.64</v>
      </c>
      <c r="F270" s="174">
        <f t="shared" si="24"/>
        <v>0.64</v>
      </c>
      <c r="G270" s="174">
        <f t="shared" si="24"/>
        <v>0.64</v>
      </c>
      <c r="H270" s="174">
        <f t="shared" si="24"/>
        <v>0.64</v>
      </c>
      <c r="I270" s="174">
        <f t="shared" si="24"/>
        <v>0.64</v>
      </c>
      <c r="J270" s="174">
        <f t="shared" si="24"/>
        <v>0.64</v>
      </c>
      <c r="K270" s="174">
        <f t="shared" si="24"/>
        <v>0.64</v>
      </c>
      <c r="L270" s="174">
        <f t="shared" si="24"/>
        <v>0.64</v>
      </c>
      <c r="M270" s="174">
        <f t="shared" si="24"/>
        <v>0.64</v>
      </c>
      <c r="N270" s="174">
        <f t="shared" si="24"/>
        <v>0.64</v>
      </c>
      <c r="O270" s="174">
        <f t="shared" si="24"/>
        <v>0.64</v>
      </c>
      <c r="P270" s="174">
        <f t="shared" si="24"/>
        <v>0</v>
      </c>
      <c r="Q270" s="174">
        <f t="shared" si="24"/>
        <v>0</v>
      </c>
      <c r="R270" s="174">
        <f t="shared" si="24"/>
        <v>0</v>
      </c>
      <c r="S270" s="174">
        <f t="shared" si="24"/>
        <v>0</v>
      </c>
      <c r="T270" s="174">
        <f t="shared" si="24"/>
        <v>0</v>
      </c>
      <c r="U270" s="174">
        <f t="shared" si="24"/>
        <v>0</v>
      </c>
      <c r="V270" s="174">
        <f t="shared" si="24"/>
        <v>0</v>
      </c>
      <c r="W270" s="174">
        <f t="shared" si="24"/>
        <v>0</v>
      </c>
      <c r="X270" s="174">
        <f t="shared" si="24"/>
        <v>0</v>
      </c>
      <c r="Y270" s="174">
        <f t="shared" si="24"/>
        <v>0</v>
      </c>
      <c r="Z270" s="174">
        <f t="shared" si="24"/>
        <v>0</v>
      </c>
      <c r="AA270" s="174">
        <f t="shared" si="24"/>
        <v>0</v>
      </c>
      <c r="AB270" s="174">
        <f t="shared" si="24"/>
        <v>0</v>
      </c>
      <c r="AC270" s="174">
        <f t="shared" si="24"/>
        <v>0</v>
      </c>
      <c r="AD270" s="174">
        <f t="shared" si="24"/>
        <v>0</v>
      </c>
      <c r="AE270" s="174">
        <f t="shared" si="24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25">IF(B238&lt;100,"",B238-520)</f>
        <v/>
      </c>
      <c r="C271" s="175" t="str">
        <f t="shared" si="25"/>
        <v/>
      </c>
      <c r="D271" s="175" t="str">
        <f t="shared" si="25"/>
        <v/>
      </c>
      <c r="E271" s="175" t="str">
        <f t="shared" si="25"/>
        <v/>
      </c>
      <c r="F271" s="175" t="str">
        <f t="shared" si="25"/>
        <v/>
      </c>
      <c r="G271" s="175" t="str">
        <f t="shared" si="25"/>
        <v/>
      </c>
      <c r="H271" s="175" t="str">
        <f t="shared" si="25"/>
        <v/>
      </c>
      <c r="I271" s="175" t="str">
        <f t="shared" si="25"/>
        <v/>
      </c>
      <c r="J271" s="175" t="str">
        <f t="shared" si="25"/>
        <v/>
      </c>
      <c r="K271" s="175" t="str">
        <f t="shared" si="25"/>
        <v/>
      </c>
      <c r="L271" s="175" t="str">
        <f t="shared" si="25"/>
        <v/>
      </c>
      <c r="M271" s="175" t="str">
        <f t="shared" si="25"/>
        <v/>
      </c>
      <c r="N271" s="175" t="str">
        <f t="shared" si="25"/>
        <v/>
      </c>
      <c r="O271" s="175" t="str">
        <f t="shared" si="25"/>
        <v/>
      </c>
      <c r="P271" s="175" t="str">
        <f t="shared" si="25"/>
        <v/>
      </c>
      <c r="Q271" s="175" t="str">
        <f t="shared" si="25"/>
        <v/>
      </c>
      <c r="R271" s="175" t="str">
        <f t="shared" si="25"/>
        <v/>
      </c>
      <c r="S271" s="175" t="str">
        <f t="shared" si="25"/>
        <v/>
      </c>
      <c r="T271" s="175" t="str">
        <f t="shared" si="25"/>
        <v/>
      </c>
      <c r="U271" s="175" t="str">
        <f t="shared" si="25"/>
        <v/>
      </c>
      <c r="V271" s="175" t="str">
        <f t="shared" si="25"/>
        <v/>
      </c>
      <c r="W271" s="175" t="str">
        <f t="shared" si="25"/>
        <v/>
      </c>
      <c r="X271" s="175" t="str">
        <f t="shared" si="25"/>
        <v/>
      </c>
      <c r="Y271" s="175" t="str">
        <f t="shared" si="25"/>
        <v/>
      </c>
      <c r="Z271" s="175" t="str">
        <f t="shared" si="25"/>
        <v/>
      </c>
      <c r="AA271" s="175" t="str">
        <f t="shared" si="25"/>
        <v/>
      </c>
      <c r="AB271" s="175" t="str">
        <f t="shared" si="25"/>
        <v/>
      </c>
      <c r="AC271" s="175" t="str">
        <f t="shared" si="25"/>
        <v/>
      </c>
      <c r="AD271" s="175" t="str">
        <f t="shared" si="25"/>
        <v/>
      </c>
      <c r="AE271" s="175" t="str">
        <f t="shared" si="25"/>
        <v/>
      </c>
      <c r="AF271" s="175" t="str">
        <f t="shared" si="25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26">IF(B239&lt;100,"",B239-620)</f>
        <v/>
      </c>
      <c r="C272" s="175" t="str">
        <f t="shared" si="26"/>
        <v/>
      </c>
      <c r="D272" s="175" t="str">
        <f t="shared" si="26"/>
        <v/>
      </c>
      <c r="E272" s="175" t="str">
        <f t="shared" si="26"/>
        <v/>
      </c>
      <c r="F272" s="175" t="str">
        <f t="shared" si="26"/>
        <v/>
      </c>
      <c r="G272" s="175" t="str">
        <f t="shared" si="26"/>
        <v/>
      </c>
      <c r="H272" s="175" t="str">
        <f t="shared" si="26"/>
        <v/>
      </c>
      <c r="I272" s="175" t="str">
        <f t="shared" si="26"/>
        <v/>
      </c>
      <c r="J272" s="175" t="str">
        <f t="shared" si="26"/>
        <v/>
      </c>
      <c r="K272" s="175" t="str">
        <f t="shared" si="26"/>
        <v/>
      </c>
      <c r="L272" s="175" t="str">
        <f t="shared" si="26"/>
        <v/>
      </c>
      <c r="M272" s="175" t="str">
        <f t="shared" si="26"/>
        <v/>
      </c>
      <c r="N272" s="175" t="str">
        <f t="shared" si="26"/>
        <v/>
      </c>
      <c r="O272" s="175" t="str">
        <f t="shared" si="26"/>
        <v/>
      </c>
      <c r="P272" s="175" t="str">
        <f t="shared" si="26"/>
        <v/>
      </c>
      <c r="Q272" s="175" t="str">
        <f t="shared" si="26"/>
        <v/>
      </c>
      <c r="R272" s="175" t="str">
        <f t="shared" si="26"/>
        <v/>
      </c>
      <c r="S272" s="175" t="str">
        <f t="shared" si="26"/>
        <v/>
      </c>
      <c r="T272" s="175" t="str">
        <f t="shared" si="26"/>
        <v/>
      </c>
      <c r="U272" s="175" t="str">
        <f t="shared" si="26"/>
        <v/>
      </c>
      <c r="V272" s="175" t="str">
        <f t="shared" si="26"/>
        <v/>
      </c>
      <c r="W272" s="175" t="str">
        <f t="shared" si="26"/>
        <v/>
      </c>
      <c r="X272" s="175" t="str">
        <f t="shared" si="26"/>
        <v/>
      </c>
      <c r="Y272" s="175" t="str">
        <f t="shared" si="26"/>
        <v/>
      </c>
      <c r="Z272" s="175" t="str">
        <f t="shared" si="26"/>
        <v/>
      </c>
      <c r="AA272" s="175" t="str">
        <f t="shared" si="26"/>
        <v/>
      </c>
      <c r="AB272" s="175" t="str">
        <f t="shared" si="26"/>
        <v/>
      </c>
      <c r="AC272" s="175" t="str">
        <f t="shared" si="26"/>
        <v/>
      </c>
      <c r="AD272" s="175" t="str">
        <f t="shared" si="26"/>
        <v/>
      </c>
      <c r="AE272" s="175" t="str">
        <f t="shared" si="26"/>
        <v/>
      </c>
      <c r="AF272" s="175" t="str">
        <f t="shared" si="26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27">IF(B240&lt;100,"",B240-330)</f>
        <v/>
      </c>
      <c r="C273" s="175" t="str">
        <f t="shared" si="27"/>
        <v/>
      </c>
      <c r="D273" s="175" t="str">
        <f t="shared" si="27"/>
        <v/>
      </c>
      <c r="E273" s="175" t="str">
        <f t="shared" si="27"/>
        <v/>
      </c>
      <c r="F273" s="175" t="str">
        <f t="shared" si="27"/>
        <v/>
      </c>
      <c r="G273" s="175" t="str">
        <f t="shared" si="27"/>
        <v/>
      </c>
      <c r="H273" s="175" t="str">
        <f t="shared" si="27"/>
        <v/>
      </c>
      <c r="I273" s="175" t="str">
        <f t="shared" si="27"/>
        <v/>
      </c>
      <c r="J273" s="175" t="str">
        <f t="shared" si="27"/>
        <v/>
      </c>
      <c r="K273" s="175" t="str">
        <f t="shared" si="27"/>
        <v/>
      </c>
      <c r="L273" s="175" t="str">
        <f t="shared" si="27"/>
        <v/>
      </c>
      <c r="M273" s="175" t="str">
        <f t="shared" si="27"/>
        <v/>
      </c>
      <c r="N273" s="175" t="str">
        <f t="shared" si="27"/>
        <v/>
      </c>
      <c r="O273" s="175" t="str">
        <f t="shared" si="27"/>
        <v/>
      </c>
      <c r="P273" s="175" t="str">
        <f t="shared" si="27"/>
        <v/>
      </c>
      <c r="Q273" s="175" t="str">
        <f t="shared" si="27"/>
        <v/>
      </c>
      <c r="R273" s="175" t="str">
        <f t="shared" si="27"/>
        <v/>
      </c>
      <c r="S273" s="175" t="str">
        <f t="shared" si="27"/>
        <v/>
      </c>
      <c r="T273" s="175" t="str">
        <f t="shared" si="27"/>
        <v/>
      </c>
      <c r="U273" s="175" t="str">
        <f t="shared" si="27"/>
        <v/>
      </c>
      <c r="V273" s="175" t="str">
        <f t="shared" si="27"/>
        <v/>
      </c>
      <c r="W273" s="175" t="str">
        <f t="shared" si="27"/>
        <v/>
      </c>
      <c r="X273" s="175" t="str">
        <f t="shared" si="27"/>
        <v/>
      </c>
      <c r="Y273" s="175" t="str">
        <f t="shared" si="27"/>
        <v/>
      </c>
      <c r="Z273" s="175" t="str">
        <f t="shared" si="27"/>
        <v/>
      </c>
      <c r="AA273" s="175" t="str">
        <f t="shared" si="27"/>
        <v/>
      </c>
      <c r="AB273" s="175" t="str">
        <f t="shared" si="27"/>
        <v/>
      </c>
      <c r="AC273" s="175" t="str">
        <f t="shared" si="27"/>
        <v/>
      </c>
      <c r="AD273" s="175" t="str">
        <f t="shared" si="27"/>
        <v/>
      </c>
      <c r="AE273" s="175" t="str">
        <f t="shared" si="27"/>
        <v/>
      </c>
      <c r="AF273" s="175" t="str">
        <f t="shared" si="27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28">IF(B241&lt;100,"",B241-1500)</f>
        <v/>
      </c>
      <c r="C274" s="175" t="str">
        <f t="shared" si="28"/>
        <v/>
      </c>
      <c r="D274" s="175" t="str">
        <f t="shared" si="28"/>
        <v/>
      </c>
      <c r="E274" s="175" t="str">
        <f t="shared" si="28"/>
        <v/>
      </c>
      <c r="F274" s="175" t="str">
        <f t="shared" si="28"/>
        <v/>
      </c>
      <c r="G274" s="175" t="str">
        <f t="shared" si="28"/>
        <v/>
      </c>
      <c r="H274" s="175" t="str">
        <f t="shared" si="28"/>
        <v/>
      </c>
      <c r="I274" s="175" t="str">
        <f t="shared" si="28"/>
        <v/>
      </c>
      <c r="J274" s="175" t="str">
        <f t="shared" si="28"/>
        <v/>
      </c>
      <c r="K274" s="175" t="str">
        <f t="shared" si="28"/>
        <v/>
      </c>
      <c r="L274" s="175" t="str">
        <f t="shared" si="28"/>
        <v/>
      </c>
      <c r="M274" s="175" t="str">
        <f t="shared" si="28"/>
        <v/>
      </c>
      <c r="N274" s="175" t="str">
        <f t="shared" si="28"/>
        <v/>
      </c>
      <c r="O274" s="175" t="str">
        <f t="shared" si="28"/>
        <v/>
      </c>
      <c r="P274" s="175" t="str">
        <f t="shared" si="28"/>
        <v/>
      </c>
      <c r="Q274" s="175" t="str">
        <f t="shared" si="28"/>
        <v/>
      </c>
      <c r="R274" s="175" t="str">
        <f t="shared" si="28"/>
        <v/>
      </c>
      <c r="S274" s="175" t="str">
        <f t="shared" si="28"/>
        <v/>
      </c>
      <c r="T274" s="175" t="str">
        <f t="shared" si="28"/>
        <v/>
      </c>
      <c r="U274" s="175" t="str">
        <f t="shared" si="28"/>
        <v/>
      </c>
      <c r="V274" s="175" t="str">
        <f t="shared" si="28"/>
        <v/>
      </c>
      <c r="W274" s="175" t="str">
        <f t="shared" si="28"/>
        <v/>
      </c>
      <c r="X274" s="175" t="str">
        <f t="shared" si="28"/>
        <v/>
      </c>
      <c r="Y274" s="175" t="str">
        <f t="shared" si="28"/>
        <v/>
      </c>
      <c r="Z274" s="175" t="str">
        <f t="shared" si="28"/>
        <v/>
      </c>
      <c r="AA274" s="175" t="str">
        <f t="shared" si="28"/>
        <v/>
      </c>
      <c r="AB274" s="175" t="str">
        <f t="shared" si="28"/>
        <v/>
      </c>
      <c r="AC274" s="175" t="str">
        <f t="shared" si="28"/>
        <v/>
      </c>
      <c r="AD274" s="175" t="str">
        <f t="shared" si="28"/>
        <v/>
      </c>
      <c r="AE274" s="175" t="str">
        <f t="shared" si="28"/>
        <v/>
      </c>
      <c r="AF274" s="175" t="str">
        <f t="shared" si="28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phoneticPr fontId="34" type="noConversion"/>
  <conditionalFormatting sqref="A11:A236">
    <cfRule type="expression" dxfId="767" priority="179">
      <formula>$AH11=0</formula>
    </cfRule>
  </conditionalFormatting>
  <conditionalFormatting sqref="B8 M8 S8 AB8">
    <cfRule type="expression" dxfId="766" priority="431">
      <formula>AND(C$9&gt;=14/24,C$9&lt;20/24)</formula>
    </cfRule>
    <cfRule type="expression" dxfId="765" priority="433">
      <formula>C$9&lt;8/24</formula>
    </cfRule>
    <cfRule type="expression" dxfId="764" priority="432">
      <formula>AND(C$9&gt;=8/24,C$9&lt;14/24)</formula>
    </cfRule>
  </conditionalFormatting>
  <conditionalFormatting sqref="B55:D59">
    <cfRule type="expression" dxfId="763" priority="150">
      <formula>B$9&gt;=20/24</formula>
    </cfRule>
    <cfRule type="expression" dxfId="762" priority="151">
      <formula>AND(B$9&gt;=14/24,B$9&lt;20/24)</formula>
    </cfRule>
    <cfRule type="expression" dxfId="761" priority="152">
      <formula>AND(B$9&gt;=8/24,B$9&lt;14/24)</formula>
    </cfRule>
    <cfRule type="expression" dxfId="760" priority="153">
      <formula>B$9&lt;8/24</formula>
    </cfRule>
  </conditionalFormatting>
  <conditionalFormatting sqref="B18:U33">
    <cfRule type="expression" dxfId="759" priority="68">
      <formula>B$9&lt;8/24</formula>
    </cfRule>
    <cfRule type="expression" dxfId="758" priority="64">
      <formula>B18&gt;$AG18</formula>
    </cfRule>
    <cfRule type="expression" dxfId="757" priority="66">
      <formula>AND(B$9&gt;=14/24,B$9&lt;20/24)</formula>
    </cfRule>
    <cfRule type="expression" dxfId="756" priority="65">
      <formula>B$9&gt;=20/24</formula>
    </cfRule>
    <cfRule type="expression" dxfId="755" priority="67">
      <formula>AND(B$9&gt;=8/24,B$9&lt;14/24)</formula>
    </cfRule>
  </conditionalFormatting>
  <conditionalFormatting sqref="B35:Z45">
    <cfRule type="expression" dxfId="754" priority="60">
      <formula>B$9&gt;=20/24</formula>
    </cfRule>
    <cfRule type="expression" dxfId="753" priority="61">
      <formula>AND(B$9&gt;=14/24,B$9&lt;20/24)</formula>
    </cfRule>
    <cfRule type="expression" dxfId="752" priority="62">
      <formula>AND(B$9&gt;=8/24,B$9&lt;14/24)</formula>
    </cfRule>
    <cfRule type="expression" dxfId="751" priority="63">
      <formula>B$9&lt;8/24</formula>
    </cfRule>
  </conditionalFormatting>
  <conditionalFormatting sqref="B35:Z47">
    <cfRule type="expression" dxfId="750" priority="58">
      <formula>B35&gt;$AG35</formula>
    </cfRule>
  </conditionalFormatting>
  <conditionalFormatting sqref="B60:Z66">
    <cfRule type="expression" dxfId="749" priority="91">
      <formula>B$9&gt;=20/24</formula>
    </cfRule>
    <cfRule type="expression" dxfId="748" priority="94">
      <formula>B$9&lt;8/24</formula>
    </cfRule>
    <cfRule type="expression" dxfId="747" priority="93">
      <formula>AND(B$9&gt;=8/24,B$9&lt;14/24)</formula>
    </cfRule>
    <cfRule type="expression" dxfId="746" priority="92">
      <formula>AND(B$9&gt;=14/24,B$9&lt;20/24)</formula>
    </cfRule>
  </conditionalFormatting>
  <conditionalFormatting sqref="B73:AE73">
    <cfRule type="expression" dxfId="745" priority="36">
      <formula>B$9&gt;=20/24</formula>
    </cfRule>
    <cfRule type="expression" dxfId="744" priority="37">
      <formula>AND(B$9&gt;=14/24,B$9&lt;20/24)</formula>
    </cfRule>
    <cfRule type="expression" dxfId="743" priority="38">
      <formula>AND(B$9&gt;=8/24,B$9&lt;14/24)</formula>
    </cfRule>
  </conditionalFormatting>
  <conditionalFormatting sqref="B9:AF17">
    <cfRule type="expression" dxfId="742" priority="71">
      <formula>AND(B$9&gt;=14/24,B$9&lt;20/24)</formula>
    </cfRule>
    <cfRule type="expression" dxfId="741" priority="73">
      <formula>B$9&lt;8/24</formula>
    </cfRule>
    <cfRule type="expression" dxfId="740" priority="72">
      <formula>AND(B$9&gt;=8/24,B$9&lt;14/24)</formula>
    </cfRule>
    <cfRule type="expression" dxfId="739" priority="70">
      <formula>B$9&gt;=20/24</formula>
    </cfRule>
  </conditionalFormatting>
  <conditionalFormatting sqref="B11:AF17">
    <cfRule type="expression" dxfId="738" priority="69">
      <formula>B11&gt;$AG11</formula>
    </cfRule>
  </conditionalFormatting>
  <conditionalFormatting sqref="B46:AF49">
    <cfRule type="expression" dxfId="737" priority="54">
      <formula>B$9&gt;=20/24</formula>
    </cfRule>
    <cfRule type="expression" dxfId="736" priority="57">
      <formula>B$9&lt;8/24</formula>
    </cfRule>
    <cfRule type="expression" dxfId="735" priority="56">
      <formula>AND(B$9&gt;=8/24,B$9&lt;14/24)</formula>
    </cfRule>
    <cfRule type="expression" dxfId="734" priority="55">
      <formula>AND(B$9&gt;=14/24,B$9&lt;20/24)</formula>
    </cfRule>
  </conditionalFormatting>
  <conditionalFormatting sqref="B48:AF53">
    <cfRule type="expression" dxfId="733" priority="7">
      <formula>B48&gt;$AG48</formula>
    </cfRule>
  </conditionalFormatting>
  <conditionalFormatting sqref="B51:AF53">
    <cfRule type="expression" dxfId="732" priority="10">
      <formula>AND(B$9&gt;=8/24,B$9&lt;14/24)</formula>
    </cfRule>
    <cfRule type="expression" dxfId="731" priority="8">
      <formula>B$9&gt;=20/24</formula>
    </cfRule>
    <cfRule type="expression" dxfId="730" priority="9">
      <formula>AND(B$9&gt;=14/24,B$9&lt;20/24)</formula>
    </cfRule>
    <cfRule type="expression" dxfId="729" priority="11">
      <formula>B$9&lt;8/24</formula>
    </cfRule>
  </conditionalFormatting>
  <conditionalFormatting sqref="B55:AF66">
    <cfRule type="expression" dxfId="728" priority="1">
      <formula>B55&gt;$AG55</formula>
    </cfRule>
  </conditionalFormatting>
  <conditionalFormatting sqref="B69:AF71 B73:D83">
    <cfRule type="expression" dxfId="727" priority="148">
      <formula>B$9&lt;8/24</formula>
    </cfRule>
  </conditionalFormatting>
  <conditionalFormatting sqref="B69:AF71 B74:D83">
    <cfRule type="expression" dxfId="726" priority="147">
      <formula>AND(B$9&gt;=8/24,B$9&lt;14/24)</formula>
    </cfRule>
    <cfRule type="expression" dxfId="725" priority="146">
      <formula>AND(B$9&gt;=14/24,B$9&lt;20/24)</formula>
    </cfRule>
    <cfRule type="expression" dxfId="724" priority="145">
      <formula>B$9&gt;=20/24</formula>
    </cfRule>
  </conditionalFormatting>
  <conditionalFormatting sqref="B69:AF71">
    <cfRule type="expression" dxfId="723" priority="144">
      <formula>B69&gt;$AG69</formula>
    </cfRule>
  </conditionalFormatting>
  <conditionalFormatting sqref="B84:AF91">
    <cfRule type="expression" dxfId="722" priority="100">
      <formula>B$9&gt;=20/24</formula>
    </cfRule>
    <cfRule type="expression" dxfId="721" priority="103">
      <formula>B$9&lt;8/24</formula>
    </cfRule>
    <cfRule type="expression" dxfId="720" priority="102">
      <formula>AND(B$9&gt;=8/24,B$9&lt;14/24)</formula>
    </cfRule>
    <cfRule type="expression" dxfId="719" priority="101">
      <formula>AND(B$9&gt;=14/24,B$9&lt;20/24)</formula>
    </cfRule>
  </conditionalFormatting>
  <conditionalFormatting sqref="B111:AF120">
    <cfRule type="expression" dxfId="718" priority="50">
      <formula>B$9&gt;=20/24</formula>
    </cfRule>
    <cfRule type="expression" dxfId="717" priority="53">
      <formula>B$9&lt;8/24</formula>
    </cfRule>
    <cfRule type="expression" dxfId="716" priority="52">
      <formula>AND(B$9&gt;=8/24,B$9&lt;14/24)</formula>
    </cfRule>
    <cfRule type="expression" dxfId="715" priority="51">
      <formula>AND(B$9&gt;=14/24,B$9&lt;20/24)</formula>
    </cfRule>
  </conditionalFormatting>
  <conditionalFormatting sqref="B227:AF227 D229:AF230 B229:B235 D231:H231 J231:AF231 D232:AF235 U248:AF248">
    <cfRule type="expression" dxfId="714" priority="425">
      <formula>AND(B$9&gt;=14/24,B$9&lt;20/24)</formula>
    </cfRule>
    <cfRule type="expression" dxfId="713" priority="427">
      <formula>B$9&lt;8/24</formula>
    </cfRule>
    <cfRule type="expression" dxfId="712" priority="426">
      <formula>AND(B$9&gt;=8/24,B$9&lt;14/24)</formula>
    </cfRule>
    <cfRule type="expression" dxfId="711" priority="424">
      <formula>B$9&gt;=20/24</formula>
    </cfRule>
  </conditionalFormatting>
  <conditionalFormatting sqref="B54:AG54">
    <cfRule type="expression" dxfId="710" priority="99">
      <formula>B$9&lt;8/24</formula>
    </cfRule>
    <cfRule type="expression" dxfId="709" priority="95">
      <formula>B54&gt;$AG54</formula>
    </cfRule>
    <cfRule type="expression" dxfId="708" priority="96">
      <formula>B$9&gt;=20/24</formula>
    </cfRule>
    <cfRule type="expression" dxfId="707" priority="97">
      <formula>AND(B$9&gt;=14/24,B$9&lt;20/24)</formula>
    </cfRule>
    <cfRule type="expression" dxfId="706" priority="98">
      <formula>AND(B$9&gt;=8/24,B$9&lt;14/24)</formula>
    </cfRule>
  </conditionalFormatting>
  <conditionalFormatting sqref="B67:AG68 B72:AG72">
    <cfRule type="expression" dxfId="705" priority="104">
      <formula>B67&gt;$AG67</formula>
    </cfRule>
  </conditionalFormatting>
  <conditionalFormatting sqref="B72:AG72 B93:AF109">
    <cfRule type="expression" dxfId="704" priority="105">
      <formula>B$9&gt;=20/24</formula>
    </cfRule>
    <cfRule type="expression" dxfId="703" priority="107">
      <formula>AND(B$9&gt;=8/24,B$9&lt;14/24)</formula>
    </cfRule>
    <cfRule type="expression" dxfId="702" priority="106">
      <formula>AND(B$9&gt;=14/24,B$9&lt;20/24)</formula>
    </cfRule>
    <cfRule type="expression" dxfId="701" priority="108">
      <formula>B$9&lt;8/24</formula>
    </cfRule>
  </conditionalFormatting>
  <conditionalFormatting sqref="E55:Z57">
    <cfRule type="expression" dxfId="700" priority="3">
      <formula>E$9&gt;=20/24</formula>
    </cfRule>
    <cfRule type="expression" dxfId="699" priority="6">
      <formula>E$9&lt;8/24</formula>
    </cfRule>
    <cfRule type="expression" dxfId="698" priority="5">
      <formula>AND(E$9&gt;=8/24,E$9&lt;14/24)</formula>
    </cfRule>
    <cfRule type="expression" dxfId="697" priority="4">
      <formula>AND(E$9&gt;=14/24,E$9&lt;20/24)</formula>
    </cfRule>
  </conditionalFormatting>
  <conditionalFormatting sqref="E79:AD83">
    <cfRule type="expression" dxfId="696" priority="252">
      <formula>E$9&gt;=20/24</formula>
    </cfRule>
    <cfRule type="expression" dxfId="695" priority="253">
      <formula>AND(E$9&gt;=14/24,E$9&lt;20/24)</formula>
    </cfRule>
    <cfRule type="expression" dxfId="694" priority="254">
      <formula>AND(E$9&gt;=8/24,E$9&lt;14/24)</formula>
    </cfRule>
    <cfRule type="expression" dxfId="693" priority="255">
      <formula>E$9&lt;8/24</formula>
    </cfRule>
  </conditionalFormatting>
  <conditionalFormatting sqref="E73:AE73">
    <cfRule type="expression" dxfId="692" priority="39">
      <formula>E$9&lt;8/24</formula>
    </cfRule>
  </conditionalFormatting>
  <conditionalFormatting sqref="O3:P3">
    <cfRule type="iconSet" priority="42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691" priority="430">
      <formula>C$9&gt;=20/24</formula>
    </cfRule>
  </conditionalFormatting>
  <conditionalFormatting sqref="S8">
    <cfRule type="expression" dxfId="690" priority="403">
      <formula>U$9&gt;=20/24</formula>
    </cfRule>
    <cfRule type="expression" dxfId="689" priority="404">
      <formula>AND(U$9&gt;=14/24,U$9&lt;20/24)</formula>
    </cfRule>
    <cfRule type="expression" dxfId="688" priority="405">
      <formula>AND(U$9&gt;=8/24,U$9&lt;14/24)</formula>
    </cfRule>
    <cfRule type="expression" dxfId="687" priority="406">
      <formula>U$9&lt;8/24</formula>
    </cfRule>
  </conditionalFormatting>
  <conditionalFormatting sqref="T248">
    <cfRule type="expression" dxfId="686" priority="446">
      <formula>AX$9&lt;8/24</formula>
    </cfRule>
    <cfRule type="expression" dxfId="685" priority="445">
      <formula>AND(AX$9&gt;=8/24,AX$9&lt;14/24)</formula>
    </cfRule>
    <cfRule type="expression" dxfId="684" priority="444">
      <formula>AND(AX$9&gt;=14/24,AX$9&lt;20/24)</formula>
    </cfRule>
    <cfRule type="expression" dxfId="683" priority="443">
      <formula>AX$9&gt;=20/24</formula>
    </cfRule>
  </conditionalFormatting>
  <conditionalFormatting sqref="V3 AB3">
    <cfRule type="iconSet" priority="429">
      <iconSet iconSet="3TrafficLights2" reverse="1">
        <cfvo type="percent" val="0"/>
        <cfvo type="num" val="1"/>
        <cfvo type="num" val="1"/>
      </iconSet>
    </cfRule>
  </conditionalFormatting>
  <conditionalFormatting sqref="V19:Z27 AA19:AF45 V28:X33 Y28:Z34 B34:X34">
    <cfRule type="expression" dxfId="682" priority="117">
      <formula>B$9&lt;8/24</formula>
    </cfRule>
    <cfRule type="expression" dxfId="681" priority="116">
      <formula>AND(B$9&gt;=8/24,B$9&lt;14/24)</formula>
    </cfRule>
    <cfRule type="expression" dxfId="680" priority="115">
      <formula>AND(B$9&gt;=14/24,B$9&lt;20/24)</formula>
    </cfRule>
    <cfRule type="expression" dxfId="679" priority="114">
      <formula>B$9&gt;=20/24</formula>
    </cfRule>
  </conditionalFormatting>
  <conditionalFormatting sqref="V18:AF18">
    <cfRule type="expression" dxfId="678" priority="190">
      <formula>AND(V$9&gt;=14/24,V$9&lt;20/24)</formula>
    </cfRule>
    <cfRule type="expression" dxfId="677" priority="191">
      <formula>AND(V$9&gt;=8/24,V$9&lt;14/24)</formula>
    </cfRule>
    <cfRule type="expression" dxfId="676" priority="192">
      <formula>V$9&lt;8/24</formula>
    </cfRule>
    <cfRule type="expression" dxfId="675" priority="188">
      <formula>V18&gt;$AG18</formula>
    </cfRule>
    <cfRule type="expression" dxfId="674" priority="189">
      <formula>V$9&gt;=20/24</formula>
    </cfRule>
  </conditionalFormatting>
  <conditionalFormatting sqref="AA19:AF47 V19:Z27 V28:X33 Y28:Z34 B34:X34">
    <cfRule type="expression" dxfId="673" priority="113">
      <formula>B19&gt;$AG19</formula>
    </cfRule>
  </conditionalFormatting>
  <conditionalFormatting sqref="AA55:AF66">
    <cfRule type="expression" dxfId="672" priority="267">
      <formula>AA$9&gt;=20/24</formula>
    </cfRule>
    <cfRule type="expression" dxfId="671" priority="268">
      <formula>AND(AA$9&gt;=14/24,AA$9&lt;20/24)</formula>
    </cfRule>
    <cfRule type="expression" dxfId="670" priority="269">
      <formula>AND(AA$9&gt;=8/24,AA$9&lt;14/24)</formula>
    </cfRule>
    <cfRule type="expression" dxfId="669" priority="270">
      <formula>AA$9&lt;8/24</formula>
    </cfRule>
  </conditionalFormatting>
  <conditionalFormatting sqref="AB8">
    <cfRule type="expression" dxfId="668" priority="399">
      <formula>AD$9&gt;=20/24</formula>
    </cfRule>
    <cfRule type="expression" dxfId="667" priority="400">
      <formula>AND(AD$9&gt;=14/24,AD$9&lt;20/24)</formula>
    </cfRule>
    <cfRule type="expression" dxfId="666" priority="402">
      <formula>AD$9&lt;8/24</formula>
    </cfRule>
    <cfRule type="expression" dxfId="665" priority="401">
      <formula>AND(AD$9&gt;=8/24,AD$9&lt;14/24)</formula>
    </cfRule>
  </conditionalFormatting>
  <conditionalFormatting sqref="AC76 E76:AB78 AC77:AD78">
    <cfRule type="expression" dxfId="664" priority="297">
      <formula>E$9&lt;8/24</formula>
    </cfRule>
    <cfRule type="expression" dxfId="663" priority="294">
      <formula>E$9&gt;=20/24</formula>
    </cfRule>
    <cfRule type="expression" dxfId="662" priority="295">
      <formula>AND(E$9&gt;=14/24,E$9&lt;20/24)</formula>
    </cfRule>
    <cfRule type="expression" dxfId="661" priority="296">
      <formula>AND(E$9&gt;=8/24,E$9&lt;14/24)</formula>
    </cfRule>
  </conditionalFormatting>
  <conditionalFormatting sqref="AE74:AE75">
    <cfRule type="expression" dxfId="660" priority="35">
      <formula>AE$9&lt;8/24</formula>
    </cfRule>
    <cfRule type="expression" dxfId="659" priority="34">
      <formula>AND(AE$9&gt;=8/24,AE$9&lt;14/24)</formula>
    </cfRule>
    <cfRule type="expression" dxfId="658" priority="33">
      <formula>AND(AE$9&gt;=14/24,AE$9&lt;20/24)</formula>
    </cfRule>
    <cfRule type="expression" dxfId="657" priority="32">
      <formula>AE$9&gt;=20/24</formula>
    </cfRule>
  </conditionalFormatting>
  <conditionalFormatting sqref="AE76:AF83">
    <cfRule type="expression" dxfId="656" priority="26">
      <formula>AND(AE$9&gt;=8/24,AE$9&lt;14/24)</formula>
    </cfRule>
    <cfRule type="expression" dxfId="655" priority="27">
      <formula>AE$9&lt;8/24</formula>
    </cfRule>
    <cfRule type="expression" dxfId="654" priority="24">
      <formula>AE$9&gt;=20/24</formula>
    </cfRule>
    <cfRule type="expression" dxfId="653" priority="25">
      <formula>AND(AE$9&gt;=14/24,AE$9&lt;20/24)</formula>
    </cfRule>
  </conditionalFormatting>
  <conditionalFormatting sqref="AF73:AF75 E74:AC75 AD74:AD76">
    <cfRule type="expression" dxfId="652" priority="385">
      <formula>E$9&gt;=20/24</formula>
    </cfRule>
    <cfRule type="expression" dxfId="651" priority="387">
      <formula>AND(E$9&gt;=8/24,E$9&lt;14/24)</formula>
    </cfRule>
    <cfRule type="expression" dxfId="650" priority="386">
      <formula>AND(E$9&gt;=14/24,E$9&lt;20/24)</formula>
    </cfRule>
    <cfRule type="expression" dxfId="649" priority="388">
      <formula>E$9&lt;8/24</formula>
    </cfRule>
  </conditionalFormatting>
  <conditionalFormatting sqref="AG50">
    <cfRule type="expression" dxfId="648" priority="356">
      <formula>AG50&gt;$AG50</formula>
    </cfRule>
  </conditionalFormatting>
  <conditionalFormatting sqref="AG89">
    <cfRule type="expression" dxfId="647" priority="360">
      <formula>AG$9&lt;8/24</formula>
    </cfRule>
    <cfRule type="expression" dxfId="646" priority="359">
      <formula>AND(AG$9&gt;=8/24,AG$9&lt;14/24)</formula>
    </cfRule>
    <cfRule type="expression" dxfId="645" priority="358">
      <formula>AND(AG$9&gt;=14/24,AG$9&lt;20/24)</formula>
    </cfRule>
    <cfRule type="expression" dxfId="644" priority="357">
      <formula>AG$9&gt;=20/24</formula>
    </cfRule>
  </conditionalFormatting>
  <conditionalFormatting sqref="AG248">
    <cfRule type="expression" dxfId="643" priority="437">
      <formula>AND(B$9&gt;=8/24,B$9&lt;14/24)</formula>
    </cfRule>
    <cfRule type="expression" dxfId="642" priority="436">
      <formula>AND(B$9&gt;=14/24,B$9&lt;20/24)</formula>
    </cfRule>
    <cfRule type="expression" dxfId="641" priority="435">
      <formula>B$9&gt;=20/24</formula>
    </cfRule>
    <cfRule type="expression" dxfId="640" priority="438">
      <formula>B$9&lt;8/24</formula>
    </cfRule>
  </conditionalFormatting>
  <conditionalFormatting sqref="AH248:AX248">
    <cfRule type="expression" dxfId="639" priority="439">
      <formula>AG$9&gt;=20/24</formula>
    </cfRule>
    <cfRule type="expression" dxfId="638" priority="440">
      <formula>AND(AG$9&gt;=14/24,AG$9&lt;20/24)</formula>
    </cfRule>
    <cfRule type="expression" dxfId="637" priority="441">
      <formula>AND(AG$9&gt;=8/24,AG$9&lt;14/24)</formula>
    </cfRule>
    <cfRule type="expression" dxfId="636" priority="442">
      <formula>AG$9&lt;8/24</formula>
    </cfRule>
  </conditionalFormatting>
  <conditionalFormatting sqref="AL4:AL6">
    <cfRule type="iconSet" priority="423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94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87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320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3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419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407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47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635" priority="451">
      <formula>AJ$9&lt;8/24</formula>
    </cfRule>
    <cfRule type="expression" dxfId="634" priority="448">
      <formula>AJ$9&gt;=20/24</formula>
    </cfRule>
    <cfRule type="expression" dxfId="633" priority="449">
      <formula>AND(AJ$9&gt;=14/24,AJ$9&lt;20/24)</formula>
    </cfRule>
    <cfRule type="expression" dxfId="632" priority="450">
      <formula>AND(AJ$9&gt;=8/24,AJ$9&lt;14/24)</formula>
    </cfRule>
  </conditionalFormatting>
  <conditionalFormatting sqref="AL80:AN80 AL86:AN86">
    <cfRule type="expression" dxfId="631" priority="248">
      <formula>AL$9&gt;=20/24</formula>
    </cfRule>
    <cfRule type="expression" dxfId="630" priority="251">
      <formula>AL$9&lt;8/24</formula>
    </cfRule>
    <cfRule type="expression" dxfId="629" priority="249">
      <formula>AND(AL$9&gt;=14/24,AL$9&lt;20/24)</formula>
    </cfRule>
    <cfRule type="expression" dxfId="628" priority="250">
      <formula>AND(AL$9&gt;=8/24,AL$9&lt;14/24)</formula>
    </cfRule>
  </conditionalFormatting>
  <conditionalFormatting sqref="AN81:AN84">
    <cfRule type="expression" dxfId="627" priority="245">
      <formula>AND(AN$9&gt;=14/24,AN$9&lt;20/24)</formula>
    </cfRule>
    <cfRule type="expression" dxfId="626" priority="244">
      <formula>AN$9&gt;=20/24</formula>
    </cfRule>
    <cfRule type="expression" dxfId="625" priority="246">
      <formula>AND(AN$9&gt;=8/24,AN$9&lt;14/24)</formula>
    </cfRule>
    <cfRule type="expression" dxfId="624" priority="247">
      <formula>AN$9&lt;8/24</formula>
    </cfRule>
  </conditionalFormatting>
  <pageMargins left="0.7" right="0.7" top="0.75" bottom="0.75" header="0.3" footer="0.3"/>
  <pageSetup orientation="portrait" horizontalDpi="300" verticalDpi="30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D943-77DF-44F7-BD61-DF24B0B726F6}">
  <dimension ref="A1:CJ281"/>
  <sheetViews>
    <sheetView zoomScale="106" zoomScaleNormal="106" workbookViewId="0">
      <pane xSplit="1" ySplit="10" topLeftCell="O98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H11" sqref="AH11:AI12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7" style="1" customWidth="1"/>
    <col min="12" max="12" width="7.5703125" style="1" customWidth="1"/>
    <col min="13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2080/03/19</v>
      </c>
      <c r="C4" s="187"/>
      <c r="D4" s="187"/>
      <c r="E4" s="188" t="str">
        <f ca="1">"2079/"&amp;"12/"&amp;INT(MID(CELL("filename",G6),FIND("]",CELL("filename",G6))+1,200))</f>
        <v>2079/12/19</v>
      </c>
      <c r="F4" s="188"/>
      <c r="G4" s="188"/>
      <c r="H4" s="188" t="str">
        <f ca="1">TEXT(E4,"dddd")</f>
        <v>Tuesday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30</v>
      </c>
      <c r="C5" s="30">
        <f t="shared" si="0"/>
        <v>24</v>
      </c>
      <c r="D5" s="30">
        <f t="shared" si="0"/>
        <v>24</v>
      </c>
      <c r="E5" s="30">
        <f t="shared" si="0"/>
        <v>374</v>
      </c>
      <c r="F5" s="30">
        <f t="shared" si="0"/>
        <v>17</v>
      </c>
      <c r="G5" s="30">
        <f t="shared" si="0"/>
        <v>10</v>
      </c>
      <c r="H5" s="30">
        <f t="shared" si="0"/>
        <v>6</v>
      </c>
      <c r="I5" s="30">
        <f t="shared" si="0"/>
        <v>5.3</v>
      </c>
      <c r="J5" s="30">
        <f t="shared" si="0"/>
        <v>5.3</v>
      </c>
      <c r="K5" s="30">
        <f t="shared" si="0"/>
        <v>5.3</v>
      </c>
      <c r="L5" s="30">
        <f t="shared" si="0"/>
        <v>23</v>
      </c>
      <c r="M5" s="30">
        <f t="shared" si="0"/>
        <v>0</v>
      </c>
      <c r="N5" s="30">
        <f t="shared" si="0"/>
        <v>26.3</v>
      </c>
      <c r="O5" s="30">
        <f t="shared" si="0"/>
        <v>2.2999999999999998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6.3</v>
      </c>
      <c r="U5" s="30">
        <f t="shared" si="0"/>
        <v>0.9</v>
      </c>
      <c r="V5" s="30">
        <f t="shared" si="0"/>
        <v>6.3</v>
      </c>
      <c r="W5" s="30">
        <f t="shared" si="0"/>
        <v>7.1</v>
      </c>
      <c r="X5" s="30">
        <f t="shared" si="0"/>
        <v>25.7</v>
      </c>
      <c r="Y5" s="30">
        <f t="shared" si="0"/>
        <v>26.9</v>
      </c>
      <c r="Z5" s="30">
        <f t="shared" si="0"/>
        <v>30.1</v>
      </c>
      <c r="AA5" s="30">
        <f t="shared" si="0"/>
        <v>48.8</v>
      </c>
      <c r="AB5" s="30">
        <f t="shared" si="0"/>
        <v>19.5</v>
      </c>
      <c r="AC5" s="30">
        <f t="shared" si="0"/>
        <v>18.899999999999999</v>
      </c>
      <c r="AD5" s="30">
        <f t="shared" si="0"/>
        <v>42.8</v>
      </c>
      <c r="AE5" s="30">
        <f t="shared" si="0"/>
        <v>19.2</v>
      </c>
      <c r="AF5" s="30">
        <f>B84</f>
        <v>64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1873MW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Load=1711</v>
      </c>
      <c r="B7" s="35">
        <f t="shared" ref="B7:AF7" si="1">B91</f>
        <v>1857.64</v>
      </c>
      <c r="C7" s="35">
        <f t="shared" si="1"/>
        <v>1725.34</v>
      </c>
      <c r="D7" s="35">
        <f t="shared" si="1"/>
        <v>1711.04</v>
      </c>
      <c r="E7" s="35">
        <f t="shared" si="1"/>
        <v>1711.04</v>
      </c>
      <c r="F7" s="35">
        <f t="shared" si="1"/>
        <v>2065.04</v>
      </c>
      <c r="G7" s="35">
        <f t="shared" si="1"/>
        <v>1754.04</v>
      </c>
      <c r="H7" s="35">
        <f t="shared" si="1"/>
        <v>1746.6399999999999</v>
      </c>
      <c r="I7" s="35">
        <f t="shared" si="1"/>
        <v>1742.6399999999999</v>
      </c>
      <c r="J7" s="35">
        <f t="shared" si="1"/>
        <v>1739.74</v>
      </c>
      <c r="K7" s="35">
        <f t="shared" si="1"/>
        <v>1739.74</v>
      </c>
      <c r="L7" s="35">
        <f t="shared" si="1"/>
        <v>1799.74</v>
      </c>
      <c r="M7" s="35">
        <f t="shared" si="1"/>
        <v>1873.04</v>
      </c>
      <c r="N7" s="35">
        <f>N91</f>
        <v>1829.64</v>
      </c>
      <c r="O7" s="35">
        <f t="shared" si="1"/>
        <v>1818.04</v>
      </c>
      <c r="P7" s="35">
        <f t="shared" si="1"/>
        <v>1836.34</v>
      </c>
      <c r="Q7" s="35">
        <f t="shared" si="1"/>
        <v>1895.1399999999999</v>
      </c>
      <c r="R7" s="35">
        <f t="shared" si="1"/>
        <v>1913.1399999999999</v>
      </c>
      <c r="S7" s="35">
        <f t="shared" si="1"/>
        <v>1960.9399999999998</v>
      </c>
      <c r="T7" s="35">
        <f t="shared" si="1"/>
        <v>1896.64</v>
      </c>
      <c r="U7" s="35">
        <f t="shared" si="1"/>
        <v>1923.24</v>
      </c>
      <c r="V7" s="35">
        <f t="shared" si="1"/>
        <v>1917.8400000000001</v>
      </c>
      <c r="W7" s="35">
        <f t="shared" si="1"/>
        <v>1923.24</v>
      </c>
      <c r="X7" s="35">
        <f t="shared" si="1"/>
        <v>1912.84</v>
      </c>
      <c r="Y7" s="35">
        <f t="shared" si="1"/>
        <v>1954.44</v>
      </c>
      <c r="Z7" s="35">
        <f t="shared" si="1"/>
        <v>1957.64</v>
      </c>
      <c r="AA7" s="35">
        <f t="shared" si="1"/>
        <v>2002.34</v>
      </c>
      <c r="AB7" s="35">
        <f t="shared" si="1"/>
        <v>2021.64</v>
      </c>
      <c r="AC7" s="35">
        <f t="shared" si="1"/>
        <v>1961.7400000000002</v>
      </c>
      <c r="AD7" s="35">
        <f t="shared" si="1"/>
        <v>1937.8400000000001</v>
      </c>
      <c r="AE7" s="35">
        <f t="shared" si="1"/>
        <v>1935.74</v>
      </c>
      <c r="AF7" s="35">
        <f t="shared" si="1"/>
        <v>1896.4400000000003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60.5</v>
      </c>
      <c r="C11" s="45">
        <v>30</v>
      </c>
      <c r="D11" s="45">
        <v>40</v>
      </c>
      <c r="E11" s="45">
        <v>40</v>
      </c>
      <c r="F11" s="45">
        <v>40</v>
      </c>
      <c r="G11" s="45">
        <v>60</v>
      </c>
      <c r="H11" s="45">
        <v>60</v>
      </c>
      <c r="I11" s="45">
        <v>60</v>
      </c>
      <c r="J11" s="45">
        <v>60</v>
      </c>
      <c r="K11" s="45">
        <v>60</v>
      </c>
      <c r="L11" s="45">
        <v>60</v>
      </c>
      <c r="M11" s="45">
        <v>60.6</v>
      </c>
      <c r="N11" s="45">
        <v>60.6</v>
      </c>
      <c r="O11" s="45">
        <v>60.6</v>
      </c>
      <c r="P11" s="45">
        <v>60.6</v>
      </c>
      <c r="Q11" s="45">
        <v>61.1</v>
      </c>
      <c r="R11" s="45">
        <v>61.1</v>
      </c>
      <c r="S11" s="45">
        <v>61.1</v>
      </c>
      <c r="T11" s="45">
        <v>60.8</v>
      </c>
      <c r="U11" s="45">
        <v>60.8</v>
      </c>
      <c r="V11" s="45">
        <v>60.8</v>
      </c>
      <c r="W11" s="45">
        <v>60.8</v>
      </c>
      <c r="X11" s="45">
        <v>60.8</v>
      </c>
      <c r="Y11" s="45">
        <v>60.8</v>
      </c>
      <c r="Z11" s="45">
        <v>60.8</v>
      </c>
      <c r="AA11" s="45">
        <v>60.8</v>
      </c>
      <c r="AB11" s="45">
        <v>60.9</v>
      </c>
      <c r="AC11" s="45">
        <v>60.9</v>
      </c>
      <c r="AD11" s="45">
        <v>60.9</v>
      </c>
      <c r="AE11" s="45">
        <v>60.8</v>
      </c>
      <c r="AF11" s="45">
        <v>60.8</v>
      </c>
      <c r="AG11" s="46">
        <v>86</v>
      </c>
      <c r="AH11" s="47">
        <f t="shared" ref="AH11:AH76" si="2">MAX(B11:AF11)</f>
        <v>61.1</v>
      </c>
      <c r="AI11" s="48">
        <f t="shared" ref="AI11:AI76" si="3">MIN(B11:AF11)</f>
        <v>30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15</v>
      </c>
      <c r="C12" s="45">
        <v>5</v>
      </c>
      <c r="D12" s="45">
        <v>15</v>
      </c>
      <c r="E12" s="45">
        <v>15</v>
      </c>
      <c r="F12" s="45">
        <v>15</v>
      </c>
      <c r="G12" s="45">
        <v>25.2</v>
      </c>
      <c r="H12" s="45">
        <v>25.2</v>
      </c>
      <c r="I12" s="45">
        <v>25.2</v>
      </c>
      <c r="J12" s="45">
        <v>25</v>
      </c>
      <c r="K12" s="45">
        <v>25</v>
      </c>
      <c r="L12" s="45">
        <v>25</v>
      </c>
      <c r="M12" s="45">
        <v>26</v>
      </c>
      <c r="N12" s="45">
        <v>26</v>
      </c>
      <c r="O12" s="45">
        <v>26</v>
      </c>
      <c r="P12" s="45">
        <v>16</v>
      </c>
      <c r="Q12" s="45">
        <v>26</v>
      </c>
      <c r="R12" s="45">
        <v>26</v>
      </c>
      <c r="S12" s="45">
        <v>26</v>
      </c>
      <c r="T12" s="45">
        <v>26</v>
      </c>
      <c r="U12" s="45">
        <v>26</v>
      </c>
      <c r="V12" s="45">
        <v>26</v>
      </c>
      <c r="W12" s="45">
        <v>26</v>
      </c>
      <c r="X12" s="45">
        <v>26</v>
      </c>
      <c r="Y12" s="45">
        <v>26</v>
      </c>
      <c r="Z12" s="45">
        <v>26</v>
      </c>
      <c r="AA12" s="45">
        <v>26</v>
      </c>
      <c r="AB12" s="45">
        <v>27</v>
      </c>
      <c r="AC12" s="45">
        <v>27</v>
      </c>
      <c r="AD12" s="45">
        <v>27</v>
      </c>
      <c r="AE12" s="45">
        <v>27</v>
      </c>
      <c r="AF12" s="45">
        <v>27</v>
      </c>
      <c r="AG12" s="49">
        <v>54</v>
      </c>
      <c r="AH12" s="47">
        <f t="shared" si="2"/>
        <v>27</v>
      </c>
      <c r="AI12" s="48">
        <f t="shared" si="3"/>
        <v>5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46</v>
      </c>
      <c r="C13" s="45">
        <v>46</v>
      </c>
      <c r="D13" s="45">
        <v>54</v>
      </c>
      <c r="E13" s="45">
        <v>54</v>
      </c>
      <c r="F13" s="45">
        <v>54</v>
      </c>
      <c r="G13" s="45">
        <v>54</v>
      </c>
      <c r="H13" s="45">
        <v>54</v>
      </c>
      <c r="I13" s="45">
        <v>54</v>
      </c>
      <c r="J13" s="45">
        <v>54</v>
      </c>
      <c r="K13" s="45">
        <v>54</v>
      </c>
      <c r="L13" s="45">
        <v>54</v>
      </c>
      <c r="M13" s="45">
        <v>54</v>
      </c>
      <c r="N13" s="45">
        <v>54</v>
      </c>
      <c r="O13" s="45">
        <v>54</v>
      </c>
      <c r="P13" s="45">
        <v>54</v>
      </c>
      <c r="Q13" s="45">
        <v>54.7</v>
      </c>
      <c r="R13" s="45">
        <v>54.7</v>
      </c>
      <c r="S13" s="45">
        <v>54.7</v>
      </c>
      <c r="T13" s="45">
        <v>54.7</v>
      </c>
      <c r="U13" s="45">
        <v>54.7</v>
      </c>
      <c r="V13" s="45">
        <v>54.7</v>
      </c>
      <c r="W13" s="45">
        <v>54.7</v>
      </c>
      <c r="X13" s="45">
        <v>54.7</v>
      </c>
      <c r="Y13" s="45">
        <v>54.7</v>
      </c>
      <c r="Z13" s="45">
        <v>54.7</v>
      </c>
      <c r="AA13" s="45">
        <v>54.7</v>
      </c>
      <c r="AB13" s="45">
        <v>54.9</v>
      </c>
      <c r="AC13" s="45">
        <v>54.9</v>
      </c>
      <c r="AD13" s="45">
        <v>54.9</v>
      </c>
      <c r="AE13" s="45">
        <v>54.9</v>
      </c>
      <c r="AF13" s="45">
        <v>54.9</v>
      </c>
      <c r="AG13" s="46">
        <v>52.4</v>
      </c>
      <c r="AH13" s="47">
        <f t="shared" si="2"/>
        <v>54.9</v>
      </c>
      <c r="AI13" s="48">
        <f t="shared" si="3"/>
        <v>46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50.5</v>
      </c>
      <c r="C14" s="50">
        <v>50.5</v>
      </c>
      <c r="D14" s="50">
        <v>50.5</v>
      </c>
      <c r="E14" s="50">
        <v>50.5</v>
      </c>
      <c r="F14" s="50">
        <v>50.5</v>
      </c>
      <c r="G14" s="50">
        <v>50.5</v>
      </c>
      <c r="H14" s="50">
        <v>50.5</v>
      </c>
      <c r="I14" s="50">
        <v>50.5</v>
      </c>
      <c r="J14" s="50">
        <v>50.5</v>
      </c>
      <c r="K14" s="50">
        <v>50.5</v>
      </c>
      <c r="L14" s="50">
        <v>50.5</v>
      </c>
      <c r="M14" s="50">
        <v>50.5</v>
      </c>
      <c r="N14" s="50">
        <v>50.5</v>
      </c>
      <c r="O14" s="50">
        <v>50.5</v>
      </c>
      <c r="P14" s="50">
        <v>50.5</v>
      </c>
      <c r="Q14" s="50">
        <v>50.2</v>
      </c>
      <c r="R14" s="50">
        <v>50.2</v>
      </c>
      <c r="S14" s="50">
        <v>50.2</v>
      </c>
      <c r="T14" s="50">
        <v>50.2</v>
      </c>
      <c r="U14" s="50">
        <v>50.2</v>
      </c>
      <c r="V14" s="50">
        <v>50.2</v>
      </c>
      <c r="W14" s="50">
        <v>50.2</v>
      </c>
      <c r="X14" s="50">
        <v>50.2</v>
      </c>
      <c r="Y14" s="50">
        <v>50.2</v>
      </c>
      <c r="Z14" s="50">
        <v>50.2</v>
      </c>
      <c r="AA14" s="45">
        <v>50.2</v>
      </c>
      <c r="AB14" s="45">
        <v>50.6</v>
      </c>
      <c r="AC14" s="45">
        <v>50.6</v>
      </c>
      <c r="AD14" s="45">
        <v>50.6</v>
      </c>
      <c r="AE14" s="45">
        <v>50.7</v>
      </c>
      <c r="AF14" s="45">
        <v>50.7</v>
      </c>
      <c r="AG14" s="49">
        <v>50</v>
      </c>
      <c r="AH14" s="47">
        <f t="shared" si="2"/>
        <v>50.7</v>
      </c>
      <c r="AI14" s="48">
        <f t="shared" si="3"/>
        <v>50.2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45.8</v>
      </c>
      <c r="C15" s="45">
        <v>40</v>
      </c>
      <c r="D15" s="45">
        <v>40</v>
      </c>
      <c r="E15" s="45">
        <v>40</v>
      </c>
      <c r="F15" s="45">
        <v>40</v>
      </c>
      <c r="G15" s="45">
        <v>40</v>
      </c>
      <c r="H15" s="45">
        <v>40</v>
      </c>
      <c r="I15" s="45">
        <v>40</v>
      </c>
      <c r="J15" s="45">
        <v>46</v>
      </c>
      <c r="K15" s="45">
        <v>46</v>
      </c>
      <c r="L15" s="45">
        <v>46</v>
      </c>
      <c r="M15" s="45">
        <v>46</v>
      </c>
      <c r="N15" s="45">
        <v>46</v>
      </c>
      <c r="O15" s="45">
        <v>46</v>
      </c>
      <c r="P15" s="45">
        <v>46</v>
      </c>
      <c r="Q15" s="45">
        <v>46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46</v>
      </c>
      <c r="AB15" s="45">
        <v>46</v>
      </c>
      <c r="AC15" s="45">
        <v>46.1</v>
      </c>
      <c r="AD15" s="45">
        <v>46.1</v>
      </c>
      <c r="AE15" s="45">
        <v>46.2</v>
      </c>
      <c r="AF15" s="45">
        <v>46.2</v>
      </c>
      <c r="AG15" s="49">
        <v>45</v>
      </c>
      <c r="AH15" s="47">
        <f t="shared" si="2"/>
        <v>46.2</v>
      </c>
      <c r="AI15" s="48">
        <f t="shared" si="3"/>
        <v>40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30</v>
      </c>
      <c r="C17" s="45">
        <v>29</v>
      </c>
      <c r="D17" s="45">
        <v>29</v>
      </c>
      <c r="E17" s="45">
        <v>29</v>
      </c>
      <c r="F17" s="45">
        <v>35</v>
      </c>
      <c r="G17" s="45">
        <v>35</v>
      </c>
      <c r="H17" s="45">
        <v>35</v>
      </c>
      <c r="I17" s="45">
        <v>35</v>
      </c>
      <c r="J17" s="45">
        <v>35</v>
      </c>
      <c r="K17" s="45">
        <v>35</v>
      </c>
      <c r="L17" s="45">
        <v>35</v>
      </c>
      <c r="M17" s="45">
        <v>36</v>
      </c>
      <c r="N17" s="45">
        <v>36</v>
      </c>
      <c r="O17" s="45">
        <v>0</v>
      </c>
      <c r="P17" s="45">
        <v>38.6</v>
      </c>
      <c r="Q17" s="45">
        <v>38.5</v>
      </c>
      <c r="R17" s="45">
        <v>33</v>
      </c>
      <c r="S17" s="45">
        <v>33</v>
      </c>
      <c r="T17" s="45">
        <v>31</v>
      </c>
      <c r="U17" s="45">
        <v>31</v>
      </c>
      <c r="V17" s="45">
        <v>31</v>
      </c>
      <c r="W17" s="45">
        <v>31</v>
      </c>
      <c r="X17" s="45">
        <v>31</v>
      </c>
      <c r="Y17" s="45">
        <v>31</v>
      </c>
      <c r="Z17" s="45">
        <v>30</v>
      </c>
      <c r="AA17" s="45">
        <v>30</v>
      </c>
      <c r="AB17" s="45">
        <v>0</v>
      </c>
      <c r="AC17" s="45">
        <v>31</v>
      </c>
      <c r="AD17" s="45">
        <v>31</v>
      </c>
      <c r="AE17" s="45">
        <v>33</v>
      </c>
      <c r="AF17" s="45">
        <v>33</v>
      </c>
      <c r="AG17" s="49">
        <v>42</v>
      </c>
      <c r="AH17" s="47">
        <f t="shared" si="2"/>
        <v>38.6</v>
      </c>
      <c r="AI17" s="48">
        <f t="shared" si="3"/>
        <v>0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0</v>
      </c>
      <c r="I18" s="45">
        <v>0</v>
      </c>
      <c r="J18" s="45">
        <v>0</v>
      </c>
      <c r="K18" s="45">
        <v>0</v>
      </c>
      <c r="L18" s="45">
        <v>0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5</v>
      </c>
      <c r="C19" s="45">
        <v>30</v>
      </c>
      <c r="D19" s="45">
        <v>30</v>
      </c>
      <c r="E19" s="45">
        <v>30</v>
      </c>
      <c r="F19" s="45">
        <v>20</v>
      </c>
      <c r="G19" s="45">
        <v>30</v>
      </c>
      <c r="H19" s="45">
        <v>30</v>
      </c>
      <c r="I19" s="45">
        <v>30</v>
      </c>
      <c r="J19" s="45">
        <v>30</v>
      </c>
      <c r="K19" s="45">
        <v>30</v>
      </c>
      <c r="L19" s="45">
        <v>30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5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10</v>
      </c>
      <c r="C20" s="45">
        <v>5</v>
      </c>
      <c r="D20" s="45">
        <v>15</v>
      </c>
      <c r="E20" s="45">
        <v>15</v>
      </c>
      <c r="F20" s="45">
        <v>29</v>
      </c>
      <c r="G20" s="45">
        <v>29</v>
      </c>
      <c r="H20" s="45">
        <v>29</v>
      </c>
      <c r="I20" s="45">
        <v>29</v>
      </c>
      <c r="J20" s="45">
        <v>29</v>
      </c>
      <c r="K20" s="45">
        <v>29</v>
      </c>
      <c r="L20" s="45">
        <v>29</v>
      </c>
      <c r="M20" s="45">
        <v>29</v>
      </c>
      <c r="N20" s="45">
        <v>20</v>
      </c>
      <c r="O20" s="45">
        <v>20</v>
      </c>
      <c r="P20" s="45">
        <v>20</v>
      </c>
      <c r="Q20" s="45">
        <v>29.3</v>
      </c>
      <c r="R20" s="45">
        <v>29.3</v>
      </c>
      <c r="S20" s="45">
        <v>15</v>
      </c>
      <c r="T20" s="45">
        <v>15</v>
      </c>
      <c r="U20" s="45">
        <v>15</v>
      </c>
      <c r="V20" s="45">
        <v>15</v>
      </c>
      <c r="W20" s="45">
        <v>15</v>
      </c>
      <c r="X20" s="45">
        <v>15</v>
      </c>
      <c r="Y20" s="45">
        <v>30</v>
      </c>
      <c r="Z20" s="45">
        <v>30</v>
      </c>
      <c r="AA20" s="45">
        <v>30</v>
      </c>
      <c r="AB20" s="45">
        <v>29.4</v>
      </c>
      <c r="AC20" s="45">
        <v>29.4</v>
      </c>
      <c r="AD20" s="45">
        <v>29.4</v>
      </c>
      <c r="AE20" s="45">
        <v>18.600000000000001</v>
      </c>
      <c r="AF20" s="45">
        <v>18.600000000000001</v>
      </c>
      <c r="AG20" s="51">
        <v>30</v>
      </c>
      <c r="AH20" s="47">
        <f t="shared" si="2"/>
        <v>30</v>
      </c>
      <c r="AI20" s="48">
        <f t="shared" si="3"/>
        <v>5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20.6</v>
      </c>
      <c r="C21" s="45">
        <v>20.6</v>
      </c>
      <c r="D21" s="45">
        <v>20.6</v>
      </c>
      <c r="E21" s="45">
        <v>20.6</v>
      </c>
      <c r="F21" s="45">
        <v>20.6</v>
      </c>
      <c r="G21" s="45">
        <v>20.6</v>
      </c>
      <c r="H21" s="45">
        <v>20.6</v>
      </c>
      <c r="I21" s="45">
        <v>20.6</v>
      </c>
      <c r="J21" s="45">
        <v>20.6</v>
      </c>
      <c r="K21" s="45">
        <v>20.6</v>
      </c>
      <c r="L21" s="45">
        <v>20.6</v>
      </c>
      <c r="M21" s="45">
        <v>20.6</v>
      </c>
      <c r="N21" s="45">
        <v>20.6</v>
      </c>
      <c r="O21" s="45">
        <v>20.6</v>
      </c>
      <c r="P21" s="45">
        <v>20.6</v>
      </c>
      <c r="Q21" s="45">
        <v>20.6</v>
      </c>
      <c r="R21" s="45">
        <v>20.6</v>
      </c>
      <c r="S21" s="45">
        <v>20.6</v>
      </c>
      <c r="T21" s="45">
        <v>20.6</v>
      </c>
      <c r="U21" s="45">
        <v>20.6</v>
      </c>
      <c r="V21" s="45">
        <v>20.6</v>
      </c>
      <c r="W21" s="45">
        <v>20.6</v>
      </c>
      <c r="X21" s="45">
        <v>20.6</v>
      </c>
      <c r="Y21" s="45">
        <v>20.6</v>
      </c>
      <c r="Z21" s="45">
        <v>20.6</v>
      </c>
      <c r="AA21" s="45">
        <v>20.6</v>
      </c>
      <c r="AB21" s="45">
        <v>20.6</v>
      </c>
      <c r="AC21" s="45">
        <v>20.6</v>
      </c>
      <c r="AD21" s="45">
        <v>20.6</v>
      </c>
      <c r="AE21" s="45">
        <v>20.6</v>
      </c>
      <c r="AF21" s="45">
        <v>20.6</v>
      </c>
      <c r="AG21" s="49">
        <v>24.2</v>
      </c>
      <c r="AH21" s="47">
        <f t="shared" si="2"/>
        <v>20.6</v>
      </c>
      <c r="AI21" s="48">
        <f t="shared" si="3"/>
        <v>20.6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20</v>
      </c>
      <c r="Q22" s="45">
        <v>20</v>
      </c>
      <c r="R22" s="45">
        <v>20</v>
      </c>
      <c r="S22" s="45">
        <v>20</v>
      </c>
      <c r="T22" s="45">
        <v>20</v>
      </c>
      <c r="U22" s="45">
        <v>20</v>
      </c>
      <c r="V22" s="45">
        <v>20</v>
      </c>
      <c r="W22" s="45">
        <v>20</v>
      </c>
      <c r="X22" s="45">
        <v>20</v>
      </c>
      <c r="Y22" s="45">
        <v>20</v>
      </c>
      <c r="Z22" s="45">
        <v>20</v>
      </c>
      <c r="AA22" s="45">
        <v>20</v>
      </c>
      <c r="AB22" s="45">
        <v>20</v>
      </c>
      <c r="AC22" s="45">
        <v>20</v>
      </c>
      <c r="AD22" s="45">
        <v>20</v>
      </c>
      <c r="AE22" s="45">
        <v>20</v>
      </c>
      <c r="AF22" s="45">
        <v>20</v>
      </c>
      <c r="AG22" s="49">
        <v>28</v>
      </c>
      <c r="AH22" s="47">
        <f t="shared" si="2"/>
        <v>20</v>
      </c>
      <c r="AI22" s="48">
        <f t="shared" si="3"/>
        <v>20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5</v>
      </c>
      <c r="D23" s="45">
        <v>9</v>
      </c>
      <c r="E23" s="45">
        <v>9</v>
      </c>
      <c r="F23" s="45">
        <v>9</v>
      </c>
      <c r="G23" s="45">
        <v>9.4</v>
      </c>
      <c r="H23" s="45">
        <v>9.4</v>
      </c>
      <c r="I23" s="45">
        <v>9.4</v>
      </c>
      <c r="J23" s="45">
        <v>9.4</v>
      </c>
      <c r="K23" s="45">
        <v>9.4</v>
      </c>
      <c r="L23" s="45">
        <v>9.4</v>
      </c>
      <c r="M23" s="45">
        <v>9.4</v>
      </c>
      <c r="N23" s="45">
        <v>9.4</v>
      </c>
      <c r="O23" s="45">
        <v>9.4</v>
      </c>
      <c r="P23" s="45">
        <v>9.4</v>
      </c>
      <c r="Q23" s="45">
        <v>9.4</v>
      </c>
      <c r="R23" s="45">
        <v>9.4</v>
      </c>
      <c r="S23" s="45">
        <v>9.4</v>
      </c>
      <c r="T23" s="45">
        <v>9.4</v>
      </c>
      <c r="U23" s="45">
        <v>9.4</v>
      </c>
      <c r="V23" s="45">
        <v>9.4</v>
      </c>
      <c r="W23" s="45">
        <v>9.4</v>
      </c>
      <c r="X23" s="45">
        <v>9.4</v>
      </c>
      <c r="Y23" s="45">
        <v>9.4</v>
      </c>
      <c r="Z23" s="45">
        <v>9.4</v>
      </c>
      <c r="AA23" s="45">
        <v>9.4</v>
      </c>
      <c r="AB23" s="45">
        <v>9.4</v>
      </c>
      <c r="AC23" s="45">
        <v>9.4</v>
      </c>
      <c r="AD23" s="45">
        <v>9.4</v>
      </c>
      <c r="AE23" s="45">
        <v>9.4</v>
      </c>
      <c r="AF23" s="45">
        <v>9.4</v>
      </c>
      <c r="AG23" s="51">
        <v>30</v>
      </c>
      <c r="AH23" s="47">
        <f t="shared" si="2"/>
        <v>9.4</v>
      </c>
      <c r="AI23" s="48">
        <f t="shared" si="3"/>
        <v>5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</v>
      </c>
      <c r="C24" s="45">
        <v>26</v>
      </c>
      <c r="D24" s="45">
        <v>26</v>
      </c>
      <c r="E24" s="45">
        <v>26</v>
      </c>
      <c r="F24" s="45">
        <v>26</v>
      </c>
      <c r="G24" s="45">
        <v>26</v>
      </c>
      <c r="H24" s="45">
        <v>26</v>
      </c>
      <c r="I24" s="45">
        <v>26</v>
      </c>
      <c r="J24" s="45">
        <v>26</v>
      </c>
      <c r="K24" s="45">
        <v>26</v>
      </c>
      <c r="L24" s="45">
        <v>26</v>
      </c>
      <c r="M24" s="45">
        <v>0</v>
      </c>
      <c r="N24" s="45">
        <v>0</v>
      </c>
      <c r="O24" s="45">
        <v>0</v>
      </c>
      <c r="P24" s="45">
        <v>0</v>
      </c>
      <c r="Q24" s="45">
        <v>26</v>
      </c>
      <c r="R24" s="45">
        <v>26</v>
      </c>
      <c r="S24" s="45">
        <v>26</v>
      </c>
      <c r="T24" s="45">
        <v>26</v>
      </c>
      <c r="U24" s="45">
        <v>26</v>
      </c>
      <c r="V24" s="45">
        <v>26</v>
      </c>
      <c r="W24" s="45">
        <v>26</v>
      </c>
      <c r="X24" s="45">
        <v>26</v>
      </c>
      <c r="Y24" s="45">
        <v>26</v>
      </c>
      <c r="Z24" s="45">
        <v>26</v>
      </c>
      <c r="AA24" s="45">
        <v>26</v>
      </c>
      <c r="AB24" s="45">
        <v>26.1</v>
      </c>
      <c r="AC24" s="45">
        <v>26.1</v>
      </c>
      <c r="AD24" s="45">
        <v>26.1</v>
      </c>
      <c r="AE24" s="45">
        <v>26</v>
      </c>
      <c r="AF24" s="45">
        <v>26</v>
      </c>
      <c r="AG24" s="49">
        <v>25</v>
      </c>
      <c r="AH24" s="47">
        <f t="shared" si="2"/>
        <v>26.1</v>
      </c>
      <c r="AI24" s="48">
        <f t="shared" si="3"/>
        <v>0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15</v>
      </c>
      <c r="C27" s="45">
        <v>5</v>
      </c>
      <c r="D27" s="45">
        <v>15</v>
      </c>
      <c r="E27" s="45">
        <v>15</v>
      </c>
      <c r="F27" s="45">
        <v>15</v>
      </c>
      <c r="G27" s="45">
        <v>18.399999999999999</v>
      </c>
      <c r="H27" s="45">
        <v>18.399999999999999</v>
      </c>
      <c r="I27" s="45">
        <v>18.399999999999999</v>
      </c>
      <c r="J27" s="45">
        <v>18.399999999999999</v>
      </c>
      <c r="K27" s="45">
        <v>18.399999999999999</v>
      </c>
      <c r="L27" s="45">
        <v>18.399999999999999</v>
      </c>
      <c r="M27" s="45">
        <v>18.399999999999999</v>
      </c>
      <c r="N27" s="45">
        <v>15</v>
      </c>
      <c r="O27" s="45">
        <v>15</v>
      </c>
      <c r="P27" s="45">
        <v>15</v>
      </c>
      <c r="Q27" s="45">
        <v>25</v>
      </c>
      <c r="R27" s="45">
        <v>12</v>
      </c>
      <c r="S27" s="45">
        <v>12</v>
      </c>
      <c r="T27" s="45">
        <v>12</v>
      </c>
      <c r="U27" s="45">
        <v>12</v>
      </c>
      <c r="V27" s="45">
        <v>12</v>
      </c>
      <c r="W27" s="45">
        <v>12</v>
      </c>
      <c r="X27" s="45">
        <v>12</v>
      </c>
      <c r="Y27" s="45">
        <v>25</v>
      </c>
      <c r="Z27" s="45">
        <v>25</v>
      </c>
      <c r="AA27" s="45">
        <v>25</v>
      </c>
      <c r="AB27" s="45">
        <v>25</v>
      </c>
      <c r="AC27" s="45">
        <v>25</v>
      </c>
      <c r="AD27" s="45">
        <v>25</v>
      </c>
      <c r="AE27" s="45">
        <v>16</v>
      </c>
      <c r="AF27" s="45">
        <v>16</v>
      </c>
      <c r="AG27" s="49">
        <v>25</v>
      </c>
      <c r="AH27" s="47">
        <f t="shared" si="2"/>
        <v>25</v>
      </c>
      <c r="AI27" s="48">
        <f t="shared" si="3"/>
        <v>5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22.8</v>
      </c>
      <c r="C28" s="45">
        <v>22.8</v>
      </c>
      <c r="D28" s="45">
        <v>22.8</v>
      </c>
      <c r="E28" s="45">
        <v>22.8</v>
      </c>
      <c r="F28" s="45">
        <v>22.8</v>
      </c>
      <c r="G28" s="45">
        <v>22.8</v>
      </c>
      <c r="H28" s="45">
        <v>22.8</v>
      </c>
      <c r="I28" s="45">
        <v>22.8</v>
      </c>
      <c r="J28" s="45">
        <v>22.8</v>
      </c>
      <c r="K28" s="45">
        <v>22.8</v>
      </c>
      <c r="L28" s="45">
        <v>22.8</v>
      </c>
      <c r="M28" s="45">
        <v>22.8</v>
      </c>
      <c r="N28" s="45">
        <v>22.8</v>
      </c>
      <c r="O28" s="45">
        <v>24.6</v>
      </c>
      <c r="P28" s="45">
        <v>24.6</v>
      </c>
      <c r="Q28" s="45">
        <v>24</v>
      </c>
      <c r="R28" s="45">
        <v>24.5</v>
      </c>
      <c r="S28" s="45">
        <v>24.5</v>
      </c>
      <c r="T28" s="45">
        <v>24.5</v>
      </c>
      <c r="U28" s="45">
        <v>24.5</v>
      </c>
      <c r="V28" s="45">
        <v>24.5</v>
      </c>
      <c r="W28" s="45">
        <v>24.5</v>
      </c>
      <c r="X28" s="45">
        <v>24.5</v>
      </c>
      <c r="Y28" s="45">
        <v>24.5</v>
      </c>
      <c r="Z28" s="45">
        <v>24.5</v>
      </c>
      <c r="AA28" s="45">
        <v>24.5</v>
      </c>
      <c r="AB28" s="45">
        <v>24.5</v>
      </c>
      <c r="AC28" s="45">
        <v>24.5</v>
      </c>
      <c r="AD28" s="45">
        <v>24.5</v>
      </c>
      <c r="AE28" s="45">
        <v>24.5</v>
      </c>
      <c r="AF28" s="45">
        <v>24.5</v>
      </c>
      <c r="AG28" s="49">
        <v>23.5</v>
      </c>
      <c r="AH28" s="47">
        <f t="shared" si="2"/>
        <v>24.6</v>
      </c>
      <c r="AI28" s="48">
        <f t="shared" si="3"/>
        <v>22.8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22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16</v>
      </c>
      <c r="C33" s="45">
        <v>16</v>
      </c>
      <c r="D33" s="45">
        <v>16</v>
      </c>
      <c r="E33" s="45">
        <v>16</v>
      </c>
      <c r="F33" s="45">
        <v>16</v>
      </c>
      <c r="G33" s="45">
        <v>16</v>
      </c>
      <c r="H33" s="45">
        <v>16</v>
      </c>
      <c r="I33" s="45">
        <v>16</v>
      </c>
      <c r="J33" s="45">
        <v>16</v>
      </c>
      <c r="K33" s="45">
        <v>16</v>
      </c>
      <c r="L33" s="45">
        <v>16</v>
      </c>
      <c r="M33" s="45">
        <v>16</v>
      </c>
      <c r="N33" s="45">
        <v>16</v>
      </c>
      <c r="O33" s="45">
        <v>16</v>
      </c>
      <c r="P33" s="45">
        <v>16</v>
      </c>
      <c r="Q33" s="45">
        <v>20</v>
      </c>
      <c r="R33" s="45">
        <v>20</v>
      </c>
      <c r="S33" s="45">
        <v>20</v>
      </c>
      <c r="T33" s="45">
        <v>20</v>
      </c>
      <c r="U33" s="45">
        <v>20</v>
      </c>
      <c r="V33" s="45">
        <v>20</v>
      </c>
      <c r="W33" s="45">
        <v>20</v>
      </c>
      <c r="X33" s="45">
        <v>20</v>
      </c>
      <c r="Y33" s="45">
        <v>10</v>
      </c>
      <c r="Z33" s="45">
        <v>10</v>
      </c>
      <c r="AA33" s="45">
        <v>10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9">
        <v>20</v>
      </c>
      <c r="AH33" s="47">
        <f t="shared" si="2"/>
        <v>20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9</v>
      </c>
      <c r="N34" s="45">
        <v>0</v>
      </c>
      <c r="O34" s="45">
        <v>0</v>
      </c>
      <c r="P34" s="45">
        <v>0</v>
      </c>
      <c r="Q34" s="45">
        <v>16</v>
      </c>
      <c r="R34" s="45">
        <v>8</v>
      </c>
      <c r="S34" s="45">
        <v>8</v>
      </c>
      <c r="T34" s="45">
        <v>8</v>
      </c>
      <c r="U34" s="45">
        <v>8</v>
      </c>
      <c r="V34" s="45">
        <v>8</v>
      </c>
      <c r="W34" s="45">
        <v>8</v>
      </c>
      <c r="X34" s="45">
        <v>8</v>
      </c>
      <c r="Y34" s="45">
        <v>10</v>
      </c>
      <c r="Z34" s="45">
        <v>10</v>
      </c>
      <c r="AA34" s="45">
        <v>10</v>
      </c>
      <c r="AB34" s="45">
        <v>10</v>
      </c>
      <c r="AC34" s="45">
        <v>15</v>
      </c>
      <c r="AD34" s="45">
        <v>15</v>
      </c>
      <c r="AE34" s="45">
        <v>15</v>
      </c>
      <c r="AF34" s="45">
        <v>6</v>
      </c>
      <c r="AG34" s="49">
        <v>18</v>
      </c>
      <c r="AH34" s="47">
        <f t="shared" si="2"/>
        <v>16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0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12</v>
      </c>
      <c r="C39" s="45">
        <v>5</v>
      </c>
      <c r="D39" s="45">
        <v>12</v>
      </c>
      <c r="E39" s="45">
        <v>12</v>
      </c>
      <c r="F39" s="45">
        <v>6</v>
      </c>
      <c r="G39" s="45">
        <v>8</v>
      </c>
      <c r="H39" s="45">
        <v>8</v>
      </c>
      <c r="I39" s="45">
        <v>8</v>
      </c>
      <c r="J39" s="45">
        <v>0</v>
      </c>
      <c r="K39" s="45">
        <v>0</v>
      </c>
      <c r="L39" s="45">
        <v>0</v>
      </c>
      <c r="M39" s="45">
        <v>8</v>
      </c>
      <c r="N39" s="45">
        <v>8</v>
      </c>
      <c r="O39" s="45">
        <v>8</v>
      </c>
      <c r="P39" s="45">
        <v>8</v>
      </c>
      <c r="Q39" s="45">
        <v>9</v>
      </c>
      <c r="R39" s="45">
        <v>9</v>
      </c>
      <c r="S39" s="45">
        <v>9</v>
      </c>
      <c r="T39" s="45">
        <v>9</v>
      </c>
      <c r="U39" s="45">
        <v>9</v>
      </c>
      <c r="V39" s="45">
        <v>9</v>
      </c>
      <c r="W39" s="45">
        <v>9</v>
      </c>
      <c r="X39" s="45">
        <v>9</v>
      </c>
      <c r="Y39" s="45">
        <v>12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8</v>
      </c>
      <c r="AF39" s="45">
        <v>8</v>
      </c>
      <c r="AG39" s="49">
        <v>12</v>
      </c>
      <c r="AH39" s="47">
        <f t="shared" si="2"/>
        <v>12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12</v>
      </c>
      <c r="C41" s="45">
        <v>12</v>
      </c>
      <c r="D41" s="45">
        <v>12</v>
      </c>
      <c r="E41" s="45">
        <v>12</v>
      </c>
      <c r="F41" s="45">
        <v>12</v>
      </c>
      <c r="G41" s="45">
        <v>12</v>
      </c>
      <c r="H41" s="45">
        <v>12</v>
      </c>
      <c r="I41" s="45">
        <v>12</v>
      </c>
      <c r="J41" s="45">
        <v>12</v>
      </c>
      <c r="K41" s="45">
        <v>12</v>
      </c>
      <c r="L41" s="45">
        <v>12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f>12*0.65</f>
        <v>7.8000000000000007</v>
      </c>
      <c r="AF41" s="45">
        <f>12*0.65</f>
        <v>7.8000000000000007</v>
      </c>
      <c r="AG41" s="49">
        <v>12</v>
      </c>
      <c r="AH41" s="47">
        <f t="shared" si="2"/>
        <v>12</v>
      </c>
      <c r="AI41" s="48">
        <f t="shared" si="3"/>
        <v>7.8000000000000007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6</v>
      </c>
      <c r="C42" s="45">
        <v>6</v>
      </c>
      <c r="D42" s="45">
        <v>6</v>
      </c>
      <c r="E42" s="45">
        <v>6</v>
      </c>
      <c r="F42" s="45">
        <v>6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6</v>
      </c>
      <c r="N42" s="45">
        <v>6</v>
      </c>
      <c r="O42" s="45">
        <v>6</v>
      </c>
      <c r="P42" s="45">
        <v>6</v>
      </c>
      <c r="Q42" s="45">
        <v>6</v>
      </c>
      <c r="R42" s="45">
        <v>6</v>
      </c>
      <c r="S42" s="45">
        <v>6</v>
      </c>
      <c r="T42" s="45">
        <v>6</v>
      </c>
      <c r="U42" s="45">
        <v>6</v>
      </c>
      <c r="V42" s="45">
        <v>6</v>
      </c>
      <c r="W42" s="45">
        <v>6</v>
      </c>
      <c r="X42" s="45">
        <v>6</v>
      </c>
      <c r="Y42" s="45">
        <v>6</v>
      </c>
      <c r="Z42" s="45">
        <v>6</v>
      </c>
      <c r="AA42" s="45">
        <v>6</v>
      </c>
      <c r="AB42" s="45">
        <v>6</v>
      </c>
      <c r="AC42" s="45">
        <v>6</v>
      </c>
      <c r="AD42" s="45">
        <v>6</v>
      </c>
      <c r="AE42" s="45">
        <v>6</v>
      </c>
      <c r="AF42" s="45">
        <v>6</v>
      </c>
      <c r="AG42" s="52">
        <v>22</v>
      </c>
      <c r="AH42" s="47">
        <f t="shared" si="2"/>
        <v>6</v>
      </c>
      <c r="AI42" s="48">
        <f t="shared" si="3"/>
        <v>6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9.8000000000000007</v>
      </c>
      <c r="C45" s="45">
        <v>9.8000000000000007</v>
      </c>
      <c r="D45" s="45">
        <v>9.8000000000000007</v>
      </c>
      <c r="E45" s="45">
        <v>9.8000000000000007</v>
      </c>
      <c r="F45" s="45">
        <v>9.8000000000000007</v>
      </c>
      <c r="G45" s="45">
        <v>9.8000000000000007</v>
      </c>
      <c r="H45" s="45">
        <v>9.8000000000000007</v>
      </c>
      <c r="I45" s="45">
        <v>9.8000000000000007</v>
      </c>
      <c r="J45" s="45">
        <v>9.8000000000000007</v>
      </c>
      <c r="K45" s="45">
        <v>9.8000000000000007</v>
      </c>
      <c r="L45" s="45">
        <v>9.8000000000000007</v>
      </c>
      <c r="M45" s="45">
        <v>9.8000000000000007</v>
      </c>
      <c r="N45" s="45">
        <v>9.8000000000000007</v>
      </c>
      <c r="O45" s="45">
        <v>9.8000000000000007</v>
      </c>
      <c r="P45" s="45">
        <v>9.8000000000000007</v>
      </c>
      <c r="Q45" s="45">
        <v>6</v>
      </c>
      <c r="R45" s="45">
        <v>6</v>
      </c>
      <c r="S45" s="45">
        <v>6</v>
      </c>
      <c r="T45" s="45">
        <v>6</v>
      </c>
      <c r="U45" s="45">
        <v>6</v>
      </c>
      <c r="V45" s="45">
        <v>6</v>
      </c>
      <c r="W45" s="45">
        <v>6</v>
      </c>
      <c r="X45" s="45">
        <v>6</v>
      </c>
      <c r="Y45" s="45">
        <v>6</v>
      </c>
      <c r="Z45" s="45">
        <v>6</v>
      </c>
      <c r="AA45" s="45">
        <v>6</v>
      </c>
      <c r="AB45" s="45">
        <v>6</v>
      </c>
      <c r="AC45" s="45">
        <v>6</v>
      </c>
      <c r="AD45" s="45">
        <v>6</v>
      </c>
      <c r="AE45" s="45">
        <v>6</v>
      </c>
      <c r="AF45" s="45">
        <v>6</v>
      </c>
      <c r="AG45" s="54">
        <v>10</v>
      </c>
      <c r="AH45" s="47">
        <f t="shared" si="2"/>
        <v>9.8000000000000007</v>
      </c>
      <c r="AI45" s="48">
        <f t="shared" si="3"/>
        <v>6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250</v>
      </c>
      <c r="AB48" s="56">
        <v>250</v>
      </c>
      <c r="AC48" s="56">
        <v>250</v>
      </c>
      <c r="AD48" s="56">
        <v>250</v>
      </c>
      <c r="AE48" s="56">
        <v>250</v>
      </c>
      <c r="AF48" s="56">
        <v>250</v>
      </c>
      <c r="AG48" s="54">
        <v>85</v>
      </c>
      <c r="AH48" s="47">
        <f t="shared" si="2"/>
        <v>250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>
        <v>100</v>
      </c>
      <c r="AB49" s="56">
        <v>100</v>
      </c>
      <c r="AC49" s="56">
        <v>100</v>
      </c>
      <c r="AD49" s="56">
        <v>100</v>
      </c>
      <c r="AE49" s="56">
        <v>100</v>
      </c>
      <c r="AF49" s="56">
        <v>100</v>
      </c>
      <c r="AG49" s="54">
        <v>240</v>
      </c>
      <c r="AH49" s="47">
        <f t="shared" si="2"/>
        <v>100</v>
      </c>
      <c r="AI49" s="48">
        <f t="shared" si="3"/>
        <v>100</v>
      </c>
      <c r="AK49" s="74"/>
    </row>
    <row r="50" spans="1:41" ht="15.75" thickBot="1" x14ac:dyDescent="0.3">
      <c r="A50" s="58" t="s">
        <v>66</v>
      </c>
      <c r="B50" s="59">
        <f t="shared" ref="B50:AD50" si="4">SUM(B11:B48)</f>
        <v>832.5</v>
      </c>
      <c r="C50" s="59">
        <f t="shared" si="4"/>
        <v>784.2</v>
      </c>
      <c r="D50" s="59">
        <f t="shared" si="4"/>
        <v>843.2</v>
      </c>
      <c r="E50" s="59">
        <f t="shared" si="4"/>
        <v>843.2</v>
      </c>
      <c r="F50" s="59">
        <f t="shared" ref="F50:G50" si="5">SUM(F11:F48)</f>
        <v>847.2</v>
      </c>
      <c r="G50" s="59">
        <f t="shared" si="5"/>
        <v>893.19999999999993</v>
      </c>
      <c r="H50" s="59">
        <f t="shared" si="4"/>
        <v>893.19999999999993</v>
      </c>
      <c r="I50" s="59">
        <f t="shared" ref="I50:J50" si="6">SUM(I11:I48)</f>
        <v>893.19999999999993</v>
      </c>
      <c r="J50" s="59">
        <f t="shared" si="6"/>
        <v>891</v>
      </c>
      <c r="K50" s="59">
        <f t="shared" si="4"/>
        <v>891</v>
      </c>
      <c r="L50" s="59">
        <f t="shared" ref="L50" si="7">SUM(L11:L48)</f>
        <v>891</v>
      </c>
      <c r="M50" s="59">
        <f t="shared" si="4"/>
        <v>943.59999999999991</v>
      </c>
      <c r="N50" s="59">
        <f t="shared" si="4"/>
        <v>922.2</v>
      </c>
      <c r="O50" s="59">
        <f t="shared" si="4"/>
        <v>888</v>
      </c>
      <c r="P50" s="59">
        <f t="shared" si="4"/>
        <v>916.59999999999991</v>
      </c>
      <c r="Q50" s="59">
        <f t="shared" si="4"/>
        <v>989.3</v>
      </c>
      <c r="R50" s="59">
        <f t="shared" si="4"/>
        <v>1007.3</v>
      </c>
      <c r="S50" s="59">
        <f t="shared" si="4"/>
        <v>993</v>
      </c>
      <c r="T50" s="59">
        <f t="shared" si="4"/>
        <v>990.7</v>
      </c>
      <c r="U50" s="59">
        <f t="shared" si="4"/>
        <v>990.7</v>
      </c>
      <c r="V50" s="59">
        <f t="shared" si="4"/>
        <v>990.7</v>
      </c>
      <c r="W50" s="59">
        <f t="shared" si="4"/>
        <v>990.7</v>
      </c>
      <c r="X50" s="59">
        <f t="shared" si="4"/>
        <v>990.7</v>
      </c>
      <c r="Y50" s="59">
        <f t="shared" si="4"/>
        <v>1013.7</v>
      </c>
      <c r="Z50" s="59">
        <f t="shared" si="4"/>
        <v>1012.7</v>
      </c>
      <c r="AA50" s="59">
        <f t="shared" si="4"/>
        <v>1012.7</v>
      </c>
      <c r="AB50" s="59">
        <f t="shared" si="4"/>
        <v>973.9</v>
      </c>
      <c r="AC50" s="59">
        <f t="shared" ref="AC50" si="8">SUM(AC11:AC48)</f>
        <v>1010</v>
      </c>
      <c r="AD50" s="59">
        <f t="shared" si="4"/>
        <v>1010</v>
      </c>
      <c r="AE50" s="59">
        <f t="shared" ref="AE50:AF50" si="9">SUM(AE11:AE48)</f>
        <v>984</v>
      </c>
      <c r="AF50" s="59">
        <f t="shared" si="9"/>
        <v>975</v>
      </c>
      <c r="AG50" s="60">
        <f>SUM(AG13:AG48)</f>
        <v>922.14</v>
      </c>
      <c r="AH50" s="47">
        <f t="shared" si="2"/>
        <v>1013.7</v>
      </c>
      <c r="AI50" s="48">
        <f t="shared" si="3"/>
        <v>784.2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62">
        <v>456</v>
      </c>
      <c r="R51" s="62">
        <v>456</v>
      </c>
      <c r="S51" s="62">
        <v>456</v>
      </c>
      <c r="T51" s="62">
        <v>456</v>
      </c>
      <c r="U51" s="62">
        <v>456</v>
      </c>
      <c r="V51" s="62">
        <v>456</v>
      </c>
      <c r="W51" s="62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22.4</v>
      </c>
      <c r="C53" s="66">
        <v>22.4</v>
      </c>
      <c r="D53" s="66">
        <v>22.4</v>
      </c>
      <c r="E53" s="66">
        <v>22.4</v>
      </c>
      <c r="F53" s="66">
        <v>22.4</v>
      </c>
      <c r="G53" s="66">
        <v>22.4</v>
      </c>
      <c r="H53" s="66">
        <v>22</v>
      </c>
      <c r="I53" s="66">
        <v>22</v>
      </c>
      <c r="J53" s="66">
        <v>22</v>
      </c>
      <c r="K53" s="66">
        <v>22</v>
      </c>
      <c r="L53" s="66">
        <v>22</v>
      </c>
      <c r="M53" s="66">
        <v>22</v>
      </c>
      <c r="N53" s="66">
        <v>22</v>
      </c>
      <c r="O53" s="66">
        <v>22</v>
      </c>
      <c r="P53" s="66">
        <v>22</v>
      </c>
      <c r="Q53" s="66">
        <v>22</v>
      </c>
      <c r="R53" s="66">
        <v>22</v>
      </c>
      <c r="S53" s="66">
        <v>22</v>
      </c>
      <c r="T53" s="66">
        <v>22</v>
      </c>
      <c r="U53" s="66">
        <v>22</v>
      </c>
      <c r="V53" s="66">
        <v>22</v>
      </c>
      <c r="W53" s="66">
        <v>22</v>
      </c>
      <c r="X53" s="66">
        <v>22</v>
      </c>
      <c r="Y53" s="66">
        <v>22</v>
      </c>
      <c r="Z53" s="66">
        <v>22</v>
      </c>
      <c r="AA53" s="66">
        <v>22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22.4</v>
      </c>
      <c r="AG53" s="67">
        <v>22.1</v>
      </c>
      <c r="AH53" s="47">
        <f t="shared" si="2"/>
        <v>22.4</v>
      </c>
      <c r="AI53" s="48">
        <f t="shared" si="3"/>
        <v>22</v>
      </c>
      <c r="AK53" s="74"/>
    </row>
    <row r="54" spans="1:41" ht="15.75" thickBot="1" x14ac:dyDescent="0.3">
      <c r="A54" s="68" t="s">
        <v>70</v>
      </c>
      <c r="B54" s="59">
        <v>533.4</v>
      </c>
      <c r="C54" s="59">
        <f t="shared" ref="C54:AG54" si="10">SUM(C51:C53)</f>
        <v>533.4</v>
      </c>
      <c r="D54" s="59">
        <f t="shared" si="10"/>
        <v>533.4</v>
      </c>
      <c r="E54" s="59">
        <f t="shared" si="10"/>
        <v>533.4</v>
      </c>
      <c r="F54" s="59">
        <f t="shared" ref="F54:G54" si="11">SUM(F51:F53)</f>
        <v>533.4</v>
      </c>
      <c r="G54" s="59">
        <f t="shared" si="11"/>
        <v>533.4</v>
      </c>
      <c r="H54" s="59">
        <f t="shared" si="10"/>
        <v>533</v>
      </c>
      <c r="I54" s="59">
        <f t="shared" ref="I54:J54" si="12">SUM(I51:I53)</f>
        <v>533</v>
      </c>
      <c r="J54" s="59">
        <f t="shared" si="12"/>
        <v>533</v>
      </c>
      <c r="K54" s="59">
        <f t="shared" si="10"/>
        <v>533</v>
      </c>
      <c r="L54" s="59">
        <f t="shared" ref="L54" si="13">SUM(L51:L53)</f>
        <v>533</v>
      </c>
      <c r="M54" s="59">
        <f t="shared" si="10"/>
        <v>533</v>
      </c>
      <c r="N54" s="59">
        <f t="shared" si="10"/>
        <v>533</v>
      </c>
      <c r="O54" s="59">
        <f t="shared" si="10"/>
        <v>533</v>
      </c>
      <c r="P54" s="59">
        <f t="shared" si="10"/>
        <v>533</v>
      </c>
      <c r="Q54" s="59">
        <f t="shared" si="10"/>
        <v>533</v>
      </c>
      <c r="R54" s="59">
        <f t="shared" si="10"/>
        <v>533</v>
      </c>
      <c r="S54" s="59">
        <f t="shared" si="10"/>
        <v>533</v>
      </c>
      <c r="T54" s="59">
        <f t="shared" si="10"/>
        <v>533</v>
      </c>
      <c r="U54" s="59">
        <f t="shared" si="10"/>
        <v>533</v>
      </c>
      <c r="V54" s="59">
        <f t="shared" si="10"/>
        <v>533</v>
      </c>
      <c r="W54" s="59">
        <f t="shared" si="10"/>
        <v>533</v>
      </c>
      <c r="X54" s="59">
        <f t="shared" si="10"/>
        <v>533</v>
      </c>
      <c r="Y54" s="59">
        <f t="shared" si="10"/>
        <v>533</v>
      </c>
      <c r="Z54" s="59">
        <f t="shared" si="10"/>
        <v>533</v>
      </c>
      <c r="AA54" s="59">
        <f t="shared" si="10"/>
        <v>533</v>
      </c>
      <c r="AB54" s="59">
        <f t="shared" si="10"/>
        <v>533.4</v>
      </c>
      <c r="AC54" s="59">
        <f t="shared" ref="AC54" si="14">SUM(AC51:AC53)</f>
        <v>533.4</v>
      </c>
      <c r="AD54" s="59">
        <f t="shared" si="10"/>
        <v>533.4</v>
      </c>
      <c r="AE54" s="59">
        <f t="shared" ref="AE54" si="15">SUM(AE51:AE53)</f>
        <v>533.4</v>
      </c>
      <c r="AF54" s="59">
        <f t="shared" si="10"/>
        <v>533.4</v>
      </c>
      <c r="AG54" s="60">
        <f t="shared" si="10"/>
        <v>538.1</v>
      </c>
      <c r="AH54" s="47">
        <f t="shared" si="2"/>
        <v>533.4</v>
      </c>
      <c r="AI54" s="48">
        <f t="shared" si="3"/>
        <v>533</v>
      </c>
      <c r="AK54" s="74"/>
    </row>
    <row r="55" spans="1:41" x14ac:dyDescent="0.25">
      <c r="A55" s="44" t="s">
        <v>71</v>
      </c>
      <c r="B55" s="45">
        <v>96.5</v>
      </c>
      <c r="C55" s="45">
        <v>96.5</v>
      </c>
      <c r="D55" s="45">
        <v>96.5</v>
      </c>
      <c r="E55" s="45">
        <v>96.5</v>
      </c>
      <c r="F55" s="45">
        <v>96.5</v>
      </c>
      <c r="G55" s="45">
        <v>96.5</v>
      </c>
      <c r="H55" s="45">
        <v>96.5</v>
      </c>
      <c r="I55" s="45">
        <v>96.5</v>
      </c>
      <c r="J55" s="45">
        <v>96.5</v>
      </c>
      <c r="K55" s="45">
        <v>96.5</v>
      </c>
      <c r="L55" s="45">
        <v>96.5</v>
      </c>
      <c r="M55" s="45">
        <v>96.5</v>
      </c>
      <c r="N55" s="45">
        <v>96.5</v>
      </c>
      <c r="O55" s="45">
        <v>96.5</v>
      </c>
      <c r="P55" s="45">
        <v>95.4</v>
      </c>
      <c r="Q55" s="45">
        <v>95.1</v>
      </c>
      <c r="R55" s="45">
        <v>95.1</v>
      </c>
      <c r="S55" s="45">
        <v>95.1</v>
      </c>
      <c r="T55" s="45">
        <v>95.1</v>
      </c>
      <c r="U55" s="45">
        <v>95.1</v>
      </c>
      <c r="V55" s="45">
        <v>95.1</v>
      </c>
      <c r="W55" s="45">
        <v>95.1</v>
      </c>
      <c r="X55" s="45">
        <v>93.7</v>
      </c>
      <c r="Y55" s="45">
        <v>93.7</v>
      </c>
      <c r="Z55" s="45">
        <v>93.7</v>
      </c>
      <c r="AA55" s="45">
        <v>93.7</v>
      </c>
      <c r="AB55" s="45">
        <v>94.3</v>
      </c>
      <c r="AC55" s="45">
        <v>93.9</v>
      </c>
      <c r="AD55" s="45">
        <v>94</v>
      </c>
      <c r="AE55" s="45">
        <v>94</v>
      </c>
      <c r="AF55" s="45">
        <v>94</v>
      </c>
      <c r="AG55" s="51">
        <v>144</v>
      </c>
      <c r="AH55" s="47">
        <f t="shared" si="2"/>
        <v>96.5</v>
      </c>
      <c r="AI55" s="48">
        <f t="shared" si="3"/>
        <v>93.7</v>
      </c>
      <c r="AK55" s="74"/>
    </row>
    <row r="56" spans="1:41" x14ac:dyDescent="0.25">
      <c r="A56" s="53" t="s">
        <v>72</v>
      </c>
      <c r="B56" s="64">
        <v>70.099999999999994</v>
      </c>
      <c r="C56" s="64">
        <v>70.099999999999994</v>
      </c>
      <c r="D56" s="64">
        <v>70.099999999999994</v>
      </c>
      <c r="E56" s="64">
        <v>70.099999999999994</v>
      </c>
      <c r="F56" s="64">
        <v>70.099999999999994</v>
      </c>
      <c r="G56" s="64">
        <v>70.099999999999994</v>
      </c>
      <c r="H56" s="64">
        <v>70.099999999999994</v>
      </c>
      <c r="I56" s="64">
        <v>70.099999999999994</v>
      </c>
      <c r="J56" s="64">
        <v>70.099999999999994</v>
      </c>
      <c r="K56" s="64">
        <v>70.099999999999994</v>
      </c>
      <c r="L56" s="64">
        <v>70.099999999999994</v>
      </c>
      <c r="M56" s="64">
        <v>70.099999999999994</v>
      </c>
      <c r="N56" s="64">
        <v>70.099999999999994</v>
      </c>
      <c r="O56" s="64">
        <v>70.099999999999994</v>
      </c>
      <c r="P56" s="64">
        <v>70.400000000000006</v>
      </c>
      <c r="Q56" s="64">
        <v>72.5</v>
      </c>
      <c r="R56" s="64">
        <v>72.5</v>
      </c>
      <c r="S56" s="64">
        <v>72.5</v>
      </c>
      <c r="T56" s="64">
        <v>72.5</v>
      </c>
      <c r="U56" s="64">
        <v>72.5</v>
      </c>
      <c r="V56" s="64">
        <v>72.5</v>
      </c>
      <c r="W56" s="64">
        <v>72.5</v>
      </c>
      <c r="X56" s="45">
        <v>71.8</v>
      </c>
      <c r="Y56" s="45">
        <v>71.8</v>
      </c>
      <c r="Z56" s="45">
        <v>71.8</v>
      </c>
      <c r="AA56" s="45">
        <v>71.8</v>
      </c>
      <c r="AB56" s="45">
        <v>70.8</v>
      </c>
      <c r="AC56" s="45">
        <v>72</v>
      </c>
      <c r="AD56" s="45">
        <v>70.400000000000006</v>
      </c>
      <c r="AE56" s="45">
        <v>70.400000000000006</v>
      </c>
      <c r="AF56" s="45">
        <v>70.2</v>
      </c>
      <c r="AG56" s="54">
        <v>70</v>
      </c>
      <c r="AH56" s="47">
        <f t="shared" si="2"/>
        <v>72.5</v>
      </c>
      <c r="AI56" s="48">
        <f t="shared" si="3"/>
        <v>70.099999999999994</v>
      </c>
      <c r="AK56" s="74"/>
    </row>
    <row r="57" spans="1:41" x14ac:dyDescent="0.25">
      <c r="A57" s="53" t="s">
        <v>73</v>
      </c>
      <c r="B57" s="64">
        <v>67.3</v>
      </c>
      <c r="C57" s="64">
        <v>67.3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60</v>
      </c>
      <c r="M57" s="64">
        <v>60</v>
      </c>
      <c r="N57" s="64">
        <v>60</v>
      </c>
      <c r="O57" s="64">
        <v>62</v>
      </c>
      <c r="P57" s="64">
        <v>61.7</v>
      </c>
      <c r="Q57" s="64">
        <v>61.6</v>
      </c>
      <c r="R57" s="64">
        <v>61.6</v>
      </c>
      <c r="S57" s="64">
        <v>61.6</v>
      </c>
      <c r="T57" s="64">
        <v>61.6</v>
      </c>
      <c r="U57" s="64">
        <v>61.6</v>
      </c>
      <c r="V57" s="64">
        <v>61.6</v>
      </c>
      <c r="W57" s="64">
        <v>61.6</v>
      </c>
      <c r="X57" s="45">
        <v>63.2</v>
      </c>
      <c r="Y57" s="45">
        <v>63.2</v>
      </c>
      <c r="Z57" s="45">
        <v>63.2</v>
      </c>
      <c r="AA57" s="45">
        <v>63.2</v>
      </c>
      <c r="AB57" s="45">
        <v>63.5</v>
      </c>
      <c r="AC57" s="45">
        <v>63.4</v>
      </c>
      <c r="AD57" s="45">
        <v>64.099999999999994</v>
      </c>
      <c r="AE57" s="45">
        <v>64.099999999999994</v>
      </c>
      <c r="AF57" s="45">
        <v>61.1</v>
      </c>
      <c r="AG57" s="54">
        <v>69</v>
      </c>
      <c r="AH57" s="47">
        <f t="shared" si="2"/>
        <v>67.3</v>
      </c>
      <c r="AI57" s="48">
        <f t="shared" si="3"/>
        <v>0</v>
      </c>
      <c r="AK57" s="74"/>
    </row>
    <row r="58" spans="1:41" x14ac:dyDescent="0.25">
      <c r="A58" s="53" t="s">
        <v>74</v>
      </c>
      <c r="B58" s="64">
        <v>60.2</v>
      </c>
      <c r="C58" s="64">
        <v>60.2</v>
      </c>
      <c r="D58" s="64">
        <v>60.2</v>
      </c>
      <c r="E58" s="64">
        <v>60.2</v>
      </c>
      <c r="F58" s="64">
        <v>60.2</v>
      </c>
      <c r="G58" s="64">
        <v>60.2</v>
      </c>
      <c r="H58" s="64">
        <v>60.2</v>
      </c>
      <c r="I58" s="64">
        <v>60.2</v>
      </c>
      <c r="J58" s="64">
        <v>60.2</v>
      </c>
      <c r="K58" s="64">
        <v>60.2</v>
      </c>
      <c r="L58" s="64">
        <v>60.2</v>
      </c>
      <c r="M58" s="64">
        <v>60.9</v>
      </c>
      <c r="N58" s="64">
        <v>60.9</v>
      </c>
      <c r="O58" s="64">
        <v>35.799999999999997</v>
      </c>
      <c r="P58" s="64">
        <v>60.4</v>
      </c>
      <c r="Q58" s="64">
        <v>50.9</v>
      </c>
      <c r="R58" s="64">
        <v>50.9</v>
      </c>
      <c r="S58" s="64">
        <v>50.9</v>
      </c>
      <c r="T58" s="64">
        <v>50.9</v>
      </c>
      <c r="U58" s="64">
        <v>50.9</v>
      </c>
      <c r="V58" s="64">
        <v>50.9</v>
      </c>
      <c r="W58" s="64">
        <v>50.9</v>
      </c>
      <c r="X58" s="45">
        <v>59.2</v>
      </c>
      <c r="Y58" s="45">
        <v>59.2</v>
      </c>
      <c r="Z58" s="45">
        <v>59.2</v>
      </c>
      <c r="AA58" s="45">
        <v>59.2</v>
      </c>
      <c r="AB58" s="45">
        <v>60.1</v>
      </c>
      <c r="AC58" s="45">
        <v>59.2</v>
      </c>
      <c r="AD58" s="45">
        <v>59.2</v>
      </c>
      <c r="AE58" s="45">
        <v>59.2</v>
      </c>
      <c r="AF58" s="45">
        <v>60.7</v>
      </c>
      <c r="AG58" s="54">
        <v>60</v>
      </c>
      <c r="AH58" s="47">
        <f t="shared" si="2"/>
        <v>60.9</v>
      </c>
      <c r="AI58" s="48">
        <f t="shared" si="3"/>
        <v>35.799999999999997</v>
      </c>
      <c r="AK58" s="74"/>
    </row>
    <row r="59" spans="1:41" x14ac:dyDescent="0.25">
      <c r="A59" s="53" t="s">
        <v>75</v>
      </c>
      <c r="B59" s="64">
        <v>30</v>
      </c>
      <c r="C59" s="64">
        <v>30</v>
      </c>
      <c r="D59" s="64">
        <v>30</v>
      </c>
      <c r="E59" s="64">
        <v>30</v>
      </c>
      <c r="F59" s="64">
        <v>30</v>
      </c>
      <c r="G59" s="64">
        <v>30</v>
      </c>
      <c r="H59" s="64">
        <v>30</v>
      </c>
      <c r="I59" s="64">
        <v>30</v>
      </c>
      <c r="J59" s="64">
        <v>30</v>
      </c>
      <c r="K59" s="64">
        <v>30</v>
      </c>
      <c r="L59" s="64">
        <v>30</v>
      </c>
      <c r="M59" s="64">
        <v>30</v>
      </c>
      <c r="N59" s="64">
        <v>30</v>
      </c>
      <c r="O59" s="64">
        <v>30</v>
      </c>
      <c r="P59" s="64">
        <v>30</v>
      </c>
      <c r="Q59" s="64">
        <v>30</v>
      </c>
      <c r="R59" s="64">
        <v>30</v>
      </c>
      <c r="S59" s="64">
        <v>30</v>
      </c>
      <c r="T59" s="64">
        <v>30</v>
      </c>
      <c r="U59" s="64">
        <v>30</v>
      </c>
      <c r="V59" s="64">
        <v>30</v>
      </c>
      <c r="W59" s="64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30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1</v>
      </c>
      <c r="N60" s="64">
        <v>2</v>
      </c>
      <c r="O60" s="64">
        <v>6.4</v>
      </c>
      <c r="P60" s="64">
        <v>11.6</v>
      </c>
      <c r="Q60" s="64">
        <v>8.6</v>
      </c>
      <c r="R60" s="64">
        <v>8.6</v>
      </c>
      <c r="S60" s="64">
        <v>8.6</v>
      </c>
      <c r="T60" s="64">
        <v>8.6</v>
      </c>
      <c r="U60" s="64">
        <v>8.6</v>
      </c>
      <c r="V60" s="64">
        <v>8.6</v>
      </c>
      <c r="W60" s="64">
        <v>8.6</v>
      </c>
      <c r="X60" s="45">
        <v>8.6</v>
      </c>
      <c r="Y60" s="45">
        <v>8.6</v>
      </c>
      <c r="Z60" s="45">
        <v>8.6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11.6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16</v>
      </c>
      <c r="C61" s="64">
        <v>16</v>
      </c>
      <c r="D61" s="64">
        <v>16</v>
      </c>
      <c r="E61" s="64">
        <v>16</v>
      </c>
      <c r="F61" s="64">
        <v>16</v>
      </c>
      <c r="G61" s="64">
        <v>16</v>
      </c>
      <c r="H61" s="64">
        <v>16</v>
      </c>
      <c r="I61" s="64">
        <v>16</v>
      </c>
      <c r="J61" s="64">
        <v>16</v>
      </c>
      <c r="K61" s="64">
        <v>16</v>
      </c>
      <c r="L61" s="64">
        <v>16</v>
      </c>
      <c r="M61" s="64">
        <v>16</v>
      </c>
      <c r="N61" s="64">
        <v>16</v>
      </c>
      <c r="O61" s="64">
        <v>16</v>
      </c>
      <c r="P61" s="64">
        <v>16</v>
      </c>
      <c r="Q61" s="64">
        <v>16</v>
      </c>
      <c r="R61" s="64">
        <v>16</v>
      </c>
      <c r="S61" s="64">
        <v>16</v>
      </c>
      <c r="T61" s="64">
        <v>16</v>
      </c>
      <c r="U61" s="64">
        <v>16</v>
      </c>
      <c r="V61" s="64">
        <v>16</v>
      </c>
      <c r="W61" s="64">
        <v>16</v>
      </c>
      <c r="X61" s="64">
        <v>16</v>
      </c>
      <c r="Y61" s="64">
        <v>16</v>
      </c>
      <c r="Z61" s="64">
        <v>16</v>
      </c>
      <c r="AA61" s="64">
        <v>16</v>
      </c>
      <c r="AB61" s="64">
        <v>16</v>
      </c>
      <c r="AC61" s="64">
        <v>16</v>
      </c>
      <c r="AD61" s="64">
        <v>16</v>
      </c>
      <c r="AE61" s="64">
        <v>16</v>
      </c>
      <c r="AF61" s="64">
        <v>16</v>
      </c>
      <c r="AG61" s="54">
        <v>24</v>
      </c>
      <c r="AH61" s="47">
        <f t="shared" si="2"/>
        <v>16</v>
      </c>
      <c r="AI61" s="48">
        <f t="shared" si="3"/>
        <v>16</v>
      </c>
      <c r="AK61" s="74"/>
    </row>
    <row r="62" spans="1:41" x14ac:dyDescent="0.25">
      <c r="A62" s="53" t="s">
        <v>78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3</v>
      </c>
      <c r="AA62" s="64">
        <v>3</v>
      </c>
      <c r="AB62" s="64">
        <v>3</v>
      </c>
      <c r="AC62" s="64">
        <v>3</v>
      </c>
      <c r="AD62" s="64">
        <v>3</v>
      </c>
      <c r="AE62" s="64">
        <v>3</v>
      </c>
      <c r="AF62" s="64">
        <v>3</v>
      </c>
      <c r="AG62" s="54">
        <v>15</v>
      </c>
      <c r="AH62" s="47">
        <f t="shared" si="2"/>
        <v>3</v>
      </c>
      <c r="AI62" s="48">
        <f t="shared" si="3"/>
        <v>0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11.4</v>
      </c>
      <c r="C63" s="64">
        <v>11.4</v>
      </c>
      <c r="D63" s="64">
        <v>11.4</v>
      </c>
      <c r="E63" s="64">
        <v>11.4</v>
      </c>
      <c r="F63" s="64">
        <v>11.4</v>
      </c>
      <c r="G63" s="64">
        <v>11.4</v>
      </c>
      <c r="H63" s="64">
        <v>11.4</v>
      </c>
      <c r="I63" s="64">
        <v>11.4</v>
      </c>
      <c r="J63" s="64">
        <v>11.4</v>
      </c>
      <c r="K63" s="64">
        <v>11.4</v>
      </c>
      <c r="L63" s="64">
        <v>11.4</v>
      </c>
      <c r="M63" s="64">
        <v>12.7</v>
      </c>
      <c r="N63" s="64">
        <v>12.7</v>
      </c>
      <c r="O63" s="64">
        <v>12.7</v>
      </c>
      <c r="P63" s="64">
        <v>12.7</v>
      </c>
      <c r="Q63" s="64">
        <v>11.9</v>
      </c>
      <c r="R63" s="64">
        <v>11.9</v>
      </c>
      <c r="S63" s="64">
        <v>11.9</v>
      </c>
      <c r="T63" s="64">
        <v>0</v>
      </c>
      <c r="U63" s="64">
        <v>13.3</v>
      </c>
      <c r="V63" s="64">
        <v>13.3</v>
      </c>
      <c r="W63" s="64">
        <v>13.3</v>
      </c>
      <c r="X63" s="64">
        <v>13.3</v>
      </c>
      <c r="Y63" s="64">
        <v>13.3</v>
      </c>
      <c r="Z63" s="64">
        <v>13.3</v>
      </c>
      <c r="AA63" s="64">
        <v>13.3</v>
      </c>
      <c r="AB63" s="64">
        <v>12.7</v>
      </c>
      <c r="AC63" s="64">
        <v>12.6</v>
      </c>
      <c r="AD63" s="64">
        <v>12.6</v>
      </c>
      <c r="AE63" s="64">
        <v>12.6</v>
      </c>
      <c r="AF63" s="64">
        <v>13.1</v>
      </c>
      <c r="AG63" s="54">
        <v>14.1</v>
      </c>
      <c r="AH63" s="47">
        <f t="shared" si="2"/>
        <v>13.3</v>
      </c>
      <c r="AI63" s="48">
        <f t="shared" si="3"/>
        <v>0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7</v>
      </c>
      <c r="C64" s="64">
        <v>7</v>
      </c>
      <c r="D64" s="64">
        <v>7</v>
      </c>
      <c r="E64" s="64">
        <v>7</v>
      </c>
      <c r="F64" s="64">
        <v>7</v>
      </c>
      <c r="G64" s="64">
        <v>7</v>
      </c>
      <c r="H64" s="64">
        <v>7</v>
      </c>
      <c r="I64" s="64">
        <v>7</v>
      </c>
      <c r="J64" s="64">
        <v>7</v>
      </c>
      <c r="K64" s="64">
        <v>7</v>
      </c>
      <c r="L64" s="64">
        <v>7</v>
      </c>
      <c r="M64" s="64">
        <v>7</v>
      </c>
      <c r="N64" s="64">
        <v>7</v>
      </c>
      <c r="O64" s="64">
        <v>7</v>
      </c>
      <c r="P64" s="64">
        <v>7</v>
      </c>
      <c r="Q64" s="64">
        <v>7</v>
      </c>
      <c r="R64" s="64">
        <v>7</v>
      </c>
      <c r="S64" s="64">
        <v>7</v>
      </c>
      <c r="T64" s="64">
        <v>0</v>
      </c>
      <c r="U64" s="64">
        <v>7</v>
      </c>
      <c r="V64" s="64">
        <v>7</v>
      </c>
      <c r="W64" s="64">
        <v>7</v>
      </c>
      <c r="X64" s="64">
        <v>7</v>
      </c>
      <c r="Y64" s="64">
        <v>7</v>
      </c>
      <c r="Z64" s="64">
        <v>7</v>
      </c>
      <c r="AA64" s="64">
        <v>7</v>
      </c>
      <c r="AB64" s="64">
        <v>7</v>
      </c>
      <c r="AC64" s="64">
        <v>7</v>
      </c>
      <c r="AD64" s="64">
        <v>7</v>
      </c>
      <c r="AE64" s="64">
        <v>7</v>
      </c>
      <c r="AF64" s="64">
        <v>1.5</v>
      </c>
      <c r="AG64" s="54">
        <v>14</v>
      </c>
      <c r="AH64" s="47">
        <f t="shared" si="2"/>
        <v>7</v>
      </c>
      <c r="AI64" s="48">
        <f t="shared" si="3"/>
        <v>0</v>
      </c>
      <c r="AK64" s="74"/>
    </row>
    <row r="65" spans="1:40" x14ac:dyDescent="0.25">
      <c r="A65" s="53" t="s">
        <v>81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v>377.73999999999995</v>
      </c>
      <c r="C68" s="59">
        <f t="shared" ref="C68:AG68" si="16">SUM(C55:C67)</f>
        <v>377.73999999999995</v>
      </c>
      <c r="D68" s="59">
        <f t="shared" si="16"/>
        <v>310.44</v>
      </c>
      <c r="E68" s="59">
        <f t="shared" si="16"/>
        <v>310.44</v>
      </c>
      <c r="F68" s="59">
        <f t="shared" ref="F68:G68" si="17">SUM(F55:F67)</f>
        <v>310.44</v>
      </c>
      <c r="G68" s="59">
        <f t="shared" si="17"/>
        <v>310.44</v>
      </c>
      <c r="H68" s="59">
        <f t="shared" si="16"/>
        <v>310.44</v>
      </c>
      <c r="I68" s="59">
        <f t="shared" ref="I68:J68" si="18">SUM(I55:I67)</f>
        <v>310.44</v>
      </c>
      <c r="J68" s="59">
        <f t="shared" si="18"/>
        <v>310.44</v>
      </c>
      <c r="K68" s="59">
        <f t="shared" si="16"/>
        <v>310.44</v>
      </c>
      <c r="L68" s="59">
        <f t="shared" ref="L68" si="19">SUM(L55:L67)</f>
        <v>370.44</v>
      </c>
      <c r="M68" s="59">
        <f t="shared" si="16"/>
        <v>373.44</v>
      </c>
      <c r="N68" s="59">
        <f t="shared" si="16"/>
        <v>374.44</v>
      </c>
      <c r="O68" s="59">
        <f t="shared" si="16"/>
        <v>355.73999999999995</v>
      </c>
      <c r="P68" s="59">
        <f t="shared" si="16"/>
        <v>384.44</v>
      </c>
      <c r="Q68" s="59">
        <f t="shared" si="16"/>
        <v>372.84</v>
      </c>
      <c r="R68" s="59">
        <f t="shared" si="16"/>
        <v>372.84</v>
      </c>
      <c r="S68" s="59">
        <f t="shared" si="16"/>
        <v>372.84</v>
      </c>
      <c r="T68" s="59">
        <f t="shared" si="16"/>
        <v>353.94</v>
      </c>
      <c r="U68" s="59">
        <f t="shared" si="16"/>
        <v>374.24</v>
      </c>
      <c r="V68" s="59">
        <f t="shared" si="16"/>
        <v>374.24</v>
      </c>
      <c r="W68" s="59">
        <f t="shared" si="16"/>
        <v>374.24</v>
      </c>
      <c r="X68" s="59">
        <f t="shared" si="16"/>
        <v>382.04</v>
      </c>
      <c r="Y68" s="59">
        <f t="shared" si="16"/>
        <v>382.04</v>
      </c>
      <c r="Z68" s="59">
        <f t="shared" si="16"/>
        <v>385.04</v>
      </c>
      <c r="AA68" s="59">
        <f t="shared" si="16"/>
        <v>376.44</v>
      </c>
      <c r="AB68" s="59">
        <f t="shared" si="16"/>
        <v>376.64</v>
      </c>
      <c r="AC68" s="59">
        <f t="shared" ref="AC68" si="20">SUM(AC55:AC67)</f>
        <v>376.34000000000003</v>
      </c>
      <c r="AD68" s="59">
        <f t="shared" si="16"/>
        <v>375.54</v>
      </c>
      <c r="AE68" s="59">
        <f t="shared" si="16"/>
        <v>375.54</v>
      </c>
      <c r="AF68" s="59">
        <f t="shared" si="16"/>
        <v>368.84000000000003</v>
      </c>
      <c r="AG68" s="60">
        <f t="shared" si="16"/>
        <v>489.91</v>
      </c>
      <c r="AH68" s="47">
        <f t="shared" si="2"/>
        <v>385.04</v>
      </c>
      <c r="AI68" s="48">
        <f t="shared" si="3"/>
        <v>310.44</v>
      </c>
      <c r="AK68" s="74"/>
    </row>
    <row r="69" spans="1:40" x14ac:dyDescent="0.25">
      <c r="A69" s="44" t="s">
        <v>85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15</v>
      </c>
      <c r="P69" s="45">
        <v>0</v>
      </c>
      <c r="Q69" s="45">
        <v>0</v>
      </c>
      <c r="R69" s="45">
        <v>0</v>
      </c>
      <c r="S69" s="45">
        <v>33</v>
      </c>
      <c r="T69" s="45">
        <v>12</v>
      </c>
      <c r="U69" s="45">
        <v>12</v>
      </c>
      <c r="V69" s="45">
        <v>12</v>
      </c>
      <c r="W69" s="45">
        <v>12</v>
      </c>
      <c r="X69" s="45">
        <v>0</v>
      </c>
      <c r="Y69" s="45">
        <v>0</v>
      </c>
      <c r="Z69" s="45">
        <v>0</v>
      </c>
      <c r="AA69" s="45">
        <v>29.2</v>
      </c>
      <c r="AB69" s="45">
        <v>29.8</v>
      </c>
      <c r="AC69" s="45">
        <v>13.9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33</v>
      </c>
      <c r="AI69" s="48">
        <f t="shared" si="3"/>
        <v>0</v>
      </c>
      <c r="AK69" s="74"/>
    </row>
    <row r="70" spans="1:40" x14ac:dyDescent="0.25">
      <c r="A70" s="53" t="s">
        <v>86</v>
      </c>
      <c r="B70" s="45">
        <v>0</v>
      </c>
      <c r="C70" s="45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21.3</v>
      </c>
      <c r="T70" s="64">
        <v>5</v>
      </c>
      <c r="U70" s="64">
        <v>5</v>
      </c>
      <c r="V70" s="64">
        <v>5</v>
      </c>
      <c r="W70" s="64">
        <v>5</v>
      </c>
      <c r="X70" s="64">
        <v>0</v>
      </c>
      <c r="Y70" s="64">
        <v>0</v>
      </c>
      <c r="Z70" s="64">
        <v>0</v>
      </c>
      <c r="AA70" s="64">
        <v>15.3</v>
      </c>
      <c r="AB70" s="64">
        <v>6.7</v>
      </c>
      <c r="AC70" s="64">
        <v>6.3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21.3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>
        <v>0</v>
      </c>
      <c r="C71" s="45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7.8</v>
      </c>
      <c r="T71" s="66">
        <v>2</v>
      </c>
      <c r="U71" s="66">
        <v>2</v>
      </c>
      <c r="V71" s="66">
        <v>2</v>
      </c>
      <c r="W71" s="66">
        <v>2</v>
      </c>
      <c r="X71" s="66">
        <v>0</v>
      </c>
      <c r="Y71" s="66">
        <v>0</v>
      </c>
      <c r="Z71" s="66">
        <v>0</v>
      </c>
      <c r="AA71" s="66">
        <v>5.6</v>
      </c>
      <c r="AB71" s="66">
        <v>2.4</v>
      </c>
      <c r="AC71" s="66">
        <v>2.2999999999999998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7.8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v>0</v>
      </c>
      <c r="M72" s="59">
        <f t="shared" ref="M72:AF72" si="21">M69+M70+M71</f>
        <v>0</v>
      </c>
      <c r="N72" s="59">
        <f t="shared" si="21"/>
        <v>0</v>
      </c>
      <c r="O72" s="59">
        <f t="shared" si="21"/>
        <v>15</v>
      </c>
      <c r="P72" s="59">
        <f t="shared" si="21"/>
        <v>0</v>
      </c>
      <c r="Q72" s="59">
        <f t="shared" si="21"/>
        <v>0</v>
      </c>
      <c r="R72" s="59">
        <f t="shared" si="21"/>
        <v>0</v>
      </c>
      <c r="S72" s="59">
        <f t="shared" si="21"/>
        <v>62.099999999999994</v>
      </c>
      <c r="T72" s="59">
        <f t="shared" si="21"/>
        <v>19</v>
      </c>
      <c r="U72" s="59">
        <f t="shared" si="21"/>
        <v>19</v>
      </c>
      <c r="V72" s="59">
        <f t="shared" si="21"/>
        <v>19</v>
      </c>
      <c r="W72" s="59">
        <f t="shared" si="21"/>
        <v>19</v>
      </c>
      <c r="X72" s="59">
        <f t="shared" si="21"/>
        <v>0</v>
      </c>
      <c r="Y72" s="59">
        <f t="shared" si="21"/>
        <v>0</v>
      </c>
      <c r="Z72" s="59">
        <f t="shared" si="21"/>
        <v>0</v>
      </c>
      <c r="AA72" s="59">
        <f t="shared" si="21"/>
        <v>50.1</v>
      </c>
      <c r="AB72" s="59">
        <f t="shared" si="21"/>
        <v>38.9</v>
      </c>
      <c r="AC72" s="59">
        <f t="shared" ref="AC72" si="22">AC69+AC70+AC71</f>
        <v>22.5</v>
      </c>
      <c r="AD72" s="59">
        <f t="shared" si="21"/>
        <v>0</v>
      </c>
      <c r="AE72" s="59">
        <f t="shared" si="21"/>
        <v>0</v>
      </c>
      <c r="AF72" s="59">
        <f t="shared" si="21"/>
        <v>0</v>
      </c>
      <c r="AG72" s="60">
        <f>SUM(AG69:AG71)</f>
        <v>106</v>
      </c>
      <c r="AH72" s="47">
        <f t="shared" si="2"/>
        <v>62.099999999999994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28</v>
      </c>
      <c r="C73" s="45">
        <v>20</v>
      </c>
      <c r="D73" s="45">
        <v>24</v>
      </c>
      <c r="E73" s="45">
        <v>24</v>
      </c>
      <c r="F73" s="45">
        <v>24</v>
      </c>
      <c r="G73" s="45">
        <v>17</v>
      </c>
      <c r="H73" s="45">
        <v>10</v>
      </c>
      <c r="I73" s="45">
        <v>6</v>
      </c>
      <c r="J73" s="45">
        <v>5.3</v>
      </c>
      <c r="K73" s="45">
        <v>5.3</v>
      </c>
      <c r="L73" s="45">
        <v>5.3</v>
      </c>
      <c r="M73" s="45">
        <v>23</v>
      </c>
      <c r="N73" s="45">
        <v>0</v>
      </c>
      <c r="O73" s="45">
        <v>26.3</v>
      </c>
      <c r="P73" s="45">
        <v>2.2999999999999998</v>
      </c>
      <c r="Q73" s="45">
        <v>-3</v>
      </c>
      <c r="R73" s="45">
        <v>-6</v>
      </c>
      <c r="S73" s="45">
        <v>-3.8</v>
      </c>
      <c r="T73" s="45">
        <v>-4.3</v>
      </c>
      <c r="U73" s="45">
        <v>6.3</v>
      </c>
      <c r="V73" s="45">
        <v>0.9</v>
      </c>
      <c r="W73" s="45">
        <v>6.3</v>
      </c>
      <c r="X73" s="45">
        <v>7.1</v>
      </c>
      <c r="Y73" s="45">
        <v>14.7</v>
      </c>
      <c r="Z73" s="45">
        <v>15.9</v>
      </c>
      <c r="AA73" s="45">
        <v>19.100000000000001</v>
      </c>
      <c r="AB73" s="45">
        <v>27</v>
      </c>
      <c r="AC73" s="45">
        <v>19.5</v>
      </c>
      <c r="AD73" s="45">
        <v>18.899999999999999</v>
      </c>
      <c r="AE73" s="45">
        <v>26.8</v>
      </c>
      <c r="AF73" s="45">
        <v>19.2</v>
      </c>
      <c r="AG73" s="51"/>
      <c r="AH73" s="47">
        <f t="shared" si="2"/>
        <v>28</v>
      </c>
      <c r="AI73" s="48">
        <f t="shared" si="3"/>
        <v>-6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-314</v>
      </c>
      <c r="C75" s="64">
        <v>-282</v>
      </c>
      <c r="D75" s="64">
        <v>-340</v>
      </c>
      <c r="E75" s="64">
        <v>-330</v>
      </c>
      <c r="F75" s="64">
        <v>350</v>
      </c>
      <c r="G75" s="64">
        <v>-400</v>
      </c>
      <c r="H75" s="64">
        <v>-410</v>
      </c>
      <c r="I75" s="64">
        <v>-360</v>
      </c>
      <c r="J75" s="64">
        <v>-375</v>
      </c>
      <c r="K75" s="64">
        <v>-395</v>
      </c>
      <c r="L75" s="64">
        <v>-395</v>
      </c>
      <c r="M75" s="64">
        <v>-422</v>
      </c>
      <c r="N75" s="64">
        <v>-380</v>
      </c>
      <c r="O75" s="64">
        <v>-419</v>
      </c>
      <c r="P75" s="64">
        <v>-365</v>
      </c>
      <c r="Q75" s="64">
        <v>-365</v>
      </c>
      <c r="R75" s="64">
        <v>-313.10000000000002</v>
      </c>
      <c r="S75" s="64">
        <v>-349</v>
      </c>
      <c r="T75" s="64">
        <v>-348</v>
      </c>
      <c r="U75" s="64">
        <v>-337</v>
      </c>
      <c r="V75" s="64">
        <v>-423</v>
      </c>
      <c r="W75" s="64">
        <v>-412</v>
      </c>
      <c r="X75" s="64">
        <v>-416.7</v>
      </c>
      <c r="Y75" s="64">
        <v>-463</v>
      </c>
      <c r="Z75" s="64">
        <v>-359</v>
      </c>
      <c r="AA75" s="64">
        <v>-327</v>
      </c>
      <c r="AB75" s="64">
        <v>-325</v>
      </c>
      <c r="AC75" s="64">
        <v>-302</v>
      </c>
      <c r="AD75" s="64">
        <v>-308</v>
      </c>
      <c r="AE75" s="64">
        <v>-319</v>
      </c>
      <c r="AF75" s="64">
        <v>-299</v>
      </c>
      <c r="AG75" s="75"/>
      <c r="AH75" s="47">
        <f t="shared" si="2"/>
        <v>350</v>
      </c>
      <c r="AI75" s="48">
        <f t="shared" si="3"/>
        <v>-463</v>
      </c>
      <c r="AK75" s="74"/>
    </row>
    <row r="76" spans="1:40" x14ac:dyDescent="0.25">
      <c r="A76" s="53" t="s">
        <v>92</v>
      </c>
      <c r="B76" s="64">
        <v>10</v>
      </c>
      <c r="C76" s="64">
        <v>10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11</v>
      </c>
      <c r="Z76" s="76">
        <v>11</v>
      </c>
      <c r="AA76" s="76">
        <v>11</v>
      </c>
      <c r="AB76" s="76">
        <v>21.8</v>
      </c>
      <c r="AC76" s="76">
        <v>0</v>
      </c>
      <c r="AD76" s="64">
        <v>0</v>
      </c>
      <c r="AE76" s="76">
        <v>16</v>
      </c>
      <c r="AF76" s="76">
        <v>0</v>
      </c>
      <c r="AG76" s="75"/>
      <c r="AH76" s="47">
        <f t="shared" si="2"/>
        <v>21.8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23">MAX(B77:AF77)</f>
        <v>0</v>
      </c>
      <c r="AI77" s="48">
        <f t="shared" ref="AI77:AI120" si="24">MIN(B77:AF77)</f>
        <v>0</v>
      </c>
      <c r="AK77" s="74"/>
    </row>
    <row r="78" spans="1:40" x14ac:dyDescent="0.25">
      <c r="A78" s="53" t="s">
        <v>94</v>
      </c>
      <c r="B78" s="45">
        <v>0</v>
      </c>
      <c r="C78" s="45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45">
        <v>0</v>
      </c>
      <c r="AC78" s="45">
        <v>0</v>
      </c>
      <c r="AD78" s="45">
        <v>0</v>
      </c>
      <c r="AE78" s="45">
        <v>0</v>
      </c>
      <c r="AF78" s="77">
        <v>0</v>
      </c>
      <c r="AG78" s="75"/>
      <c r="AH78" s="47">
        <f t="shared" si="23"/>
        <v>0</v>
      </c>
      <c r="AI78" s="48">
        <f t="shared" si="24"/>
        <v>0</v>
      </c>
      <c r="AK78" s="74"/>
    </row>
    <row r="79" spans="1:40" ht="15.75" thickBot="1" x14ac:dyDescent="0.3">
      <c r="A79" s="53" t="s">
        <v>95</v>
      </c>
      <c r="B79" s="45">
        <v>0</v>
      </c>
      <c r="C79" s="45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45">
        <v>0</v>
      </c>
      <c r="AC79" s="45">
        <v>0</v>
      </c>
      <c r="AD79" s="45">
        <v>0</v>
      </c>
      <c r="AE79" s="45">
        <v>0</v>
      </c>
      <c r="AF79" s="77">
        <v>0</v>
      </c>
      <c r="AG79" s="75"/>
      <c r="AH79" s="47">
        <f t="shared" si="23"/>
        <v>0</v>
      </c>
      <c r="AI79" s="48">
        <f t="shared" si="24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>
        <v>0</v>
      </c>
      <c r="C80" s="45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45">
        <v>0</v>
      </c>
      <c r="AC80" s="45">
        <v>0</v>
      </c>
      <c r="AD80" s="45">
        <v>0</v>
      </c>
      <c r="AE80" s="45">
        <v>0</v>
      </c>
      <c r="AF80" s="77">
        <v>0</v>
      </c>
      <c r="AG80" s="75"/>
      <c r="AH80" s="47">
        <f t="shared" si="23"/>
        <v>0</v>
      </c>
      <c r="AI80" s="48">
        <f t="shared" si="24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>
        <v>0</v>
      </c>
      <c r="C81" s="45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45">
        <v>0</v>
      </c>
      <c r="AC81" s="45">
        <v>0</v>
      </c>
      <c r="AD81" s="45">
        <v>0</v>
      </c>
      <c r="AE81" s="45">
        <v>0</v>
      </c>
      <c r="AF81" s="77">
        <v>0</v>
      </c>
      <c r="AG81" s="75"/>
      <c r="AH81" s="47">
        <f t="shared" si="23"/>
        <v>0</v>
      </c>
      <c r="AI81" s="48">
        <f t="shared" si="24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>
        <v>0</v>
      </c>
      <c r="C82" s="45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45">
        <v>0</v>
      </c>
      <c r="AC82" s="45">
        <v>0</v>
      </c>
      <c r="AD82" s="45">
        <v>0</v>
      </c>
      <c r="AE82" s="45">
        <v>0</v>
      </c>
      <c r="AF82" s="77">
        <v>0</v>
      </c>
      <c r="AG82" s="85"/>
      <c r="AH82" s="47">
        <f t="shared" si="23"/>
        <v>0</v>
      </c>
      <c r="AI82" s="48">
        <f t="shared" si="24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>
        <v>0</v>
      </c>
      <c r="C83" s="45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45">
        <v>0</v>
      </c>
      <c r="AC83" s="45">
        <v>0</v>
      </c>
      <c r="AD83" s="45">
        <v>0</v>
      </c>
      <c r="AE83" s="45">
        <v>0</v>
      </c>
      <c r="AF83" s="77">
        <v>0</v>
      </c>
      <c r="AG83" s="85"/>
      <c r="AH83" s="47">
        <f t="shared" si="23"/>
        <v>0</v>
      </c>
      <c r="AI83" s="48">
        <f t="shared" si="24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v>64</v>
      </c>
      <c r="C84" s="59">
        <f t="shared" ref="C84:AF84" si="25">SUMIF(C73:C83,"&gt;0")</f>
        <v>30</v>
      </c>
      <c r="D84" s="59">
        <f t="shared" si="25"/>
        <v>24</v>
      </c>
      <c r="E84" s="59">
        <f t="shared" si="25"/>
        <v>24</v>
      </c>
      <c r="F84" s="59">
        <f t="shared" ref="F84:G84" si="26">SUMIF(F73:F83,"&gt;0")</f>
        <v>374</v>
      </c>
      <c r="G84" s="59">
        <f t="shared" si="26"/>
        <v>17</v>
      </c>
      <c r="H84" s="59">
        <f t="shared" si="25"/>
        <v>10</v>
      </c>
      <c r="I84" s="59">
        <f t="shared" ref="I84:J84" si="27">SUMIF(I73:I83,"&gt;0")</f>
        <v>6</v>
      </c>
      <c r="J84" s="59">
        <f t="shared" si="27"/>
        <v>5.3</v>
      </c>
      <c r="K84" s="59">
        <f t="shared" si="25"/>
        <v>5.3</v>
      </c>
      <c r="L84" s="59">
        <f t="shared" ref="L84" si="28">SUMIF(L73:L83,"&gt;0")</f>
        <v>5.3</v>
      </c>
      <c r="M84" s="59">
        <f t="shared" si="25"/>
        <v>23</v>
      </c>
      <c r="N84" s="59">
        <f t="shared" si="25"/>
        <v>0</v>
      </c>
      <c r="O84" s="59">
        <f t="shared" si="25"/>
        <v>26.3</v>
      </c>
      <c r="P84" s="59">
        <f t="shared" si="25"/>
        <v>2.2999999999999998</v>
      </c>
      <c r="Q84" s="59">
        <f t="shared" si="25"/>
        <v>0</v>
      </c>
      <c r="R84" s="59">
        <f t="shared" si="25"/>
        <v>0</v>
      </c>
      <c r="S84" s="59">
        <f t="shared" si="25"/>
        <v>0</v>
      </c>
      <c r="T84" s="59">
        <f t="shared" si="25"/>
        <v>0</v>
      </c>
      <c r="U84" s="59">
        <f t="shared" si="25"/>
        <v>6.3</v>
      </c>
      <c r="V84" s="59">
        <f t="shared" si="25"/>
        <v>0.9</v>
      </c>
      <c r="W84" s="59">
        <f t="shared" si="25"/>
        <v>6.3</v>
      </c>
      <c r="X84" s="59">
        <f t="shared" si="25"/>
        <v>7.1</v>
      </c>
      <c r="Y84" s="59">
        <f t="shared" si="25"/>
        <v>25.7</v>
      </c>
      <c r="Z84" s="59">
        <f t="shared" si="25"/>
        <v>26.9</v>
      </c>
      <c r="AA84" s="59">
        <f t="shared" si="25"/>
        <v>30.1</v>
      </c>
      <c r="AB84" s="59">
        <f t="shared" si="25"/>
        <v>48.8</v>
      </c>
      <c r="AC84" s="59">
        <f t="shared" ref="AC84" si="29">SUMIF(AC73:AC83,"&gt;0")</f>
        <v>19.5</v>
      </c>
      <c r="AD84" s="59">
        <f t="shared" si="25"/>
        <v>18.899999999999999</v>
      </c>
      <c r="AE84" s="59">
        <f t="shared" si="25"/>
        <v>42.8</v>
      </c>
      <c r="AF84" s="59">
        <f t="shared" si="25"/>
        <v>19.2</v>
      </c>
      <c r="AG84" s="88">
        <f>SUM(AG73:AG83)</f>
        <v>0</v>
      </c>
      <c r="AH84" s="47">
        <f t="shared" si="23"/>
        <v>374</v>
      </c>
      <c r="AI84" s="48">
        <f t="shared" si="24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23"/>
        <v>0</v>
      </c>
      <c r="AI85" s="48">
        <f t="shared" si="24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23"/>
        <v>0</v>
      </c>
      <c r="AI86" s="48">
        <f t="shared" si="24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23"/>
        <v>0</v>
      </c>
      <c r="AI87" s="48">
        <f t="shared" si="24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23"/>
        <v>0</v>
      </c>
      <c r="AI88" s="48">
        <f t="shared" si="24"/>
        <v>0</v>
      </c>
    </row>
    <row r="89" spans="1:40" ht="15.75" thickBot="1" x14ac:dyDescent="0.3">
      <c r="A89" s="73" t="s">
        <v>108</v>
      </c>
      <c r="B89" s="95">
        <v>1857.64</v>
      </c>
      <c r="C89" s="95">
        <f t="shared" ref="C89:AG89" si="30">C50+C54+C72+C68+C84+C88</f>
        <v>1725.34</v>
      </c>
      <c r="D89" s="95">
        <f t="shared" si="30"/>
        <v>1711.04</v>
      </c>
      <c r="E89" s="95">
        <f t="shared" si="30"/>
        <v>1711.04</v>
      </c>
      <c r="F89" s="95">
        <f t="shared" ref="F89:G89" si="31">F50+F54+F72+F68+F84+F88</f>
        <v>2065.04</v>
      </c>
      <c r="G89" s="95">
        <f t="shared" si="31"/>
        <v>1754.04</v>
      </c>
      <c r="H89" s="95">
        <f t="shared" si="30"/>
        <v>1746.6399999999999</v>
      </c>
      <c r="I89" s="95">
        <f t="shared" ref="I89:J89" si="32">I50+I54+I72+I68+I84+I88</f>
        <v>1742.6399999999999</v>
      </c>
      <c r="J89" s="95">
        <f t="shared" si="32"/>
        <v>1739.74</v>
      </c>
      <c r="K89" s="95">
        <f t="shared" si="30"/>
        <v>1739.74</v>
      </c>
      <c r="L89" s="95">
        <f t="shared" ref="L89" si="33">L50+L54+L72+L68+L84+L88</f>
        <v>1799.74</v>
      </c>
      <c r="M89" s="95">
        <f t="shared" si="30"/>
        <v>1873.04</v>
      </c>
      <c r="N89" s="95">
        <f t="shared" si="30"/>
        <v>1829.64</v>
      </c>
      <c r="O89" s="95">
        <f t="shared" si="30"/>
        <v>1818.04</v>
      </c>
      <c r="P89" s="95">
        <f t="shared" si="30"/>
        <v>1836.34</v>
      </c>
      <c r="Q89" s="95">
        <f t="shared" si="30"/>
        <v>1895.1399999999999</v>
      </c>
      <c r="R89" s="95">
        <f t="shared" si="30"/>
        <v>1913.1399999999999</v>
      </c>
      <c r="S89" s="95">
        <f t="shared" si="30"/>
        <v>1960.9399999999998</v>
      </c>
      <c r="T89" s="95">
        <f t="shared" si="30"/>
        <v>1896.64</v>
      </c>
      <c r="U89" s="95">
        <f t="shared" si="30"/>
        <v>1923.24</v>
      </c>
      <c r="V89" s="95">
        <f t="shared" si="30"/>
        <v>1917.8400000000001</v>
      </c>
      <c r="W89" s="95">
        <f t="shared" si="30"/>
        <v>1923.24</v>
      </c>
      <c r="X89" s="95">
        <f t="shared" si="30"/>
        <v>1912.84</v>
      </c>
      <c r="Y89" s="95">
        <f t="shared" si="30"/>
        <v>1954.44</v>
      </c>
      <c r="Z89" s="95">
        <f t="shared" si="30"/>
        <v>1957.64</v>
      </c>
      <c r="AA89" s="95">
        <f t="shared" si="30"/>
        <v>2002.34</v>
      </c>
      <c r="AB89" s="95">
        <f t="shared" si="30"/>
        <v>1971.64</v>
      </c>
      <c r="AC89" s="95">
        <f t="shared" ref="AC89" si="34">AC50+AC54+AC72+AC68+AC84+AC88</f>
        <v>1961.7400000000002</v>
      </c>
      <c r="AD89" s="95">
        <f t="shared" si="30"/>
        <v>1937.8400000000001</v>
      </c>
      <c r="AE89" s="95">
        <f t="shared" si="30"/>
        <v>1935.74</v>
      </c>
      <c r="AF89" s="95">
        <f t="shared" si="30"/>
        <v>1896.4400000000003</v>
      </c>
      <c r="AG89" s="60">
        <f t="shared" si="30"/>
        <v>2111.5500000000002</v>
      </c>
      <c r="AH89" s="47">
        <f t="shared" si="23"/>
        <v>2065.04</v>
      </c>
      <c r="AI89" s="48">
        <f t="shared" si="24"/>
        <v>1711.04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>
        <v>50</v>
      </c>
      <c r="AC90" s="97">
        <v>0</v>
      </c>
      <c r="AD90" s="97"/>
      <c r="AE90" s="97"/>
      <c r="AF90" s="97"/>
      <c r="AG90" s="88"/>
      <c r="AH90" s="47">
        <f t="shared" si="23"/>
        <v>50</v>
      </c>
      <c r="AI90" s="48">
        <f t="shared" si="24"/>
        <v>0</v>
      </c>
    </row>
    <row r="91" spans="1:40" ht="15.75" thickBot="1" x14ac:dyDescent="0.3">
      <c r="A91" s="73" t="s">
        <v>110</v>
      </c>
      <c r="B91" s="95">
        <v>1857.64</v>
      </c>
      <c r="C91" s="95">
        <f t="shared" ref="C91:AF91" si="35">C89+C90</f>
        <v>1725.34</v>
      </c>
      <c r="D91" s="95">
        <f t="shared" si="35"/>
        <v>1711.04</v>
      </c>
      <c r="E91" s="95">
        <f t="shared" si="35"/>
        <v>1711.04</v>
      </c>
      <c r="F91" s="95">
        <f t="shared" ref="F91:G91" si="36">F89+F90</f>
        <v>2065.04</v>
      </c>
      <c r="G91" s="95">
        <f t="shared" si="36"/>
        <v>1754.04</v>
      </c>
      <c r="H91" s="95">
        <f t="shared" si="35"/>
        <v>1746.6399999999999</v>
      </c>
      <c r="I91" s="95">
        <f t="shared" ref="I91:J91" si="37">I89+I90</f>
        <v>1742.6399999999999</v>
      </c>
      <c r="J91" s="95">
        <f t="shared" si="37"/>
        <v>1739.74</v>
      </c>
      <c r="K91" s="95">
        <f t="shared" si="35"/>
        <v>1739.74</v>
      </c>
      <c r="L91" s="95">
        <f t="shared" ref="L91" si="38">L89+L90</f>
        <v>1799.74</v>
      </c>
      <c r="M91" s="95">
        <f t="shared" si="35"/>
        <v>1873.04</v>
      </c>
      <c r="N91" s="95">
        <f t="shared" si="35"/>
        <v>1829.64</v>
      </c>
      <c r="O91" s="95">
        <f t="shared" si="35"/>
        <v>1818.04</v>
      </c>
      <c r="P91" s="95">
        <f t="shared" si="35"/>
        <v>1836.34</v>
      </c>
      <c r="Q91" s="95">
        <f t="shared" si="35"/>
        <v>1895.1399999999999</v>
      </c>
      <c r="R91" s="95">
        <f t="shared" si="35"/>
        <v>1913.1399999999999</v>
      </c>
      <c r="S91" s="95">
        <f t="shared" si="35"/>
        <v>1960.9399999999998</v>
      </c>
      <c r="T91" s="95">
        <f t="shared" si="35"/>
        <v>1896.64</v>
      </c>
      <c r="U91" s="95">
        <f t="shared" si="35"/>
        <v>1923.24</v>
      </c>
      <c r="V91" s="95">
        <f t="shared" si="35"/>
        <v>1917.8400000000001</v>
      </c>
      <c r="W91" s="95">
        <f t="shared" si="35"/>
        <v>1923.24</v>
      </c>
      <c r="X91" s="95">
        <f t="shared" si="35"/>
        <v>1912.84</v>
      </c>
      <c r="Y91" s="95">
        <f t="shared" si="35"/>
        <v>1954.44</v>
      </c>
      <c r="Z91" s="95">
        <f t="shared" si="35"/>
        <v>1957.64</v>
      </c>
      <c r="AA91" s="95">
        <f t="shared" si="35"/>
        <v>2002.34</v>
      </c>
      <c r="AB91" s="95">
        <f t="shared" si="35"/>
        <v>2021.64</v>
      </c>
      <c r="AC91" s="95">
        <f t="shared" si="35"/>
        <v>1961.7400000000002</v>
      </c>
      <c r="AD91" s="95">
        <f t="shared" si="35"/>
        <v>1937.8400000000001</v>
      </c>
      <c r="AE91" s="95">
        <f t="shared" si="35"/>
        <v>1935.74</v>
      </c>
      <c r="AF91" s="95">
        <f t="shared" si="35"/>
        <v>1896.4400000000003</v>
      </c>
      <c r="AG91" s="88">
        <f>AG88+AG84+AG72+AG68+AG50+AG90</f>
        <v>1573.45</v>
      </c>
      <c r="AH91" s="47">
        <f t="shared" si="23"/>
        <v>2065.04</v>
      </c>
      <c r="AI91" s="48">
        <f t="shared" si="24"/>
        <v>1711.04</v>
      </c>
    </row>
    <row r="92" spans="1:40" ht="15.75" thickBot="1" x14ac:dyDescent="0.3">
      <c r="A92" s="73" t="s">
        <v>111</v>
      </c>
      <c r="B92" s="95">
        <v>1857.64</v>
      </c>
      <c r="C92" s="95">
        <f t="shared" ref="C92:AF92" si="39">C91-C99</f>
        <v>1725.34</v>
      </c>
      <c r="D92" s="95">
        <f t="shared" si="39"/>
        <v>1711.04</v>
      </c>
      <c r="E92" s="95">
        <f t="shared" si="39"/>
        <v>1711.04</v>
      </c>
      <c r="F92" s="95">
        <f t="shared" ref="F92:G92" si="40">F91-F99</f>
        <v>2065.04</v>
      </c>
      <c r="G92" s="95">
        <f t="shared" si="40"/>
        <v>1754.04</v>
      </c>
      <c r="H92" s="95">
        <f t="shared" si="39"/>
        <v>1746.6399999999999</v>
      </c>
      <c r="I92" s="95">
        <f t="shared" ref="I92:J92" si="41">I91-I99</f>
        <v>1742.6399999999999</v>
      </c>
      <c r="J92" s="95">
        <f t="shared" si="41"/>
        <v>1739.74</v>
      </c>
      <c r="K92" s="95">
        <f t="shared" si="39"/>
        <v>1739.74</v>
      </c>
      <c r="L92" s="95">
        <f t="shared" ref="L92" si="42">L91-L99</f>
        <v>1799.74</v>
      </c>
      <c r="M92" s="95">
        <f t="shared" si="39"/>
        <v>1873.04</v>
      </c>
      <c r="N92" s="95">
        <f t="shared" si="39"/>
        <v>1829.64</v>
      </c>
      <c r="O92" s="95">
        <f t="shared" si="39"/>
        <v>1818.04</v>
      </c>
      <c r="P92" s="95">
        <f t="shared" si="39"/>
        <v>1836.34</v>
      </c>
      <c r="Q92" s="95">
        <f t="shared" si="39"/>
        <v>1895.1399999999999</v>
      </c>
      <c r="R92" s="95">
        <f t="shared" si="39"/>
        <v>1913.1399999999999</v>
      </c>
      <c r="S92" s="95">
        <f t="shared" si="39"/>
        <v>1960.9399999999998</v>
      </c>
      <c r="T92" s="95">
        <f t="shared" si="39"/>
        <v>1896.64</v>
      </c>
      <c r="U92" s="95">
        <f t="shared" si="39"/>
        <v>1923.24</v>
      </c>
      <c r="V92" s="95">
        <f t="shared" si="39"/>
        <v>1917.8400000000001</v>
      </c>
      <c r="W92" s="95">
        <f t="shared" si="39"/>
        <v>1923.24</v>
      </c>
      <c r="X92" s="95">
        <f t="shared" si="39"/>
        <v>1912.84</v>
      </c>
      <c r="Y92" s="95">
        <f t="shared" si="39"/>
        <v>1954.44</v>
      </c>
      <c r="Z92" s="95">
        <f t="shared" si="39"/>
        <v>1957.64</v>
      </c>
      <c r="AA92" s="95">
        <f t="shared" si="39"/>
        <v>2002.34</v>
      </c>
      <c r="AB92" s="95">
        <f t="shared" si="39"/>
        <v>2021.64</v>
      </c>
      <c r="AC92" s="95">
        <f t="shared" si="39"/>
        <v>1961.7400000000002</v>
      </c>
      <c r="AD92" s="95">
        <f t="shared" si="39"/>
        <v>1937.8400000000001</v>
      </c>
      <c r="AE92" s="95">
        <f t="shared" si="39"/>
        <v>1935.74</v>
      </c>
      <c r="AF92" s="95">
        <f t="shared" si="39"/>
        <v>1896.4400000000003</v>
      </c>
      <c r="AG92" s="88"/>
      <c r="AH92" s="47">
        <f t="shared" si="23"/>
        <v>2065.04</v>
      </c>
      <c r="AI92" s="48">
        <f t="shared" si="24"/>
        <v>1711.04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23"/>
        <v>0</v>
      </c>
      <c r="AI93" s="48">
        <f t="shared" si="24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23"/>
        <v>0</v>
      </c>
      <c r="AI94" s="48">
        <f t="shared" si="24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23"/>
        <v>0</v>
      </c>
      <c r="AI95" s="48">
        <f t="shared" si="24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23"/>
        <v>0</v>
      </c>
      <c r="AI96" s="48">
        <f t="shared" si="24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23"/>
        <v>0</v>
      </c>
      <c r="AI97" s="48">
        <f t="shared" si="24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23"/>
        <v>0</v>
      </c>
      <c r="AI98" s="48">
        <f t="shared" si="24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23"/>
        <v>0</v>
      </c>
      <c r="AI99" s="48">
        <f t="shared" si="24"/>
        <v>0</v>
      </c>
      <c r="AK99" s="74"/>
    </row>
    <row r="100" spans="1:37" ht="15.75" thickBot="1" x14ac:dyDescent="0.3">
      <c r="A100" s="73" t="s">
        <v>116</v>
      </c>
      <c r="B100" s="59">
        <v>64</v>
      </c>
      <c r="C100" s="59">
        <f t="shared" ref="C100:AF100" si="43">C84-C99</f>
        <v>30</v>
      </c>
      <c r="D100" s="59">
        <f t="shared" si="43"/>
        <v>24</v>
      </c>
      <c r="E100" s="59">
        <f t="shared" si="43"/>
        <v>24</v>
      </c>
      <c r="F100" s="59">
        <f t="shared" ref="F100:G100" si="44">F84-F99</f>
        <v>374</v>
      </c>
      <c r="G100" s="59">
        <f t="shared" si="44"/>
        <v>17</v>
      </c>
      <c r="H100" s="59">
        <f t="shared" si="43"/>
        <v>10</v>
      </c>
      <c r="I100" s="59">
        <f t="shared" ref="I100:J100" si="45">I84-I99</f>
        <v>6</v>
      </c>
      <c r="J100" s="59">
        <f t="shared" si="45"/>
        <v>5.3</v>
      </c>
      <c r="K100" s="59">
        <f t="shared" si="43"/>
        <v>5.3</v>
      </c>
      <c r="L100" s="59">
        <f t="shared" ref="L100" si="46">L84-L99</f>
        <v>5.3</v>
      </c>
      <c r="M100" s="59">
        <f t="shared" si="43"/>
        <v>23</v>
      </c>
      <c r="N100" s="59">
        <f t="shared" si="43"/>
        <v>0</v>
      </c>
      <c r="O100" s="59">
        <f t="shared" si="43"/>
        <v>26.3</v>
      </c>
      <c r="P100" s="59">
        <f t="shared" si="43"/>
        <v>2.2999999999999998</v>
      </c>
      <c r="Q100" s="59">
        <f t="shared" si="43"/>
        <v>0</v>
      </c>
      <c r="R100" s="59">
        <f t="shared" si="43"/>
        <v>0</v>
      </c>
      <c r="S100" s="59">
        <f t="shared" si="43"/>
        <v>0</v>
      </c>
      <c r="T100" s="59">
        <f t="shared" si="43"/>
        <v>0</v>
      </c>
      <c r="U100" s="59">
        <f t="shared" si="43"/>
        <v>6.3</v>
      </c>
      <c r="V100" s="59">
        <f t="shared" si="43"/>
        <v>0.9</v>
      </c>
      <c r="W100" s="59">
        <f t="shared" si="43"/>
        <v>6.3</v>
      </c>
      <c r="X100" s="59">
        <f t="shared" si="43"/>
        <v>7.1</v>
      </c>
      <c r="Y100" s="59">
        <f t="shared" si="43"/>
        <v>25.7</v>
      </c>
      <c r="Z100" s="59">
        <f t="shared" si="43"/>
        <v>26.9</v>
      </c>
      <c r="AA100" s="59">
        <f t="shared" si="43"/>
        <v>30.1</v>
      </c>
      <c r="AB100" s="59">
        <f t="shared" si="43"/>
        <v>48.8</v>
      </c>
      <c r="AC100" s="59">
        <f t="shared" si="43"/>
        <v>19.5</v>
      </c>
      <c r="AD100" s="59">
        <f t="shared" si="43"/>
        <v>18.899999999999999</v>
      </c>
      <c r="AE100" s="59">
        <f t="shared" si="43"/>
        <v>42.8</v>
      </c>
      <c r="AF100" s="59">
        <f t="shared" si="43"/>
        <v>19.2</v>
      </c>
      <c r="AG100" s="88"/>
      <c r="AH100" s="47">
        <f t="shared" si="23"/>
        <v>374</v>
      </c>
      <c r="AI100" s="48">
        <f t="shared" si="24"/>
        <v>0</v>
      </c>
    </row>
    <row r="101" spans="1:37" x14ac:dyDescent="0.25">
      <c r="A101" s="100" t="s">
        <v>117</v>
      </c>
      <c r="B101" s="101">
        <v>50.06</v>
      </c>
      <c r="C101" s="101">
        <v>50</v>
      </c>
      <c r="D101" s="101">
        <v>50.02</v>
      </c>
      <c r="E101" s="101">
        <v>50.01</v>
      </c>
      <c r="F101" s="101">
        <v>50.01</v>
      </c>
      <c r="G101" s="101">
        <v>50.01</v>
      </c>
      <c r="H101" s="101">
        <v>50.01</v>
      </c>
      <c r="I101" s="101">
        <v>49.99</v>
      </c>
      <c r="J101" s="101">
        <v>50.01</v>
      </c>
      <c r="K101" s="101">
        <v>50.06</v>
      </c>
      <c r="L101" s="101">
        <v>50.11</v>
      </c>
      <c r="M101" s="101">
        <v>50</v>
      </c>
      <c r="N101" s="101">
        <v>50.11</v>
      </c>
      <c r="O101" s="101">
        <v>49.954000000000001</v>
      </c>
      <c r="P101" s="101">
        <v>50.024999999999999</v>
      </c>
      <c r="Q101" s="101">
        <v>50.015999999999998</v>
      </c>
      <c r="R101" s="101">
        <v>50.171999999999997</v>
      </c>
      <c r="S101" s="101">
        <v>50.145000000000003</v>
      </c>
      <c r="T101" s="101">
        <v>49.938000000000002</v>
      </c>
      <c r="U101" s="101">
        <v>50.104999999999997</v>
      </c>
      <c r="V101" s="101">
        <v>49.929000000000002</v>
      </c>
      <c r="W101" s="101">
        <v>50.018000000000001</v>
      </c>
      <c r="X101" s="101">
        <v>49.942999999999998</v>
      </c>
      <c r="Y101" s="101">
        <v>50.045000000000002</v>
      </c>
      <c r="Z101" s="101">
        <v>50.13</v>
      </c>
      <c r="AA101" s="101">
        <v>50.070999999999998</v>
      </c>
      <c r="AB101" s="101">
        <v>50.069000000000003</v>
      </c>
      <c r="AC101" s="101">
        <v>49.97</v>
      </c>
      <c r="AD101" s="101">
        <v>49.93</v>
      </c>
      <c r="AE101" s="101">
        <v>50</v>
      </c>
      <c r="AF101" s="101">
        <v>50.05</v>
      </c>
      <c r="AG101" s="102"/>
      <c r="AH101" s="47">
        <f t="shared" si="23"/>
        <v>50.171999999999997</v>
      </c>
      <c r="AI101" s="48">
        <f t="shared" si="24"/>
        <v>49.929000000000002</v>
      </c>
    </row>
    <row r="102" spans="1:37" x14ac:dyDescent="0.25">
      <c r="A102" s="103" t="s">
        <v>118</v>
      </c>
      <c r="B102" s="64">
        <v>0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>
        <v>0</v>
      </c>
      <c r="AF102" s="64">
        <v>0</v>
      </c>
      <c r="AG102" s="104"/>
      <c r="AH102" s="47">
        <f t="shared" si="23"/>
        <v>0</v>
      </c>
      <c r="AI102" s="48">
        <f t="shared" si="24"/>
        <v>0</v>
      </c>
    </row>
    <row r="103" spans="1:37" x14ac:dyDescent="0.25">
      <c r="A103" s="103" t="s">
        <v>119</v>
      </c>
      <c r="B103" s="64">
        <v>128.6</v>
      </c>
      <c r="C103" s="64">
        <v>128.6</v>
      </c>
      <c r="D103" s="64">
        <v>130</v>
      </c>
      <c r="E103" s="64">
        <v>131</v>
      </c>
      <c r="F103" s="64">
        <v>131</v>
      </c>
      <c r="G103" s="64">
        <v>131</v>
      </c>
      <c r="H103" s="64">
        <v>128.9</v>
      </c>
      <c r="I103" s="64">
        <v>128.6</v>
      </c>
      <c r="J103" s="64">
        <v>128.9</v>
      </c>
      <c r="K103" s="64">
        <v>127.5</v>
      </c>
      <c r="L103" s="64">
        <v>127.5</v>
      </c>
      <c r="M103" s="64">
        <v>127.5</v>
      </c>
      <c r="N103" s="64">
        <v>127.5</v>
      </c>
      <c r="O103" s="64">
        <v>126.9</v>
      </c>
      <c r="P103" s="64">
        <v>125.7</v>
      </c>
      <c r="Q103" s="64">
        <v>125.1</v>
      </c>
      <c r="R103" s="64">
        <v>123.6</v>
      </c>
      <c r="S103" s="64">
        <v>126.5</v>
      </c>
      <c r="T103" s="64">
        <v>125.6</v>
      </c>
      <c r="U103" s="64">
        <v>125.4</v>
      </c>
      <c r="V103" s="64">
        <v>126.8</v>
      </c>
      <c r="W103" s="64">
        <v>124.7</v>
      </c>
      <c r="X103" s="64">
        <v>126.5</v>
      </c>
      <c r="Y103" s="64">
        <v>127</v>
      </c>
      <c r="Z103" s="64">
        <v>128</v>
      </c>
      <c r="AA103" s="64">
        <v>127.9</v>
      </c>
      <c r="AB103" s="64">
        <v>128.1</v>
      </c>
      <c r="AC103" s="64">
        <v>128.4</v>
      </c>
      <c r="AD103" s="64">
        <v>129.1</v>
      </c>
      <c r="AE103" s="64">
        <v>127.2</v>
      </c>
      <c r="AF103" s="64">
        <v>127.8</v>
      </c>
      <c r="AG103" s="104"/>
      <c r="AH103" s="47">
        <f t="shared" si="23"/>
        <v>131</v>
      </c>
      <c r="AI103" s="48">
        <f t="shared" si="24"/>
        <v>123.6</v>
      </c>
    </row>
    <row r="104" spans="1:37" x14ac:dyDescent="0.25">
      <c r="A104" s="103" t="s">
        <v>120</v>
      </c>
      <c r="B104" s="64">
        <v>126</v>
      </c>
      <c r="C104" s="64">
        <v>129</v>
      </c>
      <c r="D104" s="64">
        <v>128</v>
      </c>
      <c r="E104" s="64">
        <v>130</v>
      </c>
      <c r="F104" s="64">
        <v>130</v>
      </c>
      <c r="G104" s="64">
        <v>130</v>
      </c>
      <c r="H104" s="64">
        <v>130</v>
      </c>
      <c r="I104" s="64">
        <v>129.5</v>
      </c>
      <c r="J104" s="64">
        <v>130</v>
      </c>
      <c r="K104" s="64">
        <v>128.69999999999999</v>
      </c>
      <c r="L104" s="64">
        <v>128.80000000000001</v>
      </c>
      <c r="M104" s="64">
        <v>128.80000000000001</v>
      </c>
      <c r="N104" s="64">
        <v>128.80000000000001</v>
      </c>
      <c r="O104" s="64">
        <v>127.3</v>
      </c>
      <c r="P104" s="64">
        <v>127.8</v>
      </c>
      <c r="Q104" s="64">
        <v>128</v>
      </c>
      <c r="R104" s="64">
        <v>123.5</v>
      </c>
      <c r="S104" s="64">
        <v>124</v>
      </c>
      <c r="T104" s="64">
        <v>129.4</v>
      </c>
      <c r="U104" s="64">
        <v>131.30000000000001</v>
      </c>
      <c r="V104" s="64">
        <v>127</v>
      </c>
      <c r="W104" s="64">
        <v>127.3</v>
      </c>
      <c r="X104" s="64">
        <v>128.30000000000001</v>
      </c>
      <c r="Y104" s="64">
        <v>129</v>
      </c>
      <c r="Z104" s="64">
        <v>126</v>
      </c>
      <c r="AA104" s="64">
        <v>125.8</v>
      </c>
      <c r="AB104" s="64">
        <v>130.30000000000001</v>
      </c>
      <c r="AC104" s="64">
        <v>127.5</v>
      </c>
      <c r="AD104" s="64">
        <v>128.1</v>
      </c>
      <c r="AE104" s="64">
        <v>128.69999999999999</v>
      </c>
      <c r="AF104" s="64">
        <v>129.5</v>
      </c>
      <c r="AG104" s="104"/>
      <c r="AH104" s="47">
        <f t="shared" si="23"/>
        <v>131.30000000000001</v>
      </c>
      <c r="AI104" s="48">
        <f t="shared" si="24"/>
        <v>123.5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23"/>
        <v>0</v>
      </c>
      <c r="AI105" s="48">
        <f t="shared" si="24"/>
        <v>0</v>
      </c>
    </row>
    <row r="106" spans="1:37" x14ac:dyDescent="0.25">
      <c r="A106" s="105" t="s">
        <v>122</v>
      </c>
      <c r="B106" s="106">
        <v>132.6</v>
      </c>
      <c r="C106" s="106">
        <v>132</v>
      </c>
      <c r="D106" s="106">
        <v>129</v>
      </c>
      <c r="E106" s="106">
        <v>130.19999999999999</v>
      </c>
      <c r="F106" s="106">
        <v>130.19999999999999</v>
      </c>
      <c r="G106" s="106">
        <v>130.19999999999999</v>
      </c>
      <c r="H106" s="106">
        <v>128.4</v>
      </c>
      <c r="I106" s="106">
        <v>132.80000000000001</v>
      </c>
      <c r="J106" s="106">
        <v>128.4</v>
      </c>
      <c r="K106" s="106">
        <v>131.4</v>
      </c>
      <c r="L106" s="106">
        <v>135</v>
      </c>
      <c r="M106" s="106">
        <v>135</v>
      </c>
      <c r="N106" s="106">
        <v>135</v>
      </c>
      <c r="O106" s="106">
        <v>133.30000000000001</v>
      </c>
      <c r="P106" s="106">
        <v>131.4</v>
      </c>
      <c r="Q106" s="106">
        <v>133.9</v>
      </c>
      <c r="R106" s="106">
        <v>128.6</v>
      </c>
      <c r="S106" s="106">
        <v>134.1</v>
      </c>
      <c r="T106" s="106">
        <v>129.4</v>
      </c>
      <c r="U106" s="106">
        <v>128.1</v>
      </c>
      <c r="V106" s="64">
        <v>130</v>
      </c>
      <c r="W106" s="106">
        <v>127.8</v>
      </c>
      <c r="X106" s="106">
        <v>130</v>
      </c>
      <c r="Y106" s="106">
        <v>131.30000000000001</v>
      </c>
      <c r="Z106" s="106">
        <v>131.4</v>
      </c>
      <c r="AA106" s="106">
        <v>131</v>
      </c>
      <c r="AB106" s="106">
        <v>133.5</v>
      </c>
      <c r="AC106" s="106">
        <v>128.80000000000001</v>
      </c>
      <c r="AD106" s="106">
        <v>132.9</v>
      </c>
      <c r="AE106" s="106">
        <v>131.30000000000001</v>
      </c>
      <c r="AF106" s="106">
        <v>127.7</v>
      </c>
      <c r="AG106" s="107"/>
      <c r="AH106" s="47">
        <f t="shared" si="23"/>
        <v>135</v>
      </c>
      <c r="AI106" s="48">
        <f t="shared" si="24"/>
        <v>127.7</v>
      </c>
    </row>
    <row r="107" spans="1:37" x14ac:dyDescent="0.25">
      <c r="A107" s="103" t="s">
        <v>123</v>
      </c>
      <c r="B107" s="64">
        <v>123.6</v>
      </c>
      <c r="C107" s="64">
        <v>125</v>
      </c>
      <c r="D107" s="64">
        <v>129</v>
      </c>
      <c r="E107" s="64">
        <v>127</v>
      </c>
      <c r="F107" s="64">
        <v>127</v>
      </c>
      <c r="G107" s="64">
        <v>127</v>
      </c>
      <c r="H107" s="64">
        <v>134.19999999999999</v>
      </c>
      <c r="I107" s="64">
        <v>132.30000000000001</v>
      </c>
      <c r="J107" s="64">
        <v>134.19999999999999</v>
      </c>
      <c r="K107" s="64">
        <v>130.4</v>
      </c>
      <c r="L107" s="64">
        <v>128.69</v>
      </c>
      <c r="M107" s="64">
        <v>128.69</v>
      </c>
      <c r="N107" s="64">
        <v>128.69</v>
      </c>
      <c r="O107" s="64">
        <v>131</v>
      </c>
      <c r="P107" s="64">
        <v>131.6</v>
      </c>
      <c r="Q107" s="64">
        <v>127</v>
      </c>
      <c r="R107" s="64">
        <v>129.69999999999999</v>
      </c>
      <c r="S107" s="64">
        <v>138.1</v>
      </c>
      <c r="T107" s="64">
        <v>130.19999999999999</v>
      </c>
      <c r="U107" s="64">
        <v>129.4</v>
      </c>
      <c r="V107" s="64">
        <v>136.9</v>
      </c>
      <c r="W107" s="64">
        <v>129.19999999999999</v>
      </c>
      <c r="X107" s="64">
        <v>127.2</v>
      </c>
      <c r="Y107" s="64">
        <v>137.1</v>
      </c>
      <c r="Z107" s="64">
        <v>136</v>
      </c>
      <c r="AA107" s="64">
        <v>132.6</v>
      </c>
      <c r="AB107" s="64">
        <v>125.6</v>
      </c>
      <c r="AC107" s="64">
        <v>128.5</v>
      </c>
      <c r="AD107" s="64">
        <v>129.30000000000001</v>
      </c>
      <c r="AE107" s="64">
        <v>128.19999999999999</v>
      </c>
      <c r="AF107" s="64">
        <v>127.4</v>
      </c>
      <c r="AG107" s="104"/>
      <c r="AH107" s="47">
        <f t="shared" si="23"/>
        <v>138.1</v>
      </c>
      <c r="AI107" s="48">
        <f t="shared" si="24"/>
        <v>123.6</v>
      </c>
    </row>
    <row r="108" spans="1:37" ht="15.75" thickBot="1" x14ac:dyDescent="0.3">
      <c r="A108" s="103" t="s">
        <v>124</v>
      </c>
      <c r="B108" s="92">
        <v>64.7</v>
      </c>
      <c r="C108" s="92">
        <v>64.599999999999994</v>
      </c>
      <c r="D108" s="92">
        <v>65.599999999999994</v>
      </c>
      <c r="E108" s="92">
        <v>66</v>
      </c>
      <c r="F108" s="92">
        <v>66</v>
      </c>
      <c r="G108" s="92">
        <v>66</v>
      </c>
      <c r="H108" s="92">
        <v>64.8</v>
      </c>
      <c r="I108" s="92">
        <v>64.5</v>
      </c>
      <c r="J108" s="92">
        <v>64.8</v>
      </c>
      <c r="K108" s="92">
        <v>64.3</v>
      </c>
      <c r="L108" s="92">
        <v>64.3</v>
      </c>
      <c r="M108" s="92">
        <v>64.3</v>
      </c>
      <c r="N108" s="92">
        <v>64.3</v>
      </c>
      <c r="O108" s="92">
        <v>63.9</v>
      </c>
      <c r="P108" s="92">
        <v>62.5</v>
      </c>
      <c r="Q108" s="92">
        <v>62.5</v>
      </c>
      <c r="R108" s="92">
        <v>61.8</v>
      </c>
      <c r="S108" s="92">
        <v>62.8</v>
      </c>
      <c r="T108" s="92">
        <v>62.6</v>
      </c>
      <c r="U108" s="92">
        <v>62.6</v>
      </c>
      <c r="V108" s="92">
        <v>63.3</v>
      </c>
      <c r="W108" s="92">
        <v>62.6</v>
      </c>
      <c r="X108" s="92">
        <v>63.8</v>
      </c>
      <c r="Y108" s="92">
        <v>63.7</v>
      </c>
      <c r="Z108" s="92">
        <v>64</v>
      </c>
      <c r="AA108" s="92">
        <v>64.3</v>
      </c>
      <c r="AB108" s="92">
        <v>64.099999999999994</v>
      </c>
      <c r="AC108" s="92">
        <v>64.400000000000006</v>
      </c>
      <c r="AD108" s="92">
        <v>64.900000000000006</v>
      </c>
      <c r="AE108" s="92">
        <v>63.7</v>
      </c>
      <c r="AF108" s="92">
        <v>64.099999999999994</v>
      </c>
      <c r="AG108" s="108"/>
      <c r="AH108" s="47">
        <f t="shared" si="23"/>
        <v>66</v>
      </c>
      <c r="AI108" s="48">
        <f t="shared" si="24"/>
        <v>61.8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23"/>
        <v>0</v>
      </c>
      <c r="AI109" s="48">
        <f t="shared" si="24"/>
        <v>0</v>
      </c>
    </row>
    <row r="110" spans="1:37" ht="15.75" thickBot="1" x14ac:dyDescent="0.3">
      <c r="A110" s="110" t="s">
        <v>126</v>
      </c>
      <c r="B110" s="111">
        <v>126.10000000000002</v>
      </c>
      <c r="C110" s="111">
        <f t="shared" ref="C110:O110" si="47">SUM(C20,C26,C29:C30,C58,C60:C61,C63,C65,C111:C115,C138,C144,C150,C159,C161,C173,C180,C183:C184,C191,C193,C195,C199:C201,C203:C205,C210,C216:C217,C219:C221,C229,C234)</f>
        <v>35.039999999999992</v>
      </c>
      <c r="D110" s="111">
        <f t="shared" si="47"/>
        <v>48.039999999999992</v>
      </c>
      <c r="E110" s="111">
        <f t="shared" si="47"/>
        <v>101.84</v>
      </c>
      <c r="F110" s="111">
        <f t="shared" ref="F110:G110" si="48">SUM(F20,F26,F29:F30,F58,F60:F61,F63,F65,F111:F115,F138,F144,F150,F159,F161,F173,F180,F183:F184,F191,F193,F195,F199:F201,F203:F205,F210,F216:F217,F219:F221,F229,F234)</f>
        <v>111.84</v>
      </c>
      <c r="G110" s="111">
        <f t="shared" si="48"/>
        <v>111.24000000000001</v>
      </c>
      <c r="H110" s="111">
        <f t="shared" si="47"/>
        <v>100.04000000000002</v>
      </c>
      <c r="I110" s="111">
        <f t="shared" ref="I110:J110" si="49">SUM(I20,I26,I29:I30,I58,I60:I61,I63,I65,I111:I115,I138,I144,I150,I159,I161,I173,I180,I183:I184,I191,I193,I195,I199:I201,I203:I205,I210,I216:I217,I219:I221,I229,I234)</f>
        <v>124.04</v>
      </c>
      <c r="J110" s="111">
        <f t="shared" si="49"/>
        <v>98.140000000000015</v>
      </c>
      <c r="K110" s="111">
        <f t="shared" si="47"/>
        <v>108.43999999999998</v>
      </c>
      <c r="L110" s="111">
        <f t="shared" ref="L110" si="50">SUM(L20,L26,L29:L30,L58,L60:L61,L63,L65,L111:L115,L138,L144,L150,L159,L161,L173,L180,L183:L184,L191,L193,L195,L199:L201,L203:L205,L210,L216:L217,L219:L221,L229,L234)</f>
        <v>185.34</v>
      </c>
      <c r="M110" s="111">
        <f t="shared" si="47"/>
        <v>192.64000000000001</v>
      </c>
      <c r="N110" s="111">
        <f t="shared" si="47"/>
        <v>176.54000000000002</v>
      </c>
      <c r="O110" s="111">
        <f t="shared" si="47"/>
        <v>169.73999999999998</v>
      </c>
      <c r="P110" s="111">
        <v>42</v>
      </c>
      <c r="Q110" s="111">
        <f t="shared" ref="Q110:AF110" si="51">SUM(Q20,Q26,Q29:Q30,Q58,Q60:Q61,Q63,Q65,Q111:Q115,Q138,Q144,Q150,Q159,Q161,Q173,Q180,Q183:Q184,Q191,Q193,Q195,Q199:Q201,Q203:Q205,Q210,Q216:Q217,Q219:Q221,Q229,Q234)</f>
        <v>167.8</v>
      </c>
      <c r="R110" s="111">
        <f t="shared" si="51"/>
        <v>172.50000000000003</v>
      </c>
      <c r="S110" s="111">
        <f t="shared" si="51"/>
        <v>150.50000000000003</v>
      </c>
      <c r="T110" s="111">
        <f t="shared" si="51"/>
        <v>143</v>
      </c>
      <c r="U110" s="111">
        <f t="shared" si="51"/>
        <v>164.60000000000002</v>
      </c>
      <c r="V110" s="111">
        <f t="shared" si="51"/>
        <v>170.3</v>
      </c>
      <c r="W110" s="111">
        <f t="shared" si="51"/>
        <v>151</v>
      </c>
      <c r="X110" s="111">
        <f t="shared" si="51"/>
        <v>169.40000000000006</v>
      </c>
      <c r="Y110" s="111">
        <f t="shared" si="51"/>
        <v>200</v>
      </c>
      <c r="Z110" s="111">
        <f t="shared" si="51"/>
        <v>224.60000000000002</v>
      </c>
      <c r="AA110" s="111">
        <f t="shared" si="51"/>
        <v>235.1</v>
      </c>
      <c r="AB110" s="111">
        <f t="shared" si="51"/>
        <v>197.1</v>
      </c>
      <c r="AC110" s="111">
        <f t="shared" si="51"/>
        <v>173.39999999999998</v>
      </c>
      <c r="AD110" s="111"/>
      <c r="AE110" s="111">
        <f t="shared" si="51"/>
        <v>81.899999999999991</v>
      </c>
      <c r="AF110" s="111">
        <f t="shared" si="51"/>
        <v>46.500000000000014</v>
      </c>
      <c r="AG110" s="112"/>
      <c r="AH110" s="47">
        <f t="shared" si="23"/>
        <v>235.1</v>
      </c>
      <c r="AI110" s="48">
        <f t="shared" si="24"/>
        <v>35.039999999999992</v>
      </c>
    </row>
    <row r="111" spans="1:37" x14ac:dyDescent="0.25">
      <c r="A111" s="100" t="s">
        <v>127</v>
      </c>
      <c r="B111" s="113">
        <v>53</v>
      </c>
      <c r="C111" s="113">
        <v>45</v>
      </c>
      <c r="D111" s="113">
        <v>28</v>
      </c>
      <c r="E111" s="113">
        <v>20</v>
      </c>
      <c r="F111" s="113">
        <v>17</v>
      </c>
      <c r="G111" s="113">
        <v>13.4</v>
      </c>
      <c r="H111" s="113">
        <v>14</v>
      </c>
      <c r="I111" s="113">
        <v>12.8</v>
      </c>
      <c r="J111" s="113">
        <v>12.1</v>
      </c>
      <c r="K111" s="113">
        <v>29.4</v>
      </c>
      <c r="L111" s="113">
        <v>51.9</v>
      </c>
      <c r="M111" s="113">
        <v>45</v>
      </c>
      <c r="N111" s="113">
        <v>39</v>
      </c>
      <c r="O111" s="113">
        <v>54</v>
      </c>
      <c r="P111" s="113">
        <v>43.1</v>
      </c>
      <c r="Q111" s="113">
        <v>50.9</v>
      </c>
      <c r="R111" s="113">
        <v>46.4</v>
      </c>
      <c r="S111" s="113">
        <v>35.200000000000003</v>
      </c>
      <c r="T111" s="113">
        <v>45</v>
      </c>
      <c r="U111" s="113">
        <v>43.1</v>
      </c>
      <c r="V111" s="113">
        <v>50.5</v>
      </c>
      <c r="W111" s="113">
        <v>51.7</v>
      </c>
      <c r="X111" s="113">
        <v>51</v>
      </c>
      <c r="Y111" s="113">
        <v>65</v>
      </c>
      <c r="Z111" s="113">
        <v>60</v>
      </c>
      <c r="AA111" s="113">
        <v>50.9</v>
      </c>
      <c r="AB111" s="113">
        <v>50.8</v>
      </c>
      <c r="AC111" s="113">
        <v>48.8</v>
      </c>
      <c r="AD111" s="113">
        <v>40.5</v>
      </c>
      <c r="AE111" s="113">
        <v>37.799999999999997</v>
      </c>
      <c r="AF111" s="113">
        <v>23.2</v>
      </c>
      <c r="AG111" s="114">
        <v>75</v>
      </c>
      <c r="AH111" s="47">
        <f t="shared" si="23"/>
        <v>65</v>
      </c>
      <c r="AI111" s="48">
        <f t="shared" si="24"/>
        <v>12.1</v>
      </c>
    </row>
    <row r="112" spans="1:37" x14ac:dyDescent="0.25">
      <c r="A112" s="103" t="s">
        <v>128</v>
      </c>
      <c r="B112" s="115">
        <v>34</v>
      </c>
      <c r="C112" s="115">
        <v>28</v>
      </c>
      <c r="D112" s="115">
        <v>11</v>
      </c>
      <c r="E112" s="115">
        <v>12</v>
      </c>
      <c r="F112" s="115">
        <v>11</v>
      </c>
      <c r="G112" s="115">
        <v>14</v>
      </c>
      <c r="H112" s="115">
        <v>28.3</v>
      </c>
      <c r="I112" s="115">
        <v>28.5</v>
      </c>
      <c r="J112" s="115">
        <v>28.3</v>
      </c>
      <c r="K112" s="115">
        <v>52.3</v>
      </c>
      <c r="L112" s="115">
        <v>81.099999999999994</v>
      </c>
      <c r="M112" s="115">
        <v>75</v>
      </c>
      <c r="N112" s="115">
        <v>60.5</v>
      </c>
      <c r="O112" s="115">
        <v>80.5</v>
      </c>
      <c r="P112" s="115">
        <v>66.8</v>
      </c>
      <c r="Q112" s="115">
        <v>78.5</v>
      </c>
      <c r="R112" s="115">
        <v>72</v>
      </c>
      <c r="S112" s="115">
        <v>60</v>
      </c>
      <c r="T112" s="115">
        <v>70</v>
      </c>
      <c r="U112" s="115">
        <v>67.2</v>
      </c>
      <c r="V112" s="115">
        <v>77.3</v>
      </c>
      <c r="W112" s="115">
        <v>81</v>
      </c>
      <c r="X112" s="115">
        <v>80.099999999999994</v>
      </c>
      <c r="Y112" s="115">
        <v>97.4</v>
      </c>
      <c r="Z112" s="115">
        <v>90</v>
      </c>
      <c r="AA112" s="115">
        <v>75.599999999999994</v>
      </c>
      <c r="AB112" s="115">
        <v>76.099999999999994</v>
      </c>
      <c r="AC112" s="115">
        <v>75</v>
      </c>
      <c r="AD112" s="115">
        <v>65.8</v>
      </c>
      <c r="AE112" s="115">
        <v>61.3</v>
      </c>
      <c r="AF112" s="115">
        <v>40.700000000000003</v>
      </c>
      <c r="AG112" s="114">
        <v>240</v>
      </c>
      <c r="AH112" s="47">
        <f t="shared" si="23"/>
        <v>97.4</v>
      </c>
      <c r="AI112" s="48">
        <f t="shared" si="24"/>
        <v>11</v>
      </c>
    </row>
    <row r="113" spans="1:37" x14ac:dyDescent="0.25">
      <c r="A113" s="103" t="s">
        <v>129</v>
      </c>
      <c r="B113" s="115">
        <v>-180</v>
      </c>
      <c r="C113" s="115">
        <v>-180</v>
      </c>
      <c r="D113" s="115">
        <v>-147</v>
      </c>
      <c r="E113" s="115">
        <f>-52.8-57.4</f>
        <v>-110.19999999999999</v>
      </c>
      <c r="F113" s="115">
        <f t="shared" ref="F113:G113" si="52">-52.8-57.4</f>
        <v>-110.19999999999999</v>
      </c>
      <c r="G113" s="115">
        <f t="shared" si="52"/>
        <v>-110.19999999999999</v>
      </c>
      <c r="H113" s="115">
        <f>-55.2-59.9</f>
        <v>-115.1</v>
      </c>
      <c r="I113" s="115">
        <f>-51-50</f>
        <v>-101</v>
      </c>
      <c r="J113" s="115">
        <f t="shared" ref="J113" si="53">-55.2-59.9</f>
        <v>-115.1</v>
      </c>
      <c r="K113" s="115">
        <f>-75.2-67.4</f>
        <v>-142.60000000000002</v>
      </c>
      <c r="L113" s="115">
        <f>-76-81</f>
        <v>-157</v>
      </c>
      <c r="M113" s="115">
        <v>-140</v>
      </c>
      <c r="N113" s="115">
        <v>-128</v>
      </c>
      <c r="O113" s="115">
        <v>-151</v>
      </c>
      <c r="P113" s="115">
        <v>-157</v>
      </c>
      <c r="Q113" s="115">
        <f>-81-87</f>
        <v>-168</v>
      </c>
      <c r="R113" s="115">
        <v>-155</v>
      </c>
      <c r="S113" s="115">
        <v>-149</v>
      </c>
      <c r="T113" s="115">
        <f>-77-83</f>
        <v>-160</v>
      </c>
      <c r="U113" s="115">
        <v>-150</v>
      </c>
      <c r="V113" s="115">
        <v>-154</v>
      </c>
      <c r="W113" s="115">
        <v>-170</v>
      </c>
      <c r="X113" s="115">
        <v>-162</v>
      </c>
      <c r="Y113" s="115">
        <v>-176</v>
      </c>
      <c r="Z113" s="115">
        <v>-139</v>
      </c>
      <c r="AA113" s="115">
        <v>-112</v>
      </c>
      <c r="AB113" s="115">
        <f>-66.9-73.7</f>
        <v>-140.60000000000002</v>
      </c>
      <c r="AC113" s="115">
        <f>-71.7-78.9</f>
        <v>-150.60000000000002</v>
      </c>
      <c r="AD113" s="115">
        <f>-76-81.8</f>
        <v>-157.80000000000001</v>
      </c>
      <c r="AE113" s="115">
        <f>-89.3-94</f>
        <v>-183.3</v>
      </c>
      <c r="AF113" s="115">
        <f>-84.8-91.8</f>
        <v>-176.6</v>
      </c>
      <c r="AG113" s="114">
        <v>240</v>
      </c>
      <c r="AH113" s="47">
        <f t="shared" si="23"/>
        <v>-101</v>
      </c>
      <c r="AI113" s="48">
        <f t="shared" si="24"/>
        <v>-183.3</v>
      </c>
    </row>
    <row r="114" spans="1:37" x14ac:dyDescent="0.25">
      <c r="A114" s="103" t="s">
        <v>130</v>
      </c>
      <c r="B114" s="115">
        <v>-14</v>
      </c>
      <c r="C114" s="115">
        <v>-17</v>
      </c>
      <c r="D114" s="115">
        <v>-13</v>
      </c>
      <c r="E114" s="115">
        <v>10.8</v>
      </c>
      <c r="F114" s="115">
        <v>10.8</v>
      </c>
      <c r="G114" s="115">
        <v>10.8</v>
      </c>
      <c r="H114" s="115">
        <v>-9.6</v>
      </c>
      <c r="I114" s="115">
        <v>-0.8</v>
      </c>
      <c r="J114" s="115">
        <v>-9.6</v>
      </c>
      <c r="K114" s="115">
        <v>-15.5</v>
      </c>
      <c r="L114" s="115">
        <v>12.7</v>
      </c>
      <c r="M114" s="115">
        <v>13</v>
      </c>
      <c r="N114" s="115">
        <v>15.8</v>
      </c>
      <c r="O114" s="115">
        <v>14.3</v>
      </c>
      <c r="P114" s="115">
        <v>11.2</v>
      </c>
      <c r="Q114" s="115">
        <v>9.6</v>
      </c>
      <c r="R114" s="115">
        <v>12.5</v>
      </c>
      <c r="S114" s="115">
        <v>25.4</v>
      </c>
      <c r="T114" s="115">
        <v>22</v>
      </c>
      <c r="U114" s="115">
        <v>24</v>
      </c>
      <c r="V114" s="115">
        <v>21</v>
      </c>
      <c r="W114" s="115">
        <v>12</v>
      </c>
      <c r="X114" s="115">
        <v>12.4</v>
      </c>
      <c r="Y114" s="115">
        <v>11</v>
      </c>
      <c r="Z114" s="115">
        <v>11</v>
      </c>
      <c r="AA114" s="115">
        <v>28</v>
      </c>
      <c r="AB114" s="115">
        <v>18.600000000000001</v>
      </c>
      <c r="AC114" s="115">
        <v>8.4</v>
      </c>
      <c r="AD114" s="115">
        <v>-1.5</v>
      </c>
      <c r="AE114" s="115">
        <v>-8.8000000000000007</v>
      </c>
      <c r="AF114" s="115">
        <v>-14.7</v>
      </c>
      <c r="AG114" s="114">
        <v>60</v>
      </c>
      <c r="AH114" s="47">
        <f t="shared" si="23"/>
        <v>28</v>
      </c>
      <c r="AI114" s="48">
        <f t="shared" si="24"/>
        <v>-17</v>
      </c>
    </row>
    <row r="115" spans="1:37" x14ac:dyDescent="0.25">
      <c r="A115" s="116" t="s">
        <v>131</v>
      </c>
      <c r="B115" s="117">
        <v>23</v>
      </c>
      <c r="C115" s="117">
        <v>9</v>
      </c>
      <c r="D115" s="117">
        <v>9</v>
      </c>
      <c r="E115" s="117">
        <v>9.1999999999999993</v>
      </c>
      <c r="F115" s="117">
        <v>9.1999999999999993</v>
      </c>
      <c r="G115" s="117">
        <v>9.1999999999999993</v>
      </c>
      <c r="H115" s="117">
        <v>8.4</v>
      </c>
      <c r="I115" s="117">
        <v>10.5</v>
      </c>
      <c r="J115" s="117">
        <v>8.4</v>
      </c>
      <c r="K115" s="117">
        <v>10.8</v>
      </c>
      <c r="L115" s="117">
        <v>22.6</v>
      </c>
      <c r="M115" s="117">
        <v>22.6</v>
      </c>
      <c r="N115" s="117">
        <v>20.2</v>
      </c>
      <c r="O115" s="117">
        <v>23.6</v>
      </c>
      <c r="P115" s="117">
        <v>23.7</v>
      </c>
      <c r="Q115" s="117">
        <v>23.6</v>
      </c>
      <c r="R115" s="117">
        <v>23.4</v>
      </c>
      <c r="S115" s="117">
        <v>20</v>
      </c>
      <c r="T115" s="117">
        <v>19</v>
      </c>
      <c r="U115" s="117">
        <v>20</v>
      </c>
      <c r="V115" s="117">
        <v>15.2</v>
      </c>
      <c r="W115" s="117">
        <v>16</v>
      </c>
      <c r="X115" s="117">
        <v>19.3</v>
      </c>
      <c r="Y115" s="117">
        <v>19</v>
      </c>
      <c r="Z115" s="117">
        <v>19</v>
      </c>
      <c r="AA115" s="117">
        <v>17.600000000000001</v>
      </c>
      <c r="AB115" s="117">
        <v>17.5</v>
      </c>
      <c r="AC115" s="117">
        <v>18.100000000000001</v>
      </c>
      <c r="AD115" s="117">
        <v>18.899999999999999</v>
      </c>
      <c r="AE115" s="117">
        <v>12</v>
      </c>
      <c r="AF115" s="117">
        <v>9</v>
      </c>
      <c r="AG115" s="118">
        <v>120</v>
      </c>
      <c r="AH115" s="47">
        <f t="shared" si="23"/>
        <v>23.7</v>
      </c>
      <c r="AI115" s="48">
        <f t="shared" si="24"/>
        <v>8.4</v>
      </c>
    </row>
    <row r="116" spans="1:37" x14ac:dyDescent="0.25">
      <c r="A116" s="116" t="s">
        <v>132</v>
      </c>
      <c r="B116" s="117">
        <v>54</v>
      </c>
      <c r="C116" s="117">
        <v>51</v>
      </c>
      <c r="D116" s="117">
        <v>38</v>
      </c>
      <c r="E116" s="117">
        <v>59</v>
      </c>
      <c r="F116" s="117">
        <v>59</v>
      </c>
      <c r="G116" s="117">
        <v>59</v>
      </c>
      <c r="H116" s="117">
        <v>47.6</v>
      </c>
      <c r="I116" s="117">
        <v>61.4</v>
      </c>
      <c r="J116" s="117">
        <v>47.6</v>
      </c>
      <c r="K116" s="117">
        <v>55.4</v>
      </c>
      <c r="L116" s="117">
        <v>43.6</v>
      </c>
      <c r="M116" s="117">
        <v>45</v>
      </c>
      <c r="N116" s="117">
        <v>55.1</v>
      </c>
      <c r="O116" s="117">
        <v>23.6</v>
      </c>
      <c r="P116" s="117">
        <v>61.1</v>
      </c>
      <c r="Q116" s="117">
        <v>49.6</v>
      </c>
      <c r="R116" s="117">
        <v>62.1</v>
      </c>
      <c r="S116" s="117">
        <v>34</v>
      </c>
      <c r="T116" s="117">
        <v>49</v>
      </c>
      <c r="U116" s="117">
        <v>44</v>
      </c>
      <c r="V116" s="117">
        <v>49</v>
      </c>
      <c r="W116" s="117">
        <v>29</v>
      </c>
      <c r="X116" s="117">
        <v>23.8</v>
      </c>
      <c r="Y116" s="117">
        <v>12</v>
      </c>
      <c r="Z116" s="117">
        <v>41</v>
      </c>
      <c r="AA116" s="117">
        <v>47</v>
      </c>
      <c r="AB116" s="117">
        <v>48.5</v>
      </c>
      <c r="AC116" s="117">
        <v>52</v>
      </c>
      <c r="AD116" s="117">
        <v>47.2</v>
      </c>
      <c r="AE116" s="117">
        <v>50.3</v>
      </c>
      <c r="AF116" s="117">
        <v>61.5</v>
      </c>
      <c r="AG116" s="118"/>
      <c r="AH116" s="47">
        <f t="shared" si="23"/>
        <v>62.1</v>
      </c>
      <c r="AI116" s="48">
        <f t="shared" si="24"/>
        <v>12</v>
      </c>
    </row>
    <row r="117" spans="1:37" x14ac:dyDescent="0.25">
      <c r="A117" s="116" t="s">
        <v>133</v>
      </c>
      <c r="B117" s="117">
        <v>90</v>
      </c>
      <c r="C117" s="117">
        <v>85</v>
      </c>
      <c r="D117" s="117">
        <v>85</v>
      </c>
      <c r="E117" s="117">
        <v>37</v>
      </c>
      <c r="F117" s="117">
        <v>37</v>
      </c>
      <c r="G117" s="117">
        <v>37</v>
      </c>
      <c r="H117" s="117">
        <v>44.4</v>
      </c>
      <c r="I117" s="117">
        <v>43.2</v>
      </c>
      <c r="J117" s="117">
        <v>44.4</v>
      </c>
      <c r="K117" s="117">
        <v>34.1</v>
      </c>
      <c r="L117" s="117">
        <v>32.5</v>
      </c>
      <c r="M117" s="117">
        <v>37</v>
      </c>
      <c r="N117" s="117">
        <v>47.7</v>
      </c>
      <c r="O117" s="117">
        <v>21.4</v>
      </c>
      <c r="P117" s="117">
        <v>36.5</v>
      </c>
      <c r="Q117" s="117">
        <v>33.1</v>
      </c>
      <c r="R117" s="117">
        <v>33.9</v>
      </c>
      <c r="S117" s="117">
        <v>22</v>
      </c>
      <c r="T117" s="117">
        <v>36</v>
      </c>
      <c r="U117" s="117">
        <v>39</v>
      </c>
      <c r="V117" s="117">
        <v>37</v>
      </c>
      <c r="W117" s="117">
        <v>40</v>
      </c>
      <c r="X117" s="117">
        <v>39.1</v>
      </c>
      <c r="Y117" s="117">
        <v>21.2</v>
      </c>
      <c r="Z117" s="117">
        <v>35</v>
      </c>
      <c r="AA117" s="117">
        <v>48</v>
      </c>
      <c r="AB117" s="117">
        <v>48.3</v>
      </c>
      <c r="AC117" s="117">
        <v>49.6</v>
      </c>
      <c r="AD117" s="117">
        <v>47.9</v>
      </c>
      <c r="AE117" s="117">
        <v>50</v>
      </c>
      <c r="AF117" s="117">
        <v>57.5</v>
      </c>
      <c r="AG117" s="119"/>
      <c r="AH117" s="47">
        <f t="shared" si="23"/>
        <v>90</v>
      </c>
      <c r="AI117" s="48">
        <f t="shared" si="24"/>
        <v>21.2</v>
      </c>
    </row>
    <row r="118" spans="1:37" x14ac:dyDescent="0.25">
      <c r="A118" s="120" t="s">
        <v>134</v>
      </c>
      <c r="B118" s="106">
        <v>17</v>
      </c>
      <c r="C118" s="106">
        <v>41</v>
      </c>
      <c r="D118" s="106">
        <v>43</v>
      </c>
      <c r="E118" s="106">
        <v>46.3</v>
      </c>
      <c r="F118" s="106">
        <v>46.3</v>
      </c>
      <c r="G118" s="106">
        <v>46.3</v>
      </c>
      <c r="H118" s="106">
        <v>43.6</v>
      </c>
      <c r="I118" s="106">
        <v>40.4</v>
      </c>
      <c r="J118" s="106">
        <v>43.6</v>
      </c>
      <c r="K118" s="106">
        <v>32.6</v>
      </c>
      <c r="L118" s="106">
        <v>36</v>
      </c>
      <c r="M118" s="106">
        <v>30</v>
      </c>
      <c r="N118" s="106">
        <v>30.2</v>
      </c>
      <c r="O118" s="106">
        <v>32.799999999999997</v>
      </c>
      <c r="P118" s="106">
        <v>41</v>
      </c>
      <c r="Q118" s="106">
        <v>37.9</v>
      </c>
      <c r="R118" s="106">
        <v>33.6</v>
      </c>
      <c r="S118" s="106">
        <v>29.1</v>
      </c>
      <c r="T118" s="106">
        <v>25</v>
      </c>
      <c r="U118" s="106">
        <v>20</v>
      </c>
      <c r="V118" s="106">
        <v>32</v>
      </c>
      <c r="W118" s="106">
        <v>30</v>
      </c>
      <c r="X118" s="106">
        <v>28.4</v>
      </c>
      <c r="Y118" s="106">
        <v>30</v>
      </c>
      <c r="Z118" s="106">
        <v>20</v>
      </c>
      <c r="AA118" s="106">
        <v>15</v>
      </c>
      <c r="AB118" s="106">
        <v>19.5</v>
      </c>
      <c r="AC118" s="106">
        <v>21.6</v>
      </c>
      <c r="AD118" s="106">
        <v>26.7</v>
      </c>
      <c r="AE118" s="106">
        <v>33.6</v>
      </c>
      <c r="AF118" s="106">
        <v>36.200000000000003</v>
      </c>
      <c r="AG118" s="119"/>
      <c r="AH118" s="47">
        <f t="shared" si="23"/>
        <v>46.3</v>
      </c>
      <c r="AI118" s="48">
        <f t="shared" si="24"/>
        <v>15</v>
      </c>
    </row>
    <row r="119" spans="1:37" x14ac:dyDescent="0.25">
      <c r="A119" s="121" t="s">
        <v>135</v>
      </c>
      <c r="B119" s="106">
        <v>90</v>
      </c>
      <c r="C119" s="106">
        <v>91</v>
      </c>
      <c r="D119" s="106">
        <v>72</v>
      </c>
      <c r="E119" s="106">
        <v>58</v>
      </c>
      <c r="F119" s="106">
        <v>58</v>
      </c>
      <c r="G119" s="106">
        <v>58</v>
      </c>
      <c r="H119" s="106">
        <v>65</v>
      </c>
      <c r="I119" s="106">
        <v>52.4</v>
      </c>
      <c r="J119" s="106">
        <v>65</v>
      </c>
      <c r="K119" s="106">
        <v>72</v>
      </c>
      <c r="L119" s="106">
        <v>85.6</v>
      </c>
      <c r="M119" s="106">
        <v>89</v>
      </c>
      <c r="N119" s="106">
        <v>76</v>
      </c>
      <c r="O119" s="106">
        <v>81.2</v>
      </c>
      <c r="P119" s="106">
        <v>82.9</v>
      </c>
      <c r="Q119" s="106">
        <v>94.9</v>
      </c>
      <c r="R119" s="106">
        <v>82.5</v>
      </c>
      <c r="S119" s="106">
        <v>87.3</v>
      </c>
      <c r="T119" s="106">
        <v>84</v>
      </c>
      <c r="U119" s="106">
        <v>88</v>
      </c>
      <c r="V119" s="106">
        <v>88</v>
      </c>
      <c r="W119" s="106">
        <v>97</v>
      </c>
      <c r="X119" s="106">
        <v>87.8</v>
      </c>
      <c r="Y119" s="106">
        <v>94</v>
      </c>
      <c r="Z119" s="106">
        <v>74</v>
      </c>
      <c r="AA119" s="106">
        <v>69</v>
      </c>
      <c r="AB119" s="106">
        <v>72.099999999999994</v>
      </c>
      <c r="AC119" s="106">
        <v>79.5</v>
      </c>
      <c r="AD119" s="106">
        <v>79.400000000000006</v>
      </c>
      <c r="AE119" s="106">
        <v>90.5</v>
      </c>
      <c r="AF119" s="106">
        <v>93.7</v>
      </c>
      <c r="AG119" s="119"/>
      <c r="AH119" s="47">
        <f t="shared" si="23"/>
        <v>97</v>
      </c>
      <c r="AI119" s="48">
        <f t="shared" si="24"/>
        <v>52.4</v>
      </c>
    </row>
    <row r="120" spans="1:37" ht="15.75" thickBot="1" x14ac:dyDescent="0.3">
      <c r="A120" s="120" t="s">
        <v>136</v>
      </c>
      <c r="B120" s="106">
        <v>52</v>
      </c>
      <c r="C120" s="106">
        <v>45</v>
      </c>
      <c r="D120" s="106">
        <v>32</v>
      </c>
      <c r="E120" s="106">
        <v>42.5</v>
      </c>
      <c r="F120" s="106">
        <v>42.5</v>
      </c>
      <c r="G120" s="106">
        <v>42.5</v>
      </c>
      <c r="H120" s="106">
        <v>17.3</v>
      </c>
      <c r="I120" s="106">
        <v>8.1999999999999993</v>
      </c>
      <c r="J120" s="106">
        <v>17.3</v>
      </c>
      <c r="K120" s="106">
        <v>15.1</v>
      </c>
      <c r="L120" s="106">
        <v>29</v>
      </c>
      <c r="M120" s="106">
        <v>29</v>
      </c>
      <c r="N120" s="106">
        <v>23.9</v>
      </c>
      <c r="O120" s="106">
        <v>20.7</v>
      </c>
      <c r="P120" s="106">
        <v>33.200000000000003</v>
      </c>
      <c r="Q120" s="106">
        <v>46.6</v>
      </c>
      <c r="R120" s="106">
        <v>46.2</v>
      </c>
      <c r="S120" s="106">
        <v>57</v>
      </c>
      <c r="T120" s="106">
        <v>47</v>
      </c>
      <c r="U120" s="106">
        <v>38</v>
      </c>
      <c r="V120" s="106">
        <v>18</v>
      </c>
      <c r="W120" s="106">
        <v>26</v>
      </c>
      <c r="X120" s="106">
        <v>21</v>
      </c>
      <c r="Y120" s="106">
        <v>21</v>
      </c>
      <c r="Z120" s="106">
        <v>40</v>
      </c>
      <c r="AA120" s="106">
        <v>50</v>
      </c>
      <c r="AB120" s="106">
        <v>48.9</v>
      </c>
      <c r="AC120" s="106">
        <v>54.6</v>
      </c>
      <c r="AD120" s="106">
        <v>55.5</v>
      </c>
      <c r="AE120" s="106">
        <v>49</v>
      </c>
      <c r="AF120" s="106">
        <v>45.5</v>
      </c>
      <c r="AG120" s="119"/>
      <c r="AH120" s="47">
        <f t="shared" si="23"/>
        <v>57</v>
      </c>
      <c r="AI120" s="48">
        <f t="shared" si="24"/>
        <v>8.1999999999999993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54">SUM(B122:B226)</f>
        <v>0</v>
      </c>
      <c r="C227" s="137">
        <f t="shared" si="54"/>
        <v>0</v>
      </c>
      <c r="D227" s="137">
        <f t="shared" si="54"/>
        <v>0</v>
      </c>
      <c r="E227" s="137">
        <f t="shared" si="54"/>
        <v>0</v>
      </c>
      <c r="F227" s="137">
        <f t="shared" si="54"/>
        <v>0</v>
      </c>
      <c r="G227" s="137">
        <f t="shared" si="54"/>
        <v>0</v>
      </c>
      <c r="H227" s="137">
        <f t="shared" si="54"/>
        <v>0</v>
      </c>
      <c r="I227" s="137">
        <f t="shared" si="54"/>
        <v>0</v>
      </c>
      <c r="J227" s="137">
        <f t="shared" si="54"/>
        <v>0</v>
      </c>
      <c r="K227" s="137">
        <f t="shared" si="54"/>
        <v>0</v>
      </c>
      <c r="L227" s="137">
        <f t="shared" si="54"/>
        <v>0</v>
      </c>
      <c r="M227" s="137">
        <f t="shared" si="54"/>
        <v>0</v>
      </c>
      <c r="N227" s="137">
        <f t="shared" si="54"/>
        <v>0</v>
      </c>
      <c r="O227" s="137">
        <f t="shared" si="54"/>
        <v>0</v>
      </c>
      <c r="P227" s="137">
        <f t="shared" si="54"/>
        <v>0</v>
      </c>
      <c r="Q227" s="137">
        <f t="shared" si="54"/>
        <v>0</v>
      </c>
      <c r="R227" s="137">
        <f t="shared" si="54"/>
        <v>0</v>
      </c>
      <c r="S227" s="137">
        <f t="shared" si="54"/>
        <v>0</v>
      </c>
      <c r="T227" s="137">
        <f t="shared" si="54"/>
        <v>0</v>
      </c>
      <c r="U227" s="137">
        <f t="shared" si="54"/>
        <v>0</v>
      </c>
      <c r="V227" s="137">
        <f t="shared" si="54"/>
        <v>0</v>
      </c>
      <c r="W227" s="137">
        <f t="shared" si="54"/>
        <v>0</v>
      </c>
      <c r="X227" s="137">
        <f t="shared" si="54"/>
        <v>0</v>
      </c>
      <c r="Y227" s="137">
        <f t="shared" si="54"/>
        <v>0</v>
      </c>
      <c r="Z227" s="137">
        <f t="shared" si="54"/>
        <v>0</v>
      </c>
      <c r="AA227" s="137">
        <f t="shared" si="54"/>
        <v>0</v>
      </c>
      <c r="AB227" s="137">
        <f t="shared" si="54"/>
        <v>0</v>
      </c>
      <c r="AC227" s="137">
        <f t="shared" si="54"/>
        <v>0</v>
      </c>
      <c r="AD227" s="137">
        <f t="shared" si="54"/>
        <v>0</v>
      </c>
      <c r="AE227" s="137">
        <f t="shared" si="54"/>
        <v>0</v>
      </c>
      <c r="AF227" s="138">
        <f t="shared" si="54"/>
        <v>0</v>
      </c>
      <c r="AG227" s="139">
        <f t="shared" si="54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55">AF229</f>
        <v>0</v>
      </c>
      <c r="C229" s="141">
        <v>0.3</v>
      </c>
      <c r="D229" s="141">
        <f t="shared" ref="D229:P234" si="56">C229</f>
        <v>0.3</v>
      </c>
      <c r="E229" s="141">
        <f t="shared" si="56"/>
        <v>0.3</v>
      </c>
      <c r="F229" s="141">
        <f t="shared" si="56"/>
        <v>0.3</v>
      </c>
      <c r="G229" s="141">
        <f t="shared" si="56"/>
        <v>0.3</v>
      </c>
      <c r="H229" s="141">
        <f t="shared" si="56"/>
        <v>0.3</v>
      </c>
      <c r="I229" s="141">
        <f t="shared" si="56"/>
        <v>0.3</v>
      </c>
      <c r="J229" s="141">
        <f t="shared" si="56"/>
        <v>0.3</v>
      </c>
      <c r="K229" s="141">
        <f t="shared" si="56"/>
        <v>0.3</v>
      </c>
      <c r="L229" s="141">
        <f t="shared" si="56"/>
        <v>0.3</v>
      </c>
      <c r="M229" s="141">
        <f t="shared" si="56"/>
        <v>0.3</v>
      </c>
      <c r="N229" s="141">
        <f t="shared" si="56"/>
        <v>0.3</v>
      </c>
      <c r="O229" s="141">
        <f t="shared" si="56"/>
        <v>0.3</v>
      </c>
      <c r="P229" s="141">
        <f t="shared" si="56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55"/>
        <v>0</v>
      </c>
      <c r="C230" s="129">
        <v>0.4</v>
      </c>
      <c r="D230" s="129">
        <f t="shared" si="56"/>
        <v>0.4</v>
      </c>
      <c r="E230" s="129">
        <f t="shared" si="56"/>
        <v>0.4</v>
      </c>
      <c r="F230" s="129">
        <f t="shared" si="56"/>
        <v>0.4</v>
      </c>
      <c r="G230" s="129">
        <f t="shared" si="56"/>
        <v>0.4</v>
      </c>
      <c r="H230" s="129">
        <f t="shared" si="56"/>
        <v>0.4</v>
      </c>
      <c r="I230" s="129">
        <f t="shared" si="56"/>
        <v>0.4</v>
      </c>
      <c r="J230" s="129">
        <f t="shared" si="56"/>
        <v>0.4</v>
      </c>
      <c r="K230" s="129">
        <f t="shared" si="56"/>
        <v>0.4</v>
      </c>
      <c r="L230" s="129">
        <f t="shared" si="56"/>
        <v>0.4</v>
      </c>
      <c r="M230" s="129">
        <f t="shared" si="56"/>
        <v>0.4</v>
      </c>
      <c r="N230" s="129">
        <f t="shared" si="56"/>
        <v>0.4</v>
      </c>
      <c r="O230" s="129">
        <f t="shared" si="56"/>
        <v>0.4</v>
      </c>
      <c r="P230" s="129">
        <f t="shared" si="56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55"/>
        <v>0</v>
      </c>
      <c r="C231" s="129">
        <v>1.5</v>
      </c>
      <c r="D231" s="129">
        <f t="shared" si="56"/>
        <v>1.5</v>
      </c>
      <c r="E231" s="129">
        <f t="shared" si="56"/>
        <v>1.5</v>
      </c>
      <c r="F231" s="129">
        <f t="shared" si="56"/>
        <v>1.5</v>
      </c>
      <c r="G231" s="129">
        <f t="shared" si="56"/>
        <v>1.5</v>
      </c>
      <c r="H231" s="129">
        <f t="shared" si="56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56"/>
        <v>123.21900000000009</v>
      </c>
      <c r="K231" s="129">
        <f t="shared" ca="1" si="56"/>
        <v>123.21900000000009</v>
      </c>
      <c r="L231" s="129">
        <f t="shared" ca="1" si="56"/>
        <v>123.21900000000009</v>
      </c>
      <c r="M231" s="129">
        <f t="shared" ca="1" si="56"/>
        <v>119.19900000000008</v>
      </c>
      <c r="N231" s="129">
        <f t="shared" ca="1" si="56"/>
        <v>119.19900000000008</v>
      </c>
      <c r="O231" s="129">
        <f t="shared" ca="1" si="56"/>
        <v>119.19900000000008</v>
      </c>
      <c r="P231" s="129">
        <f t="shared" ca="1" si="56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55"/>
        <v>0</v>
      </c>
      <c r="C232" s="129">
        <v>0.3</v>
      </c>
      <c r="D232" s="129">
        <f t="shared" si="56"/>
        <v>0.3</v>
      </c>
      <c r="E232" s="129">
        <f t="shared" si="56"/>
        <v>0.3</v>
      </c>
      <c r="F232" s="129">
        <f t="shared" si="56"/>
        <v>0.3</v>
      </c>
      <c r="G232" s="129">
        <f t="shared" si="56"/>
        <v>0.3</v>
      </c>
      <c r="H232" s="129">
        <f t="shared" si="56"/>
        <v>0.3</v>
      </c>
      <c r="I232" s="129">
        <f t="shared" si="56"/>
        <v>0.3</v>
      </c>
      <c r="J232" s="129">
        <f t="shared" si="56"/>
        <v>0.3</v>
      </c>
      <c r="K232" s="129">
        <f t="shared" si="56"/>
        <v>0.3</v>
      </c>
      <c r="L232" s="129">
        <f t="shared" si="56"/>
        <v>0.3</v>
      </c>
      <c r="M232" s="129">
        <f t="shared" si="56"/>
        <v>0.3</v>
      </c>
      <c r="N232" s="129">
        <f t="shared" si="56"/>
        <v>0.3</v>
      </c>
      <c r="O232" s="129">
        <f t="shared" si="56"/>
        <v>0.3</v>
      </c>
      <c r="P232" s="129">
        <f t="shared" si="56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55"/>
        <v>0</v>
      </c>
      <c r="C233" s="129">
        <v>0.4</v>
      </c>
      <c r="D233" s="129">
        <f t="shared" si="56"/>
        <v>0.4</v>
      </c>
      <c r="E233" s="129">
        <f t="shared" si="56"/>
        <v>0.4</v>
      </c>
      <c r="F233" s="129">
        <f t="shared" si="56"/>
        <v>0.4</v>
      </c>
      <c r="G233" s="129">
        <f t="shared" si="56"/>
        <v>0.4</v>
      </c>
      <c r="H233" s="129">
        <f t="shared" si="56"/>
        <v>0.4</v>
      </c>
      <c r="I233" s="129">
        <f t="shared" si="56"/>
        <v>0.4</v>
      </c>
      <c r="J233" s="129">
        <f t="shared" si="56"/>
        <v>0.4</v>
      </c>
      <c r="K233" s="129">
        <f t="shared" si="56"/>
        <v>0.4</v>
      </c>
      <c r="L233" s="129">
        <f t="shared" si="56"/>
        <v>0.4</v>
      </c>
      <c r="M233" s="129">
        <f t="shared" si="56"/>
        <v>0.4</v>
      </c>
      <c r="N233" s="129">
        <f t="shared" si="56"/>
        <v>0.4</v>
      </c>
      <c r="O233" s="129">
        <f t="shared" si="56"/>
        <v>0.4</v>
      </c>
      <c r="P233" s="129">
        <f t="shared" si="56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55"/>
        <v>0</v>
      </c>
      <c r="C234" s="133">
        <v>0.64</v>
      </c>
      <c r="D234" s="133">
        <f t="shared" si="56"/>
        <v>0.64</v>
      </c>
      <c r="E234" s="133">
        <f t="shared" si="56"/>
        <v>0.64</v>
      </c>
      <c r="F234" s="133">
        <f t="shared" si="56"/>
        <v>0.64</v>
      </c>
      <c r="G234" s="133">
        <f t="shared" si="56"/>
        <v>0.64</v>
      </c>
      <c r="H234" s="133">
        <f t="shared" si="56"/>
        <v>0.64</v>
      </c>
      <c r="I234" s="133">
        <f t="shared" si="56"/>
        <v>0.64</v>
      </c>
      <c r="J234" s="133">
        <f t="shared" si="56"/>
        <v>0.64</v>
      </c>
      <c r="K234" s="133">
        <f t="shared" si="56"/>
        <v>0.64</v>
      </c>
      <c r="L234" s="133">
        <f t="shared" si="56"/>
        <v>0.64</v>
      </c>
      <c r="M234" s="133">
        <f t="shared" si="56"/>
        <v>0.64</v>
      </c>
      <c r="N234" s="133">
        <f t="shared" si="56"/>
        <v>0.64</v>
      </c>
      <c r="O234" s="133">
        <f t="shared" si="56"/>
        <v>0.64</v>
      </c>
      <c r="P234" s="133">
        <f t="shared" si="56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57">SUM(B229:B234)</f>
        <v>0</v>
      </c>
      <c r="C235" s="137">
        <f t="shared" si="57"/>
        <v>3.54</v>
      </c>
      <c r="D235" s="137">
        <f t="shared" si="57"/>
        <v>3.54</v>
      </c>
      <c r="E235" s="137">
        <f t="shared" si="57"/>
        <v>3.54</v>
      </c>
      <c r="F235" s="137">
        <f t="shared" si="57"/>
        <v>3.54</v>
      </c>
      <c r="G235" s="137">
        <f t="shared" si="57"/>
        <v>3.54</v>
      </c>
      <c r="H235" s="137">
        <f t="shared" si="57"/>
        <v>3.54</v>
      </c>
      <c r="I235" s="137">
        <f t="shared" ca="1" si="57"/>
        <v>121.23900000000009</v>
      </c>
      <c r="J235" s="137">
        <f t="shared" ca="1" si="57"/>
        <v>121.23900000000009</v>
      </c>
      <c r="K235" s="137">
        <f t="shared" ca="1" si="57"/>
        <v>121.23900000000009</v>
      </c>
      <c r="L235" s="137">
        <f t="shared" ca="1" si="57"/>
        <v>125.2590000000001</v>
      </c>
      <c r="M235" s="137">
        <f t="shared" ca="1" si="57"/>
        <v>121.23900000000009</v>
      </c>
      <c r="N235" s="137">
        <f t="shared" ca="1" si="57"/>
        <v>121.23900000000009</v>
      </c>
      <c r="O235" s="137">
        <f t="shared" ca="1" si="57"/>
        <v>121.23900000000009</v>
      </c>
      <c r="P235" s="137">
        <f t="shared" ca="1" si="57"/>
        <v>121.23900000000009</v>
      </c>
      <c r="Q235" s="137">
        <f t="shared" si="57"/>
        <v>0</v>
      </c>
      <c r="R235" s="137">
        <f t="shared" si="57"/>
        <v>0</v>
      </c>
      <c r="S235" s="137">
        <f t="shared" si="57"/>
        <v>0</v>
      </c>
      <c r="T235" s="137">
        <f t="shared" si="57"/>
        <v>0</v>
      </c>
      <c r="U235" s="137">
        <f t="shared" si="57"/>
        <v>0</v>
      </c>
      <c r="V235" s="137">
        <f t="shared" si="57"/>
        <v>0</v>
      </c>
      <c r="W235" s="137">
        <f t="shared" si="57"/>
        <v>0</v>
      </c>
      <c r="X235" s="137">
        <f t="shared" si="57"/>
        <v>0</v>
      </c>
      <c r="Y235" s="137">
        <f t="shared" si="57"/>
        <v>0</v>
      </c>
      <c r="Z235" s="137">
        <f t="shared" si="57"/>
        <v>0</v>
      </c>
      <c r="AA235" s="137">
        <f t="shared" si="57"/>
        <v>0</v>
      </c>
      <c r="AB235" s="137">
        <f t="shared" si="57"/>
        <v>0</v>
      </c>
      <c r="AC235" s="137">
        <f t="shared" si="57"/>
        <v>0</v>
      </c>
      <c r="AD235" s="137">
        <f t="shared" si="57"/>
        <v>0</v>
      </c>
      <c r="AE235" s="137">
        <f t="shared" si="57"/>
        <v>0</v>
      </c>
      <c r="AF235" s="137">
        <f t="shared" si="57"/>
        <v>0</v>
      </c>
      <c r="AG235" s="146">
        <f t="shared" si="57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1873.04</v>
      </c>
      <c r="C244" s="162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19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2080/03/19)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2080/03/19)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58">B91</f>
        <v>1857.64</v>
      </c>
      <c r="U249" s="171">
        <f t="shared" si="58"/>
        <v>1725.34</v>
      </c>
      <c r="V249" s="171">
        <f t="shared" si="58"/>
        <v>1711.04</v>
      </c>
      <c r="W249" s="171">
        <f t="shared" si="58"/>
        <v>1711.04</v>
      </c>
      <c r="X249" s="171">
        <f t="shared" si="58"/>
        <v>2065.04</v>
      </c>
      <c r="Y249" s="171">
        <f t="shared" si="58"/>
        <v>1754.04</v>
      </c>
      <c r="Z249" s="171">
        <f t="shared" si="58"/>
        <v>1746.6399999999999</v>
      </c>
      <c r="AA249" s="171">
        <f t="shared" si="58"/>
        <v>1742.6399999999999</v>
      </c>
      <c r="AB249" s="171">
        <f t="shared" si="58"/>
        <v>1739.74</v>
      </c>
      <c r="AC249" s="171">
        <f t="shared" si="58"/>
        <v>1739.74</v>
      </c>
      <c r="AD249" s="171">
        <f t="shared" si="58"/>
        <v>1799.74</v>
      </c>
      <c r="AE249" s="171">
        <f t="shared" si="58"/>
        <v>1873.04</v>
      </c>
      <c r="AF249" s="171">
        <f t="shared" si="58"/>
        <v>1829.64</v>
      </c>
      <c r="AG249" s="171">
        <f t="shared" si="58"/>
        <v>1818.04</v>
      </c>
      <c r="AH249" s="171">
        <f t="shared" si="58"/>
        <v>1836.34</v>
      </c>
      <c r="AI249" s="171">
        <f t="shared" si="58"/>
        <v>1895.1399999999999</v>
      </c>
      <c r="AJ249" s="171">
        <f t="shared" si="58"/>
        <v>1913.1399999999999</v>
      </c>
      <c r="AK249" s="171">
        <f t="shared" si="58"/>
        <v>1960.9399999999998</v>
      </c>
      <c r="AL249" s="171">
        <f t="shared" si="58"/>
        <v>1896.64</v>
      </c>
      <c r="AM249" s="171">
        <f t="shared" si="58"/>
        <v>1923.24</v>
      </c>
      <c r="AN249" s="171">
        <f t="shared" si="58"/>
        <v>1917.8400000000001</v>
      </c>
      <c r="AO249" s="171">
        <f t="shared" si="58"/>
        <v>1923.24</v>
      </c>
      <c r="AP249" s="171">
        <f t="shared" si="58"/>
        <v>1912.84</v>
      </c>
      <c r="AQ249" s="171">
        <f t="shared" si="58"/>
        <v>1954.44</v>
      </c>
      <c r="AR249" s="171">
        <f t="shared" si="58"/>
        <v>1957.64</v>
      </c>
      <c r="AS249" s="171">
        <f t="shared" si="58"/>
        <v>2002.34</v>
      </c>
      <c r="AT249" s="171">
        <f t="shared" si="58"/>
        <v>2021.64</v>
      </c>
      <c r="AU249" s="171">
        <f t="shared" si="58"/>
        <v>1961.7400000000002</v>
      </c>
      <c r="AV249" s="171">
        <f t="shared" si="58"/>
        <v>1937.8400000000001</v>
      </c>
      <c r="AW249" s="171">
        <f t="shared" si="58"/>
        <v>1935.74</v>
      </c>
      <c r="AX249" s="171">
        <f t="shared" si="58"/>
        <v>1896.4400000000003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59">C234</f>
        <v>0.64</v>
      </c>
      <c r="C270" s="174">
        <f t="shared" si="59"/>
        <v>0.64</v>
      </c>
      <c r="D270" s="174">
        <f t="shared" si="59"/>
        <v>0.64</v>
      </c>
      <c r="E270" s="174">
        <f t="shared" si="59"/>
        <v>0.64</v>
      </c>
      <c r="F270" s="174">
        <f t="shared" si="59"/>
        <v>0.64</v>
      </c>
      <c r="G270" s="174">
        <f t="shared" si="59"/>
        <v>0.64</v>
      </c>
      <c r="H270" s="174">
        <f t="shared" si="59"/>
        <v>0.64</v>
      </c>
      <c r="I270" s="174">
        <f t="shared" si="59"/>
        <v>0.64</v>
      </c>
      <c r="J270" s="174">
        <f t="shared" si="59"/>
        <v>0.64</v>
      </c>
      <c r="K270" s="174">
        <f t="shared" si="59"/>
        <v>0.64</v>
      </c>
      <c r="L270" s="174">
        <f t="shared" si="59"/>
        <v>0.64</v>
      </c>
      <c r="M270" s="174">
        <f t="shared" si="59"/>
        <v>0.64</v>
      </c>
      <c r="N270" s="174">
        <f t="shared" si="59"/>
        <v>0.64</v>
      </c>
      <c r="O270" s="174">
        <f t="shared" si="59"/>
        <v>0.64</v>
      </c>
      <c r="P270" s="174">
        <f t="shared" si="59"/>
        <v>0</v>
      </c>
      <c r="Q270" s="174">
        <f t="shared" si="59"/>
        <v>0</v>
      </c>
      <c r="R270" s="174">
        <f t="shared" si="59"/>
        <v>0</v>
      </c>
      <c r="S270" s="174">
        <f t="shared" si="59"/>
        <v>0</v>
      </c>
      <c r="T270" s="174">
        <f t="shared" si="59"/>
        <v>0</v>
      </c>
      <c r="U270" s="174">
        <f t="shared" si="59"/>
        <v>0</v>
      </c>
      <c r="V270" s="174">
        <f t="shared" si="59"/>
        <v>0</v>
      </c>
      <c r="W270" s="174">
        <f t="shared" si="59"/>
        <v>0</v>
      </c>
      <c r="X270" s="174">
        <f t="shared" si="59"/>
        <v>0</v>
      </c>
      <c r="Y270" s="174">
        <f t="shared" si="59"/>
        <v>0</v>
      </c>
      <c r="Z270" s="174">
        <f t="shared" si="59"/>
        <v>0</v>
      </c>
      <c r="AA270" s="174">
        <f t="shared" si="59"/>
        <v>0</v>
      </c>
      <c r="AB270" s="174">
        <f t="shared" si="59"/>
        <v>0</v>
      </c>
      <c r="AC270" s="174">
        <f t="shared" si="59"/>
        <v>0</v>
      </c>
      <c r="AD270" s="174">
        <f t="shared" si="59"/>
        <v>0</v>
      </c>
      <c r="AE270" s="174">
        <f t="shared" si="59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60">IF(B238&lt;100,"",B238-520)</f>
        <v/>
      </c>
      <c r="C271" s="175" t="str">
        <f t="shared" si="60"/>
        <v/>
      </c>
      <c r="D271" s="175" t="str">
        <f t="shared" si="60"/>
        <v/>
      </c>
      <c r="E271" s="175" t="str">
        <f t="shared" si="60"/>
        <v/>
      </c>
      <c r="F271" s="175" t="str">
        <f t="shared" si="60"/>
        <v/>
      </c>
      <c r="G271" s="175" t="str">
        <f t="shared" si="60"/>
        <v/>
      </c>
      <c r="H271" s="175" t="str">
        <f t="shared" si="60"/>
        <v/>
      </c>
      <c r="I271" s="175" t="str">
        <f t="shared" si="60"/>
        <v/>
      </c>
      <c r="J271" s="175" t="str">
        <f t="shared" si="60"/>
        <v/>
      </c>
      <c r="K271" s="175" t="str">
        <f t="shared" si="60"/>
        <v/>
      </c>
      <c r="L271" s="175" t="str">
        <f t="shared" si="60"/>
        <v/>
      </c>
      <c r="M271" s="175" t="str">
        <f t="shared" si="60"/>
        <v/>
      </c>
      <c r="N271" s="175" t="str">
        <f t="shared" si="60"/>
        <v/>
      </c>
      <c r="O271" s="175" t="str">
        <f t="shared" si="60"/>
        <v/>
      </c>
      <c r="P271" s="175" t="str">
        <f t="shared" si="60"/>
        <v/>
      </c>
      <c r="Q271" s="175" t="str">
        <f t="shared" si="60"/>
        <v/>
      </c>
      <c r="R271" s="175" t="str">
        <f t="shared" si="60"/>
        <v/>
      </c>
      <c r="S271" s="175" t="str">
        <f t="shared" si="60"/>
        <v/>
      </c>
      <c r="T271" s="175" t="str">
        <f t="shared" si="60"/>
        <v/>
      </c>
      <c r="U271" s="175" t="str">
        <f t="shared" si="60"/>
        <v/>
      </c>
      <c r="V271" s="175" t="str">
        <f t="shared" si="60"/>
        <v/>
      </c>
      <c r="W271" s="175" t="str">
        <f t="shared" si="60"/>
        <v/>
      </c>
      <c r="X271" s="175" t="str">
        <f t="shared" si="60"/>
        <v/>
      </c>
      <c r="Y271" s="175" t="str">
        <f t="shared" si="60"/>
        <v/>
      </c>
      <c r="Z271" s="175" t="str">
        <f t="shared" si="60"/>
        <v/>
      </c>
      <c r="AA271" s="175" t="str">
        <f t="shared" si="60"/>
        <v/>
      </c>
      <c r="AB271" s="175" t="str">
        <f t="shared" si="60"/>
        <v/>
      </c>
      <c r="AC271" s="175" t="str">
        <f t="shared" si="60"/>
        <v/>
      </c>
      <c r="AD271" s="175" t="str">
        <f t="shared" si="60"/>
        <v/>
      </c>
      <c r="AE271" s="175" t="str">
        <f t="shared" si="60"/>
        <v/>
      </c>
      <c r="AF271" s="175" t="str">
        <f t="shared" si="60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61">IF(B239&lt;100,"",B239-620)</f>
        <v/>
      </c>
      <c r="C272" s="175" t="str">
        <f t="shared" si="61"/>
        <v/>
      </c>
      <c r="D272" s="175" t="str">
        <f t="shared" si="61"/>
        <v/>
      </c>
      <c r="E272" s="175" t="str">
        <f t="shared" si="61"/>
        <v/>
      </c>
      <c r="F272" s="175" t="str">
        <f t="shared" si="61"/>
        <v/>
      </c>
      <c r="G272" s="175" t="str">
        <f t="shared" si="61"/>
        <v/>
      </c>
      <c r="H272" s="175" t="str">
        <f t="shared" si="61"/>
        <v/>
      </c>
      <c r="I272" s="175" t="str">
        <f t="shared" si="61"/>
        <v/>
      </c>
      <c r="J272" s="175" t="str">
        <f t="shared" si="61"/>
        <v/>
      </c>
      <c r="K272" s="175" t="str">
        <f t="shared" si="61"/>
        <v/>
      </c>
      <c r="L272" s="175" t="str">
        <f t="shared" si="61"/>
        <v/>
      </c>
      <c r="M272" s="175" t="str">
        <f t="shared" si="61"/>
        <v/>
      </c>
      <c r="N272" s="175" t="str">
        <f t="shared" si="61"/>
        <v/>
      </c>
      <c r="O272" s="175" t="str">
        <f t="shared" si="61"/>
        <v/>
      </c>
      <c r="P272" s="175" t="str">
        <f t="shared" si="61"/>
        <v/>
      </c>
      <c r="Q272" s="175" t="str">
        <f t="shared" si="61"/>
        <v/>
      </c>
      <c r="R272" s="175" t="str">
        <f t="shared" si="61"/>
        <v/>
      </c>
      <c r="S272" s="175" t="str">
        <f t="shared" si="61"/>
        <v/>
      </c>
      <c r="T272" s="175" t="str">
        <f t="shared" si="61"/>
        <v/>
      </c>
      <c r="U272" s="175" t="str">
        <f t="shared" si="61"/>
        <v/>
      </c>
      <c r="V272" s="175" t="str">
        <f t="shared" si="61"/>
        <v/>
      </c>
      <c r="W272" s="175" t="str">
        <f t="shared" si="61"/>
        <v/>
      </c>
      <c r="X272" s="175" t="str">
        <f t="shared" si="61"/>
        <v/>
      </c>
      <c r="Y272" s="175" t="str">
        <f t="shared" si="61"/>
        <v/>
      </c>
      <c r="Z272" s="175" t="str">
        <f t="shared" si="61"/>
        <v/>
      </c>
      <c r="AA272" s="175" t="str">
        <f t="shared" si="61"/>
        <v/>
      </c>
      <c r="AB272" s="175" t="str">
        <f t="shared" si="61"/>
        <v/>
      </c>
      <c r="AC272" s="175" t="str">
        <f t="shared" si="61"/>
        <v/>
      </c>
      <c r="AD272" s="175" t="str">
        <f t="shared" si="61"/>
        <v/>
      </c>
      <c r="AE272" s="175" t="str">
        <f t="shared" si="61"/>
        <v/>
      </c>
      <c r="AF272" s="175" t="str">
        <f t="shared" si="61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62">IF(B240&lt;100,"",B240-330)</f>
        <v/>
      </c>
      <c r="C273" s="175" t="str">
        <f t="shared" si="62"/>
        <v/>
      </c>
      <c r="D273" s="175" t="str">
        <f t="shared" si="62"/>
        <v/>
      </c>
      <c r="E273" s="175" t="str">
        <f t="shared" si="62"/>
        <v/>
      </c>
      <c r="F273" s="175" t="str">
        <f t="shared" si="62"/>
        <v/>
      </c>
      <c r="G273" s="175" t="str">
        <f t="shared" si="62"/>
        <v/>
      </c>
      <c r="H273" s="175" t="str">
        <f t="shared" si="62"/>
        <v/>
      </c>
      <c r="I273" s="175" t="str">
        <f t="shared" si="62"/>
        <v/>
      </c>
      <c r="J273" s="175" t="str">
        <f t="shared" si="62"/>
        <v/>
      </c>
      <c r="K273" s="175" t="str">
        <f t="shared" si="62"/>
        <v/>
      </c>
      <c r="L273" s="175" t="str">
        <f t="shared" si="62"/>
        <v/>
      </c>
      <c r="M273" s="175" t="str">
        <f t="shared" si="62"/>
        <v/>
      </c>
      <c r="N273" s="175" t="str">
        <f t="shared" si="62"/>
        <v/>
      </c>
      <c r="O273" s="175" t="str">
        <f t="shared" si="62"/>
        <v/>
      </c>
      <c r="P273" s="175" t="str">
        <f t="shared" si="62"/>
        <v/>
      </c>
      <c r="Q273" s="175" t="str">
        <f t="shared" si="62"/>
        <v/>
      </c>
      <c r="R273" s="175" t="str">
        <f t="shared" si="62"/>
        <v/>
      </c>
      <c r="S273" s="175" t="str">
        <f t="shared" si="62"/>
        <v/>
      </c>
      <c r="T273" s="175" t="str">
        <f t="shared" si="62"/>
        <v/>
      </c>
      <c r="U273" s="175" t="str">
        <f t="shared" si="62"/>
        <v/>
      </c>
      <c r="V273" s="175" t="str">
        <f t="shared" si="62"/>
        <v/>
      </c>
      <c r="W273" s="175" t="str">
        <f t="shared" si="62"/>
        <v/>
      </c>
      <c r="X273" s="175" t="str">
        <f t="shared" si="62"/>
        <v/>
      </c>
      <c r="Y273" s="175" t="str">
        <f t="shared" si="62"/>
        <v/>
      </c>
      <c r="Z273" s="175" t="str">
        <f t="shared" si="62"/>
        <v/>
      </c>
      <c r="AA273" s="175" t="str">
        <f t="shared" si="62"/>
        <v/>
      </c>
      <c r="AB273" s="175" t="str">
        <f t="shared" si="62"/>
        <v/>
      </c>
      <c r="AC273" s="175" t="str">
        <f t="shared" si="62"/>
        <v/>
      </c>
      <c r="AD273" s="175" t="str">
        <f t="shared" si="62"/>
        <v/>
      </c>
      <c r="AE273" s="175" t="str">
        <f t="shared" si="62"/>
        <v/>
      </c>
      <c r="AF273" s="175" t="str">
        <f t="shared" si="62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63">IF(B241&lt;100,"",B241-1500)</f>
        <v/>
      </c>
      <c r="C274" s="175" t="str">
        <f t="shared" si="63"/>
        <v/>
      </c>
      <c r="D274" s="175" t="str">
        <f t="shared" si="63"/>
        <v/>
      </c>
      <c r="E274" s="175" t="str">
        <f t="shared" si="63"/>
        <v/>
      </c>
      <c r="F274" s="175" t="str">
        <f t="shared" si="63"/>
        <v/>
      </c>
      <c r="G274" s="175" t="str">
        <f t="shared" si="63"/>
        <v/>
      </c>
      <c r="H274" s="175" t="str">
        <f t="shared" si="63"/>
        <v/>
      </c>
      <c r="I274" s="175" t="str">
        <f t="shared" si="63"/>
        <v/>
      </c>
      <c r="J274" s="175" t="str">
        <f t="shared" si="63"/>
        <v/>
      </c>
      <c r="K274" s="175" t="str">
        <f t="shared" si="63"/>
        <v/>
      </c>
      <c r="L274" s="175" t="str">
        <f t="shared" si="63"/>
        <v/>
      </c>
      <c r="M274" s="175" t="str">
        <f t="shared" si="63"/>
        <v/>
      </c>
      <c r="N274" s="175" t="str">
        <f t="shared" si="63"/>
        <v/>
      </c>
      <c r="O274" s="175" t="str">
        <f t="shared" si="63"/>
        <v/>
      </c>
      <c r="P274" s="175" t="str">
        <f t="shared" si="63"/>
        <v/>
      </c>
      <c r="Q274" s="175" t="str">
        <f t="shared" si="63"/>
        <v/>
      </c>
      <c r="R274" s="175" t="str">
        <f t="shared" si="63"/>
        <v/>
      </c>
      <c r="S274" s="175" t="str">
        <f t="shared" si="63"/>
        <v/>
      </c>
      <c r="T274" s="175" t="str">
        <f t="shared" si="63"/>
        <v/>
      </c>
      <c r="U274" s="175" t="str">
        <f t="shared" si="63"/>
        <v/>
      </c>
      <c r="V274" s="175" t="str">
        <f t="shared" si="63"/>
        <v/>
      </c>
      <c r="W274" s="175" t="str">
        <f t="shared" si="63"/>
        <v/>
      </c>
      <c r="X274" s="175" t="str">
        <f t="shared" si="63"/>
        <v/>
      </c>
      <c r="Y274" s="175" t="str">
        <f t="shared" si="63"/>
        <v/>
      </c>
      <c r="Z274" s="175" t="str">
        <f t="shared" si="63"/>
        <v/>
      </c>
      <c r="AA274" s="175" t="str">
        <f t="shared" si="63"/>
        <v/>
      </c>
      <c r="AB274" s="175" t="str">
        <f t="shared" si="63"/>
        <v/>
      </c>
      <c r="AC274" s="175" t="str">
        <f t="shared" si="63"/>
        <v/>
      </c>
      <c r="AD274" s="175" t="str">
        <f t="shared" si="63"/>
        <v/>
      </c>
      <c r="AE274" s="175" t="str">
        <f t="shared" si="63"/>
        <v/>
      </c>
      <c r="AF274" s="175" t="str">
        <f t="shared" si="63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623" priority="156">
      <formula>$AH11=0</formula>
    </cfRule>
  </conditionalFormatting>
  <conditionalFormatting sqref="B8 M8 S8 AB8">
    <cfRule type="expression" dxfId="622" priority="409">
      <formula>AND(C$9&gt;=8/24,C$9&lt;14/24)</formula>
    </cfRule>
    <cfRule type="expression" dxfId="621" priority="408">
      <formula>AND(C$9&gt;=14/24,C$9&lt;20/24)</formula>
    </cfRule>
    <cfRule type="expression" dxfId="620" priority="410">
      <formula>C$9&lt;8/24</formula>
    </cfRule>
  </conditionalFormatting>
  <conditionalFormatting sqref="B74:M83">
    <cfRule type="expression" dxfId="619" priority="87">
      <formula>AND(B$9&gt;=14/24,B$9&lt;20/24)</formula>
    </cfRule>
    <cfRule type="expression" dxfId="618" priority="89">
      <formula>B$9&lt;8/24</formula>
    </cfRule>
    <cfRule type="expression" dxfId="617" priority="88">
      <formula>AND(B$9&gt;=8/24,B$9&lt;14/24)</formula>
    </cfRule>
    <cfRule type="expression" dxfId="616" priority="86">
      <formula>B$9&gt;=20/24</formula>
    </cfRule>
  </conditionalFormatting>
  <conditionalFormatting sqref="B73:AE73">
    <cfRule type="expression" dxfId="615" priority="16">
      <formula>B$9&lt;8/24</formula>
    </cfRule>
    <cfRule type="expression" dxfId="614" priority="13">
      <formula>B$9&gt;=20/24</formula>
    </cfRule>
    <cfRule type="expression" dxfId="613" priority="14">
      <formula>AND(B$9&gt;=14/24,B$9&lt;20/24)</formula>
    </cfRule>
    <cfRule type="expression" dxfId="612" priority="15">
      <formula>AND(B$9&gt;=8/24,B$9&lt;14/24)</formula>
    </cfRule>
  </conditionalFormatting>
  <conditionalFormatting sqref="B9:AF45">
    <cfRule type="expression" dxfId="611" priority="39">
      <formula>AND(B$9&gt;=8/24,B$9&lt;14/24)</formula>
    </cfRule>
    <cfRule type="expression" dxfId="610" priority="38">
      <formula>AND(B$9&gt;=14/24,B$9&lt;20/24)</formula>
    </cfRule>
    <cfRule type="expression" dxfId="609" priority="40">
      <formula>B$9&lt;8/24</formula>
    </cfRule>
    <cfRule type="expression" dxfId="608" priority="37">
      <formula>B$9&gt;=20/24</formula>
    </cfRule>
  </conditionalFormatting>
  <conditionalFormatting sqref="B11:AF46">
    <cfRule type="expression" dxfId="607" priority="35">
      <formula>B11&gt;$AG11</formula>
    </cfRule>
  </conditionalFormatting>
  <conditionalFormatting sqref="B46:AF46">
    <cfRule type="expression" dxfId="606" priority="33">
      <formula>AND(B$9&gt;=8/24,B$9&lt;14/24)</formula>
    </cfRule>
    <cfRule type="expression" dxfId="605" priority="31">
      <formula>B$9&gt;=20/24</formula>
    </cfRule>
    <cfRule type="expression" dxfId="604" priority="32">
      <formula>AND(B$9&gt;=14/24,B$9&lt;20/24)</formula>
    </cfRule>
    <cfRule type="expression" dxfId="603" priority="34">
      <formula>B$9&lt;8/24</formula>
    </cfRule>
  </conditionalFormatting>
  <conditionalFormatting sqref="B47:AF47">
    <cfRule type="expression" dxfId="602" priority="66">
      <formula>B47&gt;$AG47</formula>
    </cfRule>
  </conditionalFormatting>
  <conditionalFormatting sqref="B47:AF49">
    <cfRule type="expression" dxfId="601" priority="53">
      <formula>B$9&gt;=20/24</formula>
    </cfRule>
    <cfRule type="expression" dxfId="600" priority="54">
      <formula>AND(B$9&gt;=14/24,B$9&lt;20/24)</formula>
    </cfRule>
    <cfRule type="expression" dxfId="599" priority="55">
      <formula>AND(B$9&gt;=8/24,B$9&lt;14/24)</formula>
    </cfRule>
    <cfRule type="expression" dxfId="598" priority="56">
      <formula>B$9&lt;8/24</formula>
    </cfRule>
  </conditionalFormatting>
  <conditionalFormatting sqref="B48:AF53">
    <cfRule type="expression" dxfId="597" priority="51">
      <formula>B48&gt;$AG48</formula>
    </cfRule>
  </conditionalFormatting>
  <conditionalFormatting sqref="B51:AF53">
    <cfRule type="expression" dxfId="596" priority="105">
      <formula>AND(B$9&gt;=14/24,B$9&lt;20/24)</formula>
    </cfRule>
    <cfRule type="expression" dxfId="595" priority="104">
      <formula>B$9&gt;=20/24</formula>
    </cfRule>
    <cfRule type="expression" dxfId="594" priority="106">
      <formula>AND(B$9&gt;=8/24,B$9&lt;14/24)</formula>
    </cfRule>
    <cfRule type="expression" dxfId="593" priority="107">
      <formula>B$9&lt;8/24</formula>
    </cfRule>
  </conditionalFormatting>
  <conditionalFormatting sqref="B55:AF66">
    <cfRule type="expression" dxfId="592" priority="67">
      <formula>B55&gt;$AG55</formula>
    </cfRule>
    <cfRule type="expression" dxfId="591" priority="68">
      <formula>B$9&gt;=20/24</formula>
    </cfRule>
    <cfRule type="expression" dxfId="590" priority="69">
      <formula>AND(B$9&gt;=14/24,B$9&lt;20/24)</formula>
    </cfRule>
    <cfRule type="expression" dxfId="589" priority="70">
      <formula>AND(B$9&gt;=8/24,B$9&lt;14/24)</formula>
    </cfRule>
    <cfRule type="expression" dxfId="588" priority="71">
      <formula>B$9&lt;8/24</formula>
    </cfRule>
  </conditionalFormatting>
  <conditionalFormatting sqref="B69:AF71">
    <cfRule type="expression" dxfId="587" priority="121">
      <formula>B69&gt;$AG69</formula>
    </cfRule>
    <cfRule type="expression" dxfId="586" priority="122">
      <formula>B$9&gt;=20/24</formula>
    </cfRule>
    <cfRule type="expression" dxfId="585" priority="123">
      <formula>AND(B$9&gt;=14/24,B$9&lt;20/24)</formula>
    </cfRule>
    <cfRule type="expression" dxfId="584" priority="124">
      <formula>AND(B$9&gt;=8/24,B$9&lt;14/24)</formula>
    </cfRule>
    <cfRule type="expression" dxfId="583" priority="125">
      <formula>B$9&lt;8/24</formula>
    </cfRule>
  </conditionalFormatting>
  <conditionalFormatting sqref="B84:AF91">
    <cfRule type="expression" dxfId="582" priority="77">
      <formula>B$9&gt;=20/24</formula>
    </cfRule>
    <cfRule type="expression" dxfId="581" priority="79">
      <formula>AND(B$9&gt;=8/24,B$9&lt;14/24)</formula>
    </cfRule>
    <cfRule type="expression" dxfId="580" priority="80">
      <formula>B$9&lt;8/24</formula>
    </cfRule>
    <cfRule type="expression" dxfId="579" priority="78">
      <formula>AND(B$9&gt;=14/24,B$9&lt;20/24)</formula>
    </cfRule>
  </conditionalFormatting>
  <conditionalFormatting sqref="B111:AF120">
    <cfRule type="expression" dxfId="578" priority="27">
      <formula>B$9&gt;=20/24</formula>
    </cfRule>
    <cfRule type="expression" dxfId="577" priority="28">
      <formula>AND(B$9&gt;=14/24,B$9&lt;20/24)</formula>
    </cfRule>
    <cfRule type="expression" dxfId="576" priority="30">
      <formula>B$9&lt;8/24</formula>
    </cfRule>
    <cfRule type="expression" dxfId="575" priority="29">
      <formula>AND(B$9&gt;=8/24,B$9&lt;14/24)</formula>
    </cfRule>
  </conditionalFormatting>
  <conditionalFormatting sqref="B54:AG54">
    <cfRule type="expression" dxfId="574" priority="73">
      <formula>B$9&gt;=20/24</formula>
    </cfRule>
    <cfRule type="expression" dxfId="573" priority="74">
      <formula>AND(B$9&gt;=14/24,B$9&lt;20/24)</formula>
    </cfRule>
    <cfRule type="expression" dxfId="572" priority="75">
      <formula>AND(B$9&gt;=8/24,B$9&lt;14/24)</formula>
    </cfRule>
    <cfRule type="expression" dxfId="571" priority="76">
      <formula>B$9&lt;8/24</formula>
    </cfRule>
    <cfRule type="expression" dxfId="570" priority="72">
      <formula>B54&gt;$AG54</formula>
    </cfRule>
  </conditionalFormatting>
  <conditionalFormatting sqref="B67:AG68 B72:AG72">
    <cfRule type="expression" dxfId="569" priority="81">
      <formula>B67&gt;$AG67</formula>
    </cfRule>
  </conditionalFormatting>
  <conditionalFormatting sqref="B72:AG72 B93:B109">
    <cfRule type="expression" dxfId="568" priority="83">
      <formula>AND(B$9&gt;=14/24,B$9&lt;20/24)</formula>
    </cfRule>
    <cfRule type="expression" dxfId="567" priority="84">
      <formula>AND(B$9&gt;=8/24,B$9&lt;14/24)</formula>
    </cfRule>
    <cfRule type="expression" dxfId="566" priority="85">
      <formula>B$9&lt;8/24</formula>
    </cfRule>
    <cfRule type="expression" dxfId="565" priority="82">
      <formula>B$9&gt;=20/24</formula>
    </cfRule>
  </conditionalFormatting>
  <conditionalFormatting sqref="C93:AF101">
    <cfRule type="expression" dxfId="564" priority="260">
      <formula>C$9&lt;8/24</formula>
    </cfRule>
    <cfRule type="expression" dxfId="563" priority="258">
      <formula>AND(C$9&gt;=14/24,C$9&lt;20/24)</formula>
    </cfRule>
    <cfRule type="expression" dxfId="562" priority="257">
      <formula>C$9&gt;=20/24</formula>
    </cfRule>
    <cfRule type="expression" dxfId="561" priority="259">
      <formula>AND(C$9&gt;=8/24,C$9&lt;14/24)</formula>
    </cfRule>
  </conditionalFormatting>
  <conditionalFormatting sqref="C109:AF109">
    <cfRule type="expression" dxfId="560" priority="310">
      <formula>AND(C$9&gt;=14/24,C$9&lt;20/24)</formula>
    </cfRule>
    <cfRule type="expression" dxfId="559" priority="311">
      <formula>AND(C$9&gt;=8/24,C$9&lt;14/24)</formula>
    </cfRule>
    <cfRule type="expression" dxfId="558" priority="312">
      <formula>C$9&lt;8/24</formula>
    </cfRule>
    <cfRule type="expression" dxfId="557" priority="309">
      <formula>C$9&gt;=20/24</formula>
    </cfRule>
  </conditionalFormatting>
  <conditionalFormatting sqref="N76:O83 C102:N108">
    <cfRule type="expression" dxfId="556" priority="207">
      <formula>C$9&gt;=20/24</formula>
    </cfRule>
    <cfRule type="expression" dxfId="555" priority="208">
      <formula>AND(C$9&gt;=14/24,C$9&lt;20/24)</formula>
    </cfRule>
    <cfRule type="expression" dxfId="554" priority="209">
      <formula>AND(C$9&gt;=8/24,C$9&lt;14/24)</formula>
    </cfRule>
    <cfRule type="expression" dxfId="553" priority="210">
      <formula>C$9&lt;8/24</formula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O102:Y105 O106:U107 W106:Y107 O108:Y108 B227:AF227 D229:AF230 B229:B235 D231:H231 J231:AF231 D232:AF235 U248:AF248">
    <cfRule type="expression" dxfId="552" priority="401">
      <formula>B$9&gt;=20/24</formula>
    </cfRule>
    <cfRule type="expression" dxfId="551" priority="402">
      <formula>AND(B$9&gt;=14/24,B$9&lt;20/24)</formula>
    </cfRule>
    <cfRule type="expression" dxfId="550" priority="403">
      <formula>AND(B$9&gt;=8/24,B$9&lt;14/24)</formula>
    </cfRule>
    <cfRule type="expression" dxfId="549" priority="404">
      <formula>B$9&lt;8/24</formula>
    </cfRule>
  </conditionalFormatting>
  <conditionalFormatting sqref="P79:AA83">
    <cfRule type="expression" dxfId="548" priority="229">
      <formula>P$9&gt;=20/24</formula>
    </cfRule>
    <cfRule type="expression" dxfId="547" priority="232">
      <formula>P$9&lt;8/24</formula>
    </cfRule>
    <cfRule type="expression" dxfId="546" priority="231">
      <formula>AND(P$9&gt;=8/24,P$9&lt;14/24)</formula>
    </cfRule>
    <cfRule type="expression" dxfId="545" priority="230">
      <formula>AND(P$9&gt;=14/24,P$9&lt;20/24)</formula>
    </cfRule>
  </conditionalFormatting>
  <conditionalFormatting sqref="S8 AB8 B8 M8">
    <cfRule type="expression" dxfId="544" priority="407">
      <formula>C$9&gt;=20/24</formula>
    </cfRule>
  </conditionalFormatting>
  <conditionalFormatting sqref="S8">
    <cfRule type="expression" dxfId="543" priority="380">
      <formula>U$9&gt;=20/24</formula>
    </cfRule>
    <cfRule type="expression" dxfId="542" priority="381">
      <formula>AND(U$9&gt;=14/24,U$9&lt;20/24)</formula>
    </cfRule>
    <cfRule type="expression" dxfId="541" priority="382">
      <formula>AND(U$9&gt;=8/24,U$9&lt;14/24)</formula>
    </cfRule>
    <cfRule type="expression" dxfId="540" priority="383">
      <formula>U$9&lt;8/24</formula>
    </cfRule>
  </conditionalFormatting>
  <conditionalFormatting sqref="T248">
    <cfRule type="expression" dxfId="539" priority="423">
      <formula>AX$9&lt;8/24</formula>
    </cfRule>
    <cfRule type="expression" dxfId="538" priority="420">
      <formula>AX$9&gt;=20/24</formula>
    </cfRule>
    <cfRule type="expression" dxfId="537" priority="421">
      <formula>AND(AX$9&gt;=14/24,AX$9&lt;20/24)</formula>
    </cfRule>
    <cfRule type="expression" dxfId="536" priority="422">
      <formula>AND(AX$9&gt;=8/24,AX$9&lt;14/24)</formula>
    </cfRule>
  </conditionalFormatting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V106:V107 AH248:AX248">
    <cfRule type="expression" dxfId="535" priority="416">
      <formula>U$9&gt;=20/24</formula>
    </cfRule>
    <cfRule type="expression" dxfId="534" priority="417">
      <formula>AND(U$9&gt;=14/24,U$9&lt;20/24)</formula>
    </cfRule>
    <cfRule type="expression" dxfId="533" priority="418">
      <formula>AND(U$9&gt;=8/24,U$9&lt;14/24)</formula>
    </cfRule>
    <cfRule type="expression" dxfId="532" priority="419">
      <formula>U$9&lt;8/24</formula>
    </cfRule>
  </conditionalFormatting>
  <conditionalFormatting sqref="Z102:AF108">
    <cfRule type="expression" dxfId="531" priority="289">
      <formula>AND(Z$9&gt;=14/24,Z$9&lt;20/24)</formula>
    </cfRule>
    <cfRule type="expression" dxfId="530" priority="288">
      <formula>Z$9&gt;=20/24</formula>
    </cfRule>
    <cfRule type="expression" dxfId="529" priority="290">
      <formula>AND(Z$9&gt;=8/24,Z$9&lt;14/24)</formula>
    </cfRule>
    <cfRule type="expression" dxfId="528" priority="291">
      <formula>Z$9&lt;8/24</formula>
    </cfRule>
  </conditionalFormatting>
  <conditionalFormatting sqref="AB8">
    <cfRule type="expression" dxfId="527" priority="376">
      <formula>AD$9&gt;=20/24</formula>
    </cfRule>
    <cfRule type="expression" dxfId="526" priority="378">
      <formula>AND(AD$9&gt;=8/24,AD$9&lt;14/24)</formula>
    </cfRule>
    <cfRule type="expression" dxfId="525" priority="379">
      <formula>AD$9&lt;8/24</formula>
    </cfRule>
    <cfRule type="expression" dxfId="524" priority="377">
      <formula>AND(AD$9&gt;=14/24,AD$9&lt;20/24)</formula>
    </cfRule>
  </conditionalFormatting>
  <conditionalFormatting sqref="AD74:AD83 AA76:AB77 P76:Z78 AC76:AC83 AA78 AB78:AB83">
    <cfRule type="expression" dxfId="523" priority="273">
      <formula>AND(P$9&gt;=8/24,P$9&lt;14/24)</formula>
    </cfRule>
    <cfRule type="expression" dxfId="522" priority="272">
      <formula>AND(P$9&gt;=14/24,P$9&lt;20/24)</formula>
    </cfRule>
    <cfRule type="expression" dxfId="521" priority="271">
      <formula>P$9&gt;=20/24</formula>
    </cfRule>
    <cfRule type="expression" dxfId="520" priority="274">
      <formula>P$9&lt;8/24</formula>
    </cfRule>
  </conditionalFormatting>
  <conditionalFormatting sqref="AE74:AE75">
    <cfRule type="expression" dxfId="519" priority="11">
      <formula>AND(AE$9&gt;=8/24,AE$9&lt;14/24)</formula>
    </cfRule>
    <cfRule type="expression" dxfId="518" priority="10">
      <formula>AND(AE$9&gt;=14/24,AE$9&lt;20/24)</formula>
    </cfRule>
    <cfRule type="expression" dxfId="517" priority="9">
      <formula>AE$9&gt;=20/24</formula>
    </cfRule>
    <cfRule type="expression" dxfId="516" priority="12">
      <formula>AE$9&lt;8/24</formula>
    </cfRule>
  </conditionalFormatting>
  <conditionalFormatting sqref="AE76:AF83">
    <cfRule type="expression" dxfId="515" priority="4">
      <formula>AE$9&lt;8/24</formula>
    </cfRule>
    <cfRule type="expression" dxfId="514" priority="3">
      <formula>AND(AE$9&gt;=8/24,AE$9&lt;14/24)</formula>
    </cfRule>
    <cfRule type="expression" dxfId="513" priority="2">
      <formula>AND(AE$9&gt;=14/24,AE$9&lt;20/24)</formula>
    </cfRule>
    <cfRule type="expression" dxfId="512" priority="1">
      <formula>AE$9&gt;=20/24</formula>
    </cfRule>
  </conditionalFormatting>
  <conditionalFormatting sqref="AF73:AF75 N74:AC75">
    <cfRule type="expression" dxfId="511" priority="365">
      <formula>N$9&lt;8/24</formula>
    </cfRule>
    <cfRule type="expression" dxfId="510" priority="362">
      <formula>N$9&gt;=20/24</formula>
    </cfRule>
    <cfRule type="expression" dxfId="509" priority="363">
      <formula>AND(N$9&gt;=14/24,N$9&lt;20/24)</formula>
    </cfRule>
    <cfRule type="expression" dxfId="508" priority="364">
      <formula>AND(N$9&gt;=8/24,N$9&lt;14/24)</formula>
    </cfRule>
  </conditionalFormatting>
  <conditionalFormatting sqref="AG50">
    <cfRule type="expression" dxfId="507" priority="333">
      <formula>AG50&gt;$AG50</formula>
    </cfRule>
  </conditionalFormatting>
  <conditionalFormatting sqref="AG89">
    <cfRule type="expression" dxfId="506" priority="334">
      <formula>AG$9&gt;=20/24</formula>
    </cfRule>
    <cfRule type="expression" dxfId="505" priority="336">
      <formula>AND(AG$9&gt;=8/24,AG$9&lt;14/24)</formula>
    </cfRule>
    <cfRule type="expression" dxfId="504" priority="337">
      <formula>AG$9&lt;8/24</formula>
    </cfRule>
    <cfRule type="expression" dxfId="503" priority="335">
      <formula>AND(AG$9&gt;=14/24,AG$9&lt;20/24)</formula>
    </cfRule>
  </conditionalFormatting>
  <conditionalFormatting sqref="AG248">
    <cfRule type="expression" dxfId="502" priority="412">
      <formula>B$9&gt;=20/24</formula>
    </cfRule>
    <cfRule type="expression" dxfId="501" priority="413">
      <formula>AND(B$9&gt;=14/24,B$9&lt;20/24)</formula>
    </cfRule>
    <cfRule type="expression" dxfId="500" priority="414">
      <formula>AND(B$9&gt;=8/24,B$9&lt;14/24)</formula>
    </cfRule>
    <cfRule type="expression" dxfId="499" priority="415">
      <formula>B$9&lt;8/24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498" priority="425">
      <formula>AJ$9&gt;=20/24</formula>
    </cfRule>
    <cfRule type="expression" dxfId="497" priority="426">
      <formula>AND(AJ$9&gt;=14/24,AJ$9&lt;20/24)</formula>
    </cfRule>
    <cfRule type="expression" dxfId="496" priority="427">
      <formula>AND(AJ$9&gt;=8/24,AJ$9&lt;14/24)</formula>
    </cfRule>
    <cfRule type="expression" dxfId="495" priority="428">
      <formula>AJ$9&lt;8/24</formula>
    </cfRule>
  </conditionalFormatting>
  <conditionalFormatting sqref="AL80:AN80 AL86:AN86">
    <cfRule type="expression" dxfId="494" priority="228">
      <formula>AL$9&lt;8/24</formula>
    </cfRule>
    <cfRule type="expression" dxfId="493" priority="225">
      <formula>AL$9&gt;=20/24</formula>
    </cfRule>
    <cfRule type="expression" dxfId="492" priority="226">
      <formula>AND(AL$9&gt;=14/24,AL$9&lt;20/24)</formula>
    </cfRule>
    <cfRule type="expression" dxfId="491" priority="227">
      <formula>AND(AL$9&gt;=8/24,AL$9&lt;14/24)</formula>
    </cfRule>
  </conditionalFormatting>
  <conditionalFormatting sqref="AN81:AN84">
    <cfRule type="expression" dxfId="490" priority="223">
      <formula>AND(AN$9&gt;=8/24,AN$9&lt;14/24)</formula>
    </cfRule>
    <cfRule type="expression" dxfId="489" priority="222">
      <formula>AND(AN$9&gt;=14/24,AN$9&lt;20/24)</formula>
    </cfRule>
    <cfRule type="expression" dxfId="488" priority="221">
      <formula>AN$9&gt;=20/24</formula>
    </cfRule>
    <cfRule type="expression" dxfId="487" priority="224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E2DE-C291-4CCB-8DA9-0610F4F86E72}">
  <dimension ref="A1:CJ281"/>
  <sheetViews>
    <sheetView zoomScaleNormal="100" workbookViewId="0">
      <pane xSplit="1" ySplit="10" topLeftCell="B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D14" sqref="AD1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2080/03/20</v>
      </c>
      <c r="C4" s="187"/>
      <c r="D4" s="187"/>
      <c r="E4" s="188" t="str">
        <f ca="1">"2079/"&amp;"12/"&amp;INT(MID(CELL("filename",G6),FIND("]",CELL("filename",G6))+1,200))</f>
        <v>2079/12/20</v>
      </c>
      <c r="F4" s="188"/>
      <c r="G4" s="188"/>
      <c r="H4" s="188" t="str">
        <f ca="1">TEXT(E4,"dddd")</f>
        <v>Wednesday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18.899999999999999</v>
      </c>
      <c r="C5" s="30">
        <f t="shared" si="0"/>
        <v>8.9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6.3</v>
      </c>
      <c r="M5" s="30">
        <f t="shared" si="0"/>
        <v>5.85</v>
      </c>
      <c r="N5" s="30">
        <f t="shared" si="0"/>
        <v>0</v>
      </c>
      <c r="O5" s="30">
        <f t="shared" si="0"/>
        <v>2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14.4</v>
      </c>
      <c r="V5" s="30">
        <f t="shared" si="0"/>
        <v>4.0999999999999996</v>
      </c>
      <c r="W5" s="30">
        <f t="shared" si="0"/>
        <v>0</v>
      </c>
      <c r="X5" s="30">
        <f t="shared" si="0"/>
        <v>2</v>
      </c>
      <c r="Y5" s="30">
        <f t="shared" si="0"/>
        <v>17.100000000000001</v>
      </c>
      <c r="Z5" s="30">
        <f t="shared" si="0"/>
        <v>28.2</v>
      </c>
      <c r="AA5" s="30">
        <f t="shared" si="0"/>
        <v>0</v>
      </c>
      <c r="AB5" s="30">
        <f t="shared" si="0"/>
        <v>0</v>
      </c>
      <c r="AC5" s="30">
        <f t="shared" si="0"/>
        <v>12</v>
      </c>
      <c r="AD5" s="30">
        <f t="shared" si="0"/>
        <v>0</v>
      </c>
      <c r="AE5" s="30">
        <f t="shared" si="0"/>
        <v>0</v>
      </c>
      <c r="AF5" s="30">
        <f>B84</f>
        <v>19.100000000000001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1905MW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1877.14</v>
      </c>
      <c r="C7" s="35">
        <f t="shared" si="1"/>
        <v>1868.8400000000001</v>
      </c>
      <c r="D7" s="35">
        <f t="shared" si="1"/>
        <v>1855.1399999999999</v>
      </c>
      <c r="E7" s="35">
        <f t="shared" si="1"/>
        <v>1828.94</v>
      </c>
      <c r="F7" s="35">
        <f t="shared" si="1"/>
        <v>1424.04</v>
      </c>
      <c r="G7" s="35">
        <f t="shared" si="1"/>
        <v>1723.0400000000002</v>
      </c>
      <c r="H7" s="35">
        <f t="shared" si="1"/>
        <v>1768.04</v>
      </c>
      <c r="I7" s="35">
        <f t="shared" si="1"/>
        <v>1769.84</v>
      </c>
      <c r="J7" s="35">
        <f t="shared" si="1"/>
        <v>1825.8400000000001</v>
      </c>
      <c r="K7" s="35">
        <f t="shared" si="1"/>
        <v>1832.2399999999998</v>
      </c>
      <c r="L7" s="35">
        <f t="shared" si="1"/>
        <v>1882.54</v>
      </c>
      <c r="M7" s="35">
        <f t="shared" si="1"/>
        <v>1905.04</v>
      </c>
      <c r="N7" s="35">
        <f>N91</f>
        <v>1856.79</v>
      </c>
      <c r="O7" s="35">
        <f t="shared" si="1"/>
        <v>1851.24</v>
      </c>
      <c r="P7" s="35">
        <f t="shared" si="1"/>
        <v>1854.84</v>
      </c>
      <c r="Q7" s="35">
        <f t="shared" si="1"/>
        <v>1852.84</v>
      </c>
      <c r="R7" s="35">
        <f t="shared" si="1"/>
        <v>1852.84</v>
      </c>
      <c r="S7" s="35">
        <f t="shared" si="1"/>
        <v>1858.04</v>
      </c>
      <c r="T7" s="35">
        <f t="shared" si="1"/>
        <v>1860.44</v>
      </c>
      <c r="U7" s="35">
        <f t="shared" si="1"/>
        <v>1867.44</v>
      </c>
      <c r="V7" s="35">
        <f t="shared" si="1"/>
        <v>1872.8400000000001</v>
      </c>
      <c r="W7" s="35">
        <f t="shared" si="1"/>
        <v>1859.94</v>
      </c>
      <c r="X7" s="35">
        <f t="shared" si="1"/>
        <v>1855.8400000000001</v>
      </c>
      <c r="Y7" s="35">
        <f t="shared" si="1"/>
        <v>1840.2400000000002</v>
      </c>
      <c r="Z7" s="35">
        <f t="shared" si="1"/>
        <v>1915.1</v>
      </c>
      <c r="AA7" s="35">
        <f t="shared" si="1"/>
        <v>2011.64</v>
      </c>
      <c r="AB7" s="35">
        <f t="shared" si="1"/>
        <v>1979.44</v>
      </c>
      <c r="AC7" s="35">
        <f t="shared" si="1"/>
        <v>1986.2400000000002</v>
      </c>
      <c r="AD7" s="35">
        <f t="shared" si="1"/>
        <v>1982.3400000000004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60.9</v>
      </c>
      <c r="C11" s="45">
        <v>60.8</v>
      </c>
      <c r="D11" s="45">
        <v>60.9</v>
      </c>
      <c r="E11" s="45">
        <v>60.9</v>
      </c>
      <c r="F11" s="45">
        <v>60.9</v>
      </c>
      <c r="G11" s="45">
        <v>60.9</v>
      </c>
      <c r="H11" s="45">
        <v>60.9</v>
      </c>
      <c r="I11" s="45">
        <v>60.9</v>
      </c>
      <c r="J11" s="45">
        <v>60.9</v>
      </c>
      <c r="K11" s="45">
        <v>60.8</v>
      </c>
      <c r="L11" s="45">
        <v>60.8</v>
      </c>
      <c r="M11" s="45">
        <v>60.8</v>
      </c>
      <c r="N11" s="45">
        <v>60.8</v>
      </c>
      <c r="O11" s="45">
        <v>60.8</v>
      </c>
      <c r="P11" s="45">
        <v>60.6</v>
      </c>
      <c r="Q11" s="45">
        <v>60.6</v>
      </c>
      <c r="R11" s="45">
        <v>60.6</v>
      </c>
      <c r="S11" s="45">
        <v>60.6</v>
      </c>
      <c r="T11" s="45">
        <v>60.6</v>
      </c>
      <c r="U11" s="45">
        <v>60.6</v>
      </c>
      <c r="V11" s="45">
        <v>60.8</v>
      </c>
      <c r="W11" s="45">
        <v>60.8</v>
      </c>
      <c r="X11" s="45">
        <v>60.8</v>
      </c>
      <c r="Y11" s="45">
        <v>60.8</v>
      </c>
      <c r="Z11" s="45">
        <v>60.8</v>
      </c>
      <c r="AA11" s="45">
        <v>60.8</v>
      </c>
      <c r="AB11" s="45">
        <v>60.8</v>
      </c>
      <c r="AC11" s="45">
        <v>60.8</v>
      </c>
      <c r="AD11" s="45">
        <v>60.8</v>
      </c>
      <c r="AE11" s="45"/>
      <c r="AF11" s="45"/>
      <c r="AG11" s="46">
        <v>86</v>
      </c>
      <c r="AH11" s="47">
        <f t="shared" ref="AH11:AH76" si="2">MAX(B11:AF11)</f>
        <v>60.9</v>
      </c>
      <c r="AI11" s="48">
        <f t="shared" ref="AI11:AI76" si="3">MIN(B11:AF11)</f>
        <v>60.6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19</v>
      </c>
      <c r="C12" s="45">
        <v>19</v>
      </c>
      <c r="D12" s="45">
        <v>19</v>
      </c>
      <c r="E12" s="45">
        <v>16</v>
      </c>
      <c r="F12" s="45">
        <v>0</v>
      </c>
      <c r="G12" s="45">
        <v>0</v>
      </c>
      <c r="H12" s="45">
        <v>15</v>
      </c>
      <c r="I12" s="45">
        <v>15</v>
      </c>
      <c r="J12" s="45">
        <v>10</v>
      </c>
      <c r="K12" s="45">
        <v>27</v>
      </c>
      <c r="L12" s="45">
        <v>27</v>
      </c>
      <c r="M12" s="45">
        <v>27</v>
      </c>
      <c r="N12" s="45">
        <v>15</v>
      </c>
      <c r="O12" s="45">
        <v>15</v>
      </c>
      <c r="P12" s="45">
        <v>17</v>
      </c>
      <c r="Q12" s="45">
        <v>17</v>
      </c>
      <c r="R12" s="45">
        <v>17</v>
      </c>
      <c r="S12" s="45">
        <v>17</v>
      </c>
      <c r="T12" s="45">
        <v>17</v>
      </c>
      <c r="U12" s="45">
        <v>17</v>
      </c>
      <c r="V12" s="45">
        <v>17</v>
      </c>
      <c r="W12" s="45">
        <v>17</v>
      </c>
      <c r="X12" s="45">
        <v>17</v>
      </c>
      <c r="Y12" s="45">
        <v>17</v>
      </c>
      <c r="Z12" s="45">
        <v>26</v>
      </c>
      <c r="AA12" s="45">
        <v>26</v>
      </c>
      <c r="AB12" s="45">
        <v>26</v>
      </c>
      <c r="AC12" s="45">
        <v>26</v>
      </c>
      <c r="AD12" s="45">
        <v>26</v>
      </c>
      <c r="AE12" s="45"/>
      <c r="AF12" s="45"/>
      <c r="AG12" s="49">
        <v>54</v>
      </c>
      <c r="AH12" s="47">
        <f t="shared" si="2"/>
        <v>27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54.9</v>
      </c>
      <c r="C13" s="45">
        <v>54.8</v>
      </c>
      <c r="D13" s="45">
        <v>55.1</v>
      </c>
      <c r="E13" s="45">
        <v>55.1</v>
      </c>
      <c r="F13" s="45">
        <v>55.1</v>
      </c>
      <c r="G13" s="45">
        <v>55.1</v>
      </c>
      <c r="H13" s="45">
        <v>55.1</v>
      </c>
      <c r="I13" s="45">
        <v>55.1</v>
      </c>
      <c r="J13" s="45">
        <v>55.1</v>
      </c>
      <c r="K13" s="45">
        <v>54.8</v>
      </c>
      <c r="L13" s="45">
        <v>54.8</v>
      </c>
      <c r="M13" s="45">
        <v>54.8</v>
      </c>
      <c r="N13" s="45">
        <v>54.8</v>
      </c>
      <c r="O13" s="45">
        <v>54.8</v>
      </c>
      <c r="P13" s="45">
        <v>54.8</v>
      </c>
      <c r="Q13" s="45">
        <v>54.8</v>
      </c>
      <c r="R13" s="45">
        <v>54.8</v>
      </c>
      <c r="S13" s="45">
        <v>54.8</v>
      </c>
      <c r="T13" s="45">
        <v>54.8</v>
      </c>
      <c r="U13" s="45">
        <v>54.8</v>
      </c>
      <c r="V13" s="45">
        <v>54.9</v>
      </c>
      <c r="W13" s="45">
        <v>54.9</v>
      </c>
      <c r="X13" s="45">
        <v>54.9</v>
      </c>
      <c r="Y13" s="45">
        <v>54.9</v>
      </c>
      <c r="Z13" s="45">
        <v>54.9</v>
      </c>
      <c r="AA13" s="45">
        <v>54.9</v>
      </c>
      <c r="AB13" s="45">
        <v>54.9</v>
      </c>
      <c r="AC13" s="45">
        <v>54.9</v>
      </c>
      <c r="AD13" s="45">
        <v>54.9</v>
      </c>
      <c r="AE13" s="45"/>
      <c r="AF13" s="45"/>
      <c r="AG13" s="46">
        <v>52.4</v>
      </c>
      <c r="AH13" s="47">
        <f t="shared" si="2"/>
        <v>55.1</v>
      </c>
      <c r="AI13" s="48">
        <f t="shared" si="3"/>
        <v>54.8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45">
        <v>50.4</v>
      </c>
      <c r="C14" s="45">
        <v>50</v>
      </c>
      <c r="D14" s="45">
        <v>50.3</v>
      </c>
      <c r="E14" s="45">
        <v>50.3</v>
      </c>
      <c r="F14" s="45">
        <v>50.3</v>
      </c>
      <c r="G14" s="45">
        <v>50.3</v>
      </c>
      <c r="H14" s="45">
        <v>50.3</v>
      </c>
      <c r="I14" s="45">
        <v>50.3</v>
      </c>
      <c r="J14" s="45">
        <v>50.3</v>
      </c>
      <c r="K14" s="45">
        <v>50.5</v>
      </c>
      <c r="L14" s="45">
        <v>50.5</v>
      </c>
      <c r="M14" s="45">
        <v>50.5</v>
      </c>
      <c r="N14" s="45">
        <v>50.5</v>
      </c>
      <c r="O14" s="45">
        <v>50.5</v>
      </c>
      <c r="P14" s="50">
        <v>50.5</v>
      </c>
      <c r="Q14" s="50">
        <v>50.5</v>
      </c>
      <c r="R14" s="50">
        <v>50.5</v>
      </c>
      <c r="S14" s="50">
        <v>50.5</v>
      </c>
      <c r="T14" s="50">
        <v>50.5</v>
      </c>
      <c r="U14" s="50">
        <v>50.5</v>
      </c>
      <c r="V14" s="50">
        <v>50.5</v>
      </c>
      <c r="W14" s="50">
        <v>50.5</v>
      </c>
      <c r="X14" s="50">
        <v>50.5</v>
      </c>
      <c r="Y14" s="50">
        <v>50.5</v>
      </c>
      <c r="Z14" s="50">
        <v>50.5</v>
      </c>
      <c r="AA14" s="45">
        <v>50.5</v>
      </c>
      <c r="AB14" s="45">
        <v>50.5</v>
      </c>
      <c r="AC14" s="45">
        <v>50.5</v>
      </c>
      <c r="AD14" s="45">
        <v>50.5</v>
      </c>
      <c r="AE14" s="45"/>
      <c r="AF14" s="45"/>
      <c r="AG14" s="49">
        <v>50</v>
      </c>
      <c r="AH14" s="47">
        <f t="shared" si="2"/>
        <v>50.5</v>
      </c>
      <c r="AI14" s="48">
        <f t="shared" si="3"/>
        <v>50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46</v>
      </c>
      <c r="C15" s="45">
        <v>46</v>
      </c>
      <c r="D15" s="45">
        <v>45.8</v>
      </c>
      <c r="E15" s="45">
        <v>45.8</v>
      </c>
      <c r="F15" s="45">
        <v>45.8</v>
      </c>
      <c r="G15" s="45">
        <v>45.8</v>
      </c>
      <c r="H15" s="45">
        <v>45.8</v>
      </c>
      <c r="I15" s="45">
        <v>45.8</v>
      </c>
      <c r="J15" s="45">
        <v>45.8</v>
      </c>
      <c r="K15" s="45">
        <v>45.8</v>
      </c>
      <c r="L15" s="45">
        <v>45.8</v>
      </c>
      <c r="M15" s="45">
        <v>45.8</v>
      </c>
      <c r="N15" s="45">
        <v>45.8</v>
      </c>
      <c r="O15" s="45">
        <v>45.8</v>
      </c>
      <c r="P15" s="45">
        <v>45.9</v>
      </c>
      <c r="Q15" s="45">
        <v>45.9</v>
      </c>
      <c r="R15" s="45">
        <v>45.9</v>
      </c>
      <c r="S15" s="45">
        <v>45.9</v>
      </c>
      <c r="T15" s="45">
        <v>45.9</v>
      </c>
      <c r="U15" s="45">
        <v>45.9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46</v>
      </c>
      <c r="AB15" s="45">
        <v>46</v>
      </c>
      <c r="AC15" s="45">
        <v>46</v>
      </c>
      <c r="AD15" s="45">
        <v>46</v>
      </c>
      <c r="AE15" s="45"/>
      <c r="AF15" s="45"/>
      <c r="AG15" s="49">
        <v>45</v>
      </c>
      <c r="AH15" s="47">
        <f t="shared" si="2"/>
        <v>46</v>
      </c>
      <c r="AI15" s="48">
        <f t="shared" si="3"/>
        <v>45.8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/>
      <c r="AF16" s="45"/>
      <c r="AG16" s="49">
        <v>44</v>
      </c>
      <c r="AH16" s="47">
        <f>MAX(B16:AG16)</f>
        <v>44</v>
      </c>
      <c r="AI16" s="48">
        <f>MIN(B16:AG16)</f>
        <v>44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38</v>
      </c>
      <c r="C17" s="45">
        <v>33</v>
      </c>
      <c r="D17" s="45">
        <v>33</v>
      </c>
      <c r="E17" s="45">
        <v>33</v>
      </c>
      <c r="F17" s="45">
        <v>33</v>
      </c>
      <c r="G17" s="45">
        <v>33</v>
      </c>
      <c r="H17" s="45">
        <v>33</v>
      </c>
      <c r="I17" s="45">
        <v>33</v>
      </c>
      <c r="J17" s="45">
        <v>33</v>
      </c>
      <c r="K17" s="45">
        <v>38.5</v>
      </c>
      <c r="L17" s="45">
        <v>38.5</v>
      </c>
      <c r="M17" s="45">
        <v>38.5</v>
      </c>
      <c r="N17" s="45">
        <v>29</v>
      </c>
      <c r="O17" s="45">
        <v>29</v>
      </c>
      <c r="P17" s="45">
        <v>29</v>
      </c>
      <c r="Q17" s="45">
        <v>29</v>
      </c>
      <c r="R17" s="45">
        <v>29</v>
      </c>
      <c r="S17" s="45">
        <v>29</v>
      </c>
      <c r="T17" s="45">
        <v>29</v>
      </c>
      <c r="U17" s="45">
        <v>36</v>
      </c>
      <c r="V17" s="45">
        <v>34</v>
      </c>
      <c r="W17" s="45">
        <v>34</v>
      </c>
      <c r="X17" s="45">
        <v>34</v>
      </c>
      <c r="Y17" s="45">
        <v>34</v>
      </c>
      <c r="Z17" s="45">
        <v>34</v>
      </c>
      <c r="AA17" s="45">
        <v>41</v>
      </c>
      <c r="AB17" s="45">
        <v>41</v>
      </c>
      <c r="AC17" s="45">
        <v>41</v>
      </c>
      <c r="AD17" s="45">
        <v>41</v>
      </c>
      <c r="AE17" s="45"/>
      <c r="AF17" s="45"/>
      <c r="AG17" s="49">
        <v>42</v>
      </c>
      <c r="AH17" s="47">
        <f t="shared" si="2"/>
        <v>41</v>
      </c>
      <c r="AI17" s="48">
        <f t="shared" si="3"/>
        <v>29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/>
      <c r="AF18" s="45"/>
      <c r="AG18" s="49">
        <v>38.46</v>
      </c>
      <c r="AH18" s="47">
        <f t="shared" si="2"/>
        <v>38</v>
      </c>
      <c r="AI18" s="48">
        <f t="shared" si="3"/>
        <v>38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31</v>
      </c>
      <c r="Z19" s="45">
        <v>31</v>
      </c>
      <c r="AA19" s="45">
        <v>31</v>
      </c>
      <c r="AB19" s="45">
        <v>31</v>
      </c>
      <c r="AC19" s="45">
        <v>31</v>
      </c>
      <c r="AD19" s="45">
        <v>31</v>
      </c>
      <c r="AE19" s="45"/>
      <c r="AF19" s="45"/>
      <c r="AG19" s="49">
        <v>36</v>
      </c>
      <c r="AH19" s="47">
        <f t="shared" si="2"/>
        <v>36</v>
      </c>
      <c r="AI19" s="48">
        <f t="shared" si="3"/>
        <v>31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10.5</v>
      </c>
      <c r="C20" s="45">
        <v>10.199999999999999</v>
      </c>
      <c r="D20" s="45">
        <v>10.199999999999999</v>
      </c>
      <c r="E20" s="45">
        <v>10.1</v>
      </c>
      <c r="F20" s="45">
        <v>5</v>
      </c>
      <c r="G20" s="45">
        <v>10</v>
      </c>
      <c r="H20" s="45">
        <v>10</v>
      </c>
      <c r="I20" s="45">
        <v>10</v>
      </c>
      <c r="J20" s="45">
        <v>7</v>
      </c>
      <c r="K20" s="45">
        <v>29.5</v>
      </c>
      <c r="L20" s="45">
        <v>29.5</v>
      </c>
      <c r="M20" s="45">
        <v>20</v>
      </c>
      <c r="N20" s="45">
        <v>10.5</v>
      </c>
      <c r="O20" s="45">
        <v>10.5</v>
      </c>
      <c r="P20" s="45">
        <v>24.9</v>
      </c>
      <c r="Q20" s="45">
        <v>24.9</v>
      </c>
      <c r="R20" s="45">
        <v>24.9</v>
      </c>
      <c r="S20" s="45">
        <v>24.9</v>
      </c>
      <c r="T20" s="45">
        <v>24.9</v>
      </c>
      <c r="U20" s="45">
        <v>24.9</v>
      </c>
      <c r="V20" s="45">
        <v>30.1</v>
      </c>
      <c r="W20" s="45">
        <v>30.1</v>
      </c>
      <c r="X20" s="45">
        <v>30.1</v>
      </c>
      <c r="Y20" s="45">
        <v>15</v>
      </c>
      <c r="Z20" s="45">
        <v>25.7</v>
      </c>
      <c r="AA20" s="45">
        <v>25.7</v>
      </c>
      <c r="AB20" s="45">
        <v>25.7</v>
      </c>
      <c r="AC20" s="45">
        <v>30</v>
      </c>
      <c r="AD20" s="45">
        <v>30</v>
      </c>
      <c r="AE20" s="45"/>
      <c r="AF20" s="45"/>
      <c r="AG20" s="51">
        <v>30</v>
      </c>
      <c r="AH20" s="47">
        <f t="shared" si="2"/>
        <v>30.1</v>
      </c>
      <c r="AI20" s="48">
        <f t="shared" si="3"/>
        <v>5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20.6</v>
      </c>
      <c r="C21" s="45">
        <v>20.6</v>
      </c>
      <c r="D21" s="45">
        <v>20.7</v>
      </c>
      <c r="E21" s="45">
        <v>20.7</v>
      </c>
      <c r="F21" s="45">
        <v>20.7</v>
      </c>
      <c r="G21" s="45">
        <v>20.7</v>
      </c>
      <c r="H21" s="45">
        <v>20.7</v>
      </c>
      <c r="I21" s="45">
        <v>20.7</v>
      </c>
      <c r="J21" s="45">
        <v>20.7</v>
      </c>
      <c r="K21" s="45">
        <v>20.7</v>
      </c>
      <c r="L21" s="45">
        <v>20.7</v>
      </c>
      <c r="M21" s="45">
        <v>20.6</v>
      </c>
      <c r="N21" s="45">
        <v>20.6</v>
      </c>
      <c r="O21" s="45">
        <v>20.6</v>
      </c>
      <c r="P21" s="45">
        <v>0</v>
      </c>
      <c r="Q21" s="45">
        <v>0</v>
      </c>
      <c r="R21" s="45">
        <v>0</v>
      </c>
      <c r="S21" s="45">
        <v>0</v>
      </c>
      <c r="T21" s="45">
        <v>0</v>
      </c>
      <c r="U21" s="45">
        <v>0</v>
      </c>
      <c r="V21" s="45">
        <v>20.399999999999999</v>
      </c>
      <c r="W21" s="45">
        <v>20.399999999999999</v>
      </c>
      <c r="X21" s="45">
        <v>20.399999999999999</v>
      </c>
      <c r="Y21" s="45">
        <v>20.399999999999999</v>
      </c>
      <c r="Z21" s="45">
        <v>20.399999999999999</v>
      </c>
      <c r="AA21" s="45">
        <v>20.399999999999999</v>
      </c>
      <c r="AB21" s="45">
        <v>20.399999999999999</v>
      </c>
      <c r="AC21" s="45">
        <v>20.399999999999999</v>
      </c>
      <c r="AD21" s="45">
        <v>20.399999999999999</v>
      </c>
      <c r="AE21" s="45"/>
      <c r="AF21" s="45"/>
      <c r="AG21" s="49">
        <v>24.2</v>
      </c>
      <c r="AH21" s="47">
        <f t="shared" si="2"/>
        <v>20.7</v>
      </c>
      <c r="AI21" s="48">
        <f t="shared" si="3"/>
        <v>0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20</v>
      </c>
      <c r="C22" s="45">
        <v>20</v>
      </c>
      <c r="D22" s="45">
        <v>20</v>
      </c>
      <c r="E22" s="45">
        <v>20</v>
      </c>
      <c r="F22" s="45">
        <v>20</v>
      </c>
      <c r="G22" s="45">
        <v>20</v>
      </c>
      <c r="H22" s="45">
        <v>20</v>
      </c>
      <c r="I22" s="45">
        <v>20</v>
      </c>
      <c r="J22" s="45">
        <v>20</v>
      </c>
      <c r="K22" s="45">
        <v>20</v>
      </c>
      <c r="L22" s="45">
        <v>20</v>
      </c>
      <c r="M22" s="45">
        <v>20</v>
      </c>
      <c r="N22" s="45">
        <v>20</v>
      </c>
      <c r="O22" s="45">
        <v>20</v>
      </c>
      <c r="P22" s="45">
        <v>20</v>
      </c>
      <c r="Q22" s="45">
        <v>20</v>
      </c>
      <c r="R22" s="45">
        <v>20</v>
      </c>
      <c r="S22" s="45">
        <v>20</v>
      </c>
      <c r="T22" s="45">
        <v>20</v>
      </c>
      <c r="U22" s="45">
        <v>20</v>
      </c>
      <c r="V22" s="45">
        <v>20.5</v>
      </c>
      <c r="W22" s="45">
        <v>20.5</v>
      </c>
      <c r="X22" s="45">
        <v>20.5</v>
      </c>
      <c r="Y22" s="45">
        <v>20.5</v>
      </c>
      <c r="Z22" s="45">
        <v>20.5</v>
      </c>
      <c r="AA22" s="45">
        <v>20.5</v>
      </c>
      <c r="AB22" s="45">
        <v>20.5</v>
      </c>
      <c r="AC22" s="45">
        <v>20.5</v>
      </c>
      <c r="AD22" s="45">
        <v>20.5</v>
      </c>
      <c r="AE22" s="45"/>
      <c r="AF22" s="45"/>
      <c r="AG22" s="49">
        <v>28</v>
      </c>
      <c r="AH22" s="47">
        <f t="shared" si="2"/>
        <v>20.5</v>
      </c>
      <c r="AI22" s="48">
        <f t="shared" si="3"/>
        <v>20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9.4</v>
      </c>
      <c r="C23" s="45">
        <v>9.4</v>
      </c>
      <c r="D23" s="45">
        <v>9.4</v>
      </c>
      <c r="E23" s="45">
        <v>8</v>
      </c>
      <c r="F23" s="45">
        <v>0</v>
      </c>
      <c r="G23" s="45">
        <v>0</v>
      </c>
      <c r="H23" s="45">
        <v>9</v>
      </c>
      <c r="I23" s="45">
        <v>9</v>
      </c>
      <c r="J23" s="45">
        <v>7</v>
      </c>
      <c r="K23" s="45">
        <v>9</v>
      </c>
      <c r="L23" s="45">
        <v>9</v>
      </c>
      <c r="M23" s="45">
        <v>9</v>
      </c>
      <c r="N23" s="45">
        <v>6</v>
      </c>
      <c r="O23" s="45">
        <v>6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/>
      <c r="AF23" s="45"/>
      <c r="AG23" s="51">
        <v>30</v>
      </c>
      <c r="AH23" s="47">
        <f t="shared" si="2"/>
        <v>9.4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</v>
      </c>
      <c r="C24" s="45">
        <v>26</v>
      </c>
      <c r="D24" s="45">
        <v>26</v>
      </c>
      <c r="E24" s="45">
        <v>26</v>
      </c>
      <c r="F24" s="45">
        <v>26</v>
      </c>
      <c r="G24" s="45">
        <v>26</v>
      </c>
      <c r="H24" s="45">
        <v>26</v>
      </c>
      <c r="I24" s="45">
        <v>26</v>
      </c>
      <c r="J24" s="45">
        <v>26</v>
      </c>
      <c r="K24" s="45">
        <v>26</v>
      </c>
      <c r="L24" s="45">
        <v>26</v>
      </c>
      <c r="M24" s="45">
        <v>26</v>
      </c>
      <c r="N24" s="45">
        <v>26</v>
      </c>
      <c r="O24" s="45">
        <v>26</v>
      </c>
      <c r="P24" s="45">
        <v>26</v>
      </c>
      <c r="Q24" s="45">
        <v>26</v>
      </c>
      <c r="R24" s="45">
        <v>26</v>
      </c>
      <c r="S24" s="45">
        <v>26</v>
      </c>
      <c r="T24" s="45">
        <v>26</v>
      </c>
      <c r="U24" s="45">
        <v>26</v>
      </c>
      <c r="V24" s="45">
        <v>26.1</v>
      </c>
      <c r="W24" s="45">
        <v>26.1</v>
      </c>
      <c r="X24" s="45">
        <v>26.1</v>
      </c>
      <c r="Y24" s="45">
        <v>26.1</v>
      </c>
      <c r="Z24" s="45">
        <v>26.1</v>
      </c>
      <c r="AA24" s="45">
        <v>26.1</v>
      </c>
      <c r="AB24" s="45">
        <v>26.1</v>
      </c>
      <c r="AC24" s="45">
        <v>26.1</v>
      </c>
      <c r="AD24" s="45">
        <v>26.1</v>
      </c>
      <c r="AE24" s="45"/>
      <c r="AF24" s="45"/>
      <c r="AG24" s="49">
        <v>25</v>
      </c>
      <c r="AH24" s="47">
        <f t="shared" si="2"/>
        <v>26.1</v>
      </c>
      <c r="AI24" s="48">
        <f t="shared" si="3"/>
        <v>26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/>
      <c r="AF25" s="45"/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/>
      <c r="AF26" s="45"/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9</v>
      </c>
      <c r="C27" s="45">
        <v>9</v>
      </c>
      <c r="D27" s="45">
        <v>9</v>
      </c>
      <c r="E27" s="45">
        <v>7</v>
      </c>
      <c r="F27" s="45">
        <v>0</v>
      </c>
      <c r="G27" s="45">
        <v>0</v>
      </c>
      <c r="H27" s="45">
        <v>15</v>
      </c>
      <c r="I27" s="45">
        <v>12</v>
      </c>
      <c r="J27" s="45">
        <v>6</v>
      </c>
      <c r="K27" s="45">
        <v>25</v>
      </c>
      <c r="L27" s="45">
        <v>25</v>
      </c>
      <c r="M27" s="45">
        <v>18</v>
      </c>
      <c r="N27" s="45">
        <v>9</v>
      </c>
      <c r="O27" s="45">
        <v>9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12.5</v>
      </c>
      <c r="Z27" s="45">
        <v>20.399999999999999</v>
      </c>
      <c r="AA27" s="45">
        <v>25</v>
      </c>
      <c r="AB27" s="45">
        <v>20</v>
      </c>
      <c r="AC27" s="45">
        <v>25</v>
      </c>
      <c r="AD27" s="45">
        <v>25</v>
      </c>
      <c r="AE27" s="45"/>
      <c r="AF27" s="45"/>
      <c r="AG27" s="49">
        <v>25</v>
      </c>
      <c r="AH27" s="47">
        <f t="shared" si="2"/>
        <v>25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24.2</v>
      </c>
      <c r="C28" s="45">
        <v>24.2</v>
      </c>
      <c r="D28" s="45">
        <v>24.2</v>
      </c>
      <c r="E28" s="45">
        <v>24.2</v>
      </c>
      <c r="F28" s="45">
        <v>24.1</v>
      </c>
      <c r="G28" s="45">
        <v>24.1</v>
      </c>
      <c r="H28" s="45">
        <v>24.1</v>
      </c>
      <c r="I28" s="45">
        <v>24.1</v>
      </c>
      <c r="J28" s="45">
        <v>24.1</v>
      </c>
      <c r="K28" s="45">
        <v>24.2</v>
      </c>
      <c r="L28" s="45">
        <v>24.2</v>
      </c>
      <c r="M28" s="45">
        <v>24.2</v>
      </c>
      <c r="N28" s="45">
        <v>24.2</v>
      </c>
      <c r="O28" s="45">
        <v>24.2</v>
      </c>
      <c r="P28" s="45">
        <v>24.5</v>
      </c>
      <c r="Q28" s="45">
        <v>24.5</v>
      </c>
      <c r="R28" s="45">
        <v>24.5</v>
      </c>
      <c r="S28" s="45">
        <v>24.5</v>
      </c>
      <c r="T28" s="45">
        <v>24.5</v>
      </c>
      <c r="U28" s="45">
        <v>24.5</v>
      </c>
      <c r="V28" s="45">
        <v>24.5</v>
      </c>
      <c r="W28" s="45">
        <v>24.5</v>
      </c>
      <c r="X28" s="45">
        <v>24.5</v>
      </c>
      <c r="Y28" s="45">
        <v>24.5</v>
      </c>
      <c r="Z28" s="45">
        <v>24.5</v>
      </c>
      <c r="AA28" s="45">
        <v>24.5</v>
      </c>
      <c r="AB28" s="45">
        <v>24.5</v>
      </c>
      <c r="AC28" s="45">
        <v>24.5</v>
      </c>
      <c r="AD28" s="45">
        <v>24.5</v>
      </c>
      <c r="AE28" s="45"/>
      <c r="AF28" s="45"/>
      <c r="AG28" s="49">
        <v>23.5</v>
      </c>
      <c r="AH28" s="47">
        <f t="shared" si="2"/>
        <v>24.5</v>
      </c>
      <c r="AI28" s="48">
        <f t="shared" si="3"/>
        <v>24.1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/>
      <c r="AF29" s="45"/>
      <c r="AG29" s="49">
        <v>22.2</v>
      </c>
      <c r="AH29" s="47">
        <f t="shared" si="2"/>
        <v>22</v>
      </c>
      <c r="AI29" s="48">
        <f t="shared" si="3"/>
        <v>22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/>
      <c r="AF30" s="45"/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/>
      <c r="AF31" s="45"/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16</v>
      </c>
      <c r="L32" s="45">
        <v>16</v>
      </c>
      <c r="M32" s="45">
        <v>16</v>
      </c>
      <c r="N32" s="45">
        <v>16</v>
      </c>
      <c r="O32" s="45">
        <v>16</v>
      </c>
      <c r="P32" s="45">
        <v>25.1</v>
      </c>
      <c r="Q32" s="45">
        <v>25.1</v>
      </c>
      <c r="R32" s="45">
        <v>25.1</v>
      </c>
      <c r="S32" s="45">
        <v>25.1</v>
      </c>
      <c r="T32" s="45">
        <v>25.1</v>
      </c>
      <c r="U32" s="45">
        <v>25.1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/>
      <c r="AF32" s="45"/>
      <c r="AG32" s="49">
        <v>22</v>
      </c>
      <c r="AH32" s="47">
        <f t="shared" si="2"/>
        <v>25.1</v>
      </c>
      <c r="AI32" s="48">
        <f t="shared" si="3"/>
        <v>16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/>
      <c r="AF33" s="45"/>
      <c r="AG33" s="49">
        <v>20</v>
      </c>
      <c r="AH33" s="47">
        <f t="shared" si="2"/>
        <v>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6</v>
      </c>
      <c r="C34" s="45">
        <v>6</v>
      </c>
      <c r="D34" s="45">
        <v>6</v>
      </c>
      <c r="E34" s="45">
        <v>6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5</v>
      </c>
      <c r="L34" s="45">
        <v>10</v>
      </c>
      <c r="M34" s="45">
        <v>8</v>
      </c>
      <c r="N34" s="45">
        <v>8</v>
      </c>
      <c r="O34" s="45">
        <v>8</v>
      </c>
      <c r="P34" s="45">
        <v>4.4000000000000004</v>
      </c>
      <c r="Q34" s="45">
        <v>4.4000000000000004</v>
      </c>
      <c r="R34" s="45">
        <v>4.4000000000000004</v>
      </c>
      <c r="S34" s="45">
        <v>4.4000000000000004</v>
      </c>
      <c r="T34" s="45">
        <v>4.4000000000000004</v>
      </c>
      <c r="U34" s="45">
        <v>4.4000000000000004</v>
      </c>
      <c r="V34" s="45">
        <v>4.4000000000000004</v>
      </c>
      <c r="W34" s="45">
        <v>4.4000000000000004</v>
      </c>
      <c r="X34" s="45">
        <v>4.4000000000000004</v>
      </c>
      <c r="Y34" s="45">
        <v>4.4000000000000004</v>
      </c>
      <c r="Z34" s="45">
        <v>4.4000000000000004</v>
      </c>
      <c r="AA34" s="45">
        <v>4.4000000000000004</v>
      </c>
      <c r="AB34" s="45">
        <v>15.5</v>
      </c>
      <c r="AC34" s="45">
        <v>15.5</v>
      </c>
      <c r="AD34" s="45">
        <v>10</v>
      </c>
      <c r="AE34" s="45"/>
      <c r="AF34" s="45"/>
      <c r="AG34" s="49">
        <v>18</v>
      </c>
      <c r="AH34" s="47">
        <f t="shared" si="2"/>
        <v>15.5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0</v>
      </c>
      <c r="L35" s="45">
        <v>0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/>
      <c r="AF35" s="45"/>
      <c r="AG35" s="49">
        <v>14.9</v>
      </c>
      <c r="AH35" s="47">
        <f t="shared" si="2"/>
        <v>15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/>
      <c r="AF36" s="45"/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/>
      <c r="AF37" s="45"/>
      <c r="AG37" s="49">
        <v>13.6</v>
      </c>
      <c r="AH37" s="47">
        <f t="shared" si="2"/>
        <v>5</v>
      </c>
      <c r="AI37" s="48">
        <f t="shared" si="3"/>
        <v>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/>
      <c r="AF38" s="45"/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4</v>
      </c>
      <c r="C39" s="45">
        <v>4</v>
      </c>
      <c r="D39" s="45">
        <v>4</v>
      </c>
      <c r="E39" s="45">
        <v>4</v>
      </c>
      <c r="F39" s="45">
        <v>0</v>
      </c>
      <c r="G39" s="45">
        <v>0</v>
      </c>
      <c r="H39" s="45">
        <v>6</v>
      </c>
      <c r="I39" s="45">
        <v>6</v>
      </c>
      <c r="J39" s="45">
        <v>2</v>
      </c>
      <c r="K39" s="45">
        <v>12</v>
      </c>
      <c r="L39" s="45">
        <v>12</v>
      </c>
      <c r="M39" s="45">
        <v>8</v>
      </c>
      <c r="N39" s="45">
        <v>5</v>
      </c>
      <c r="O39" s="45">
        <v>5</v>
      </c>
      <c r="P39" s="45">
        <v>5</v>
      </c>
      <c r="Q39" s="45">
        <v>5</v>
      </c>
      <c r="R39" s="45">
        <v>5</v>
      </c>
      <c r="S39" s="45">
        <v>5</v>
      </c>
      <c r="T39" s="45">
        <v>5</v>
      </c>
      <c r="U39" s="45">
        <v>5</v>
      </c>
      <c r="V39" s="45">
        <v>8</v>
      </c>
      <c r="W39" s="45">
        <v>8</v>
      </c>
      <c r="X39" s="45">
        <v>8</v>
      </c>
      <c r="Y39" s="45">
        <v>6</v>
      </c>
      <c r="Z39" s="45">
        <v>8.16</v>
      </c>
      <c r="AA39" s="45">
        <v>12</v>
      </c>
      <c r="AB39" s="45">
        <v>8</v>
      </c>
      <c r="AC39" s="45">
        <v>10</v>
      </c>
      <c r="AD39" s="45">
        <v>10</v>
      </c>
      <c r="AE39" s="45"/>
      <c r="AF39" s="45"/>
      <c r="AG39" s="49">
        <v>12</v>
      </c>
      <c r="AH39" s="47">
        <f t="shared" si="2"/>
        <v>12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/>
      <c r="AF40" s="45"/>
      <c r="AG40" s="49">
        <v>12</v>
      </c>
      <c r="AH40" s="47">
        <f t="shared" si="2"/>
        <v>12</v>
      </c>
      <c r="AI40" s="48">
        <f t="shared" si="3"/>
        <v>12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5</v>
      </c>
      <c r="L41" s="45">
        <v>7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/>
      <c r="AF41" s="45"/>
      <c r="AG41" s="49">
        <v>12</v>
      </c>
      <c r="AH41" s="47">
        <f t="shared" si="2"/>
        <v>12</v>
      </c>
      <c r="AI41" s="48">
        <f t="shared" si="3"/>
        <v>0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6</v>
      </c>
      <c r="C42" s="45">
        <v>6</v>
      </c>
      <c r="D42" s="45">
        <v>6</v>
      </c>
      <c r="E42" s="45">
        <v>6</v>
      </c>
      <c r="F42" s="45">
        <v>6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6</v>
      </c>
      <c r="N42" s="45">
        <v>6</v>
      </c>
      <c r="O42" s="45">
        <v>6</v>
      </c>
      <c r="P42" s="45">
        <v>6</v>
      </c>
      <c r="Q42" s="45">
        <v>6</v>
      </c>
      <c r="R42" s="45">
        <v>6</v>
      </c>
      <c r="S42" s="45">
        <v>6</v>
      </c>
      <c r="T42" s="45">
        <v>6</v>
      </c>
      <c r="U42" s="45">
        <v>6</v>
      </c>
      <c r="V42" s="45">
        <v>6</v>
      </c>
      <c r="W42" s="45">
        <v>6</v>
      </c>
      <c r="X42" s="45">
        <v>6</v>
      </c>
      <c r="Y42" s="45">
        <v>6</v>
      </c>
      <c r="Z42" s="45">
        <v>6</v>
      </c>
      <c r="AA42" s="45">
        <v>6</v>
      </c>
      <c r="AB42" s="45">
        <v>6</v>
      </c>
      <c r="AC42" s="45">
        <v>6</v>
      </c>
      <c r="AD42" s="45">
        <v>6</v>
      </c>
      <c r="AE42" s="45"/>
      <c r="AF42" s="45"/>
      <c r="AG42" s="52">
        <v>22</v>
      </c>
      <c r="AH42" s="47">
        <f t="shared" si="2"/>
        <v>6</v>
      </c>
      <c r="AI42" s="48">
        <f t="shared" si="3"/>
        <v>6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/>
      <c r="AF43" s="45"/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/>
      <c r="AF44" s="45"/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8</v>
      </c>
      <c r="C45" s="45">
        <v>8</v>
      </c>
      <c r="D45" s="45">
        <v>8</v>
      </c>
      <c r="E45" s="45">
        <v>8</v>
      </c>
      <c r="F45" s="45">
        <v>8</v>
      </c>
      <c r="G45" s="45">
        <v>8</v>
      </c>
      <c r="H45" s="45">
        <v>8</v>
      </c>
      <c r="I45" s="45">
        <v>8</v>
      </c>
      <c r="J45" s="45">
        <v>8</v>
      </c>
      <c r="K45" s="45">
        <v>8</v>
      </c>
      <c r="L45" s="45">
        <v>8</v>
      </c>
      <c r="M45" s="45">
        <v>8</v>
      </c>
      <c r="N45" s="45">
        <v>8</v>
      </c>
      <c r="O45" s="45">
        <v>8</v>
      </c>
      <c r="P45" s="45">
        <v>8</v>
      </c>
      <c r="Q45" s="45">
        <v>8</v>
      </c>
      <c r="R45" s="45">
        <v>8</v>
      </c>
      <c r="S45" s="45">
        <v>8</v>
      </c>
      <c r="T45" s="45">
        <v>8</v>
      </c>
      <c r="U45" s="45">
        <v>8</v>
      </c>
      <c r="V45" s="45">
        <v>8</v>
      </c>
      <c r="W45" s="45">
        <v>8</v>
      </c>
      <c r="X45" s="45">
        <v>8</v>
      </c>
      <c r="Y45" s="45">
        <v>8</v>
      </c>
      <c r="Z45" s="45">
        <v>8</v>
      </c>
      <c r="AA45" s="45">
        <v>8</v>
      </c>
      <c r="AB45" s="45">
        <v>8</v>
      </c>
      <c r="AC45" s="45">
        <v>8</v>
      </c>
      <c r="AD45" s="45">
        <v>8</v>
      </c>
      <c r="AE45" s="45"/>
      <c r="AF45" s="45"/>
      <c r="AG45" s="54">
        <v>10</v>
      </c>
      <c r="AH45" s="47">
        <f t="shared" si="2"/>
        <v>8</v>
      </c>
      <c r="AI45" s="48">
        <f t="shared" si="3"/>
        <v>8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/>
      <c r="AF46" s="45"/>
      <c r="AG46" s="54">
        <v>10</v>
      </c>
      <c r="AH46" s="47">
        <f t="shared" si="2"/>
        <v>10</v>
      </c>
      <c r="AI46" s="48">
        <f t="shared" si="3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/>
      <c r="AF47" s="45"/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250</v>
      </c>
      <c r="C48" s="56">
        <v>250</v>
      </c>
      <c r="D48" s="56">
        <v>250</v>
      </c>
      <c r="E48" s="56">
        <v>250</v>
      </c>
      <c r="F48" s="56">
        <v>250</v>
      </c>
      <c r="G48" s="56">
        <v>250</v>
      </c>
      <c r="H48" s="56">
        <v>250</v>
      </c>
      <c r="I48" s="56">
        <v>250</v>
      </c>
      <c r="J48" s="56">
        <v>250</v>
      </c>
      <c r="K48" s="56">
        <v>250</v>
      </c>
      <c r="L48" s="56">
        <v>250</v>
      </c>
      <c r="M48" s="56">
        <v>250</v>
      </c>
      <c r="N48" s="56">
        <v>250</v>
      </c>
      <c r="O48" s="56">
        <v>250</v>
      </c>
      <c r="P48" s="56">
        <v>250</v>
      </c>
      <c r="Q48" s="56">
        <v>250</v>
      </c>
      <c r="R48" s="56">
        <v>250</v>
      </c>
      <c r="S48" s="56">
        <v>250</v>
      </c>
      <c r="T48" s="56">
        <v>250</v>
      </c>
      <c r="U48" s="56">
        <v>250</v>
      </c>
      <c r="V48" s="56">
        <v>250</v>
      </c>
      <c r="W48" s="56">
        <v>250</v>
      </c>
      <c r="X48" s="56">
        <v>250</v>
      </c>
      <c r="Y48" s="56">
        <v>250</v>
      </c>
      <c r="Z48" s="56">
        <v>250</v>
      </c>
      <c r="AA48" s="56">
        <v>300</v>
      </c>
      <c r="AB48" s="56">
        <v>300</v>
      </c>
      <c r="AC48" s="56">
        <v>300</v>
      </c>
      <c r="AD48" s="56">
        <v>300</v>
      </c>
      <c r="AE48" s="56"/>
      <c r="AF48" s="56"/>
      <c r="AG48" s="54">
        <v>85</v>
      </c>
      <c r="AH48" s="47">
        <f t="shared" si="2"/>
        <v>300</v>
      </c>
      <c r="AI48" s="48">
        <f t="shared" si="3"/>
        <v>250</v>
      </c>
      <c r="AK48" s="74"/>
    </row>
    <row r="49" spans="1:41" ht="15.75" thickBot="1" x14ac:dyDescent="0.3">
      <c r="A49" s="57" t="s">
        <v>65</v>
      </c>
      <c r="B49" s="56">
        <v>100</v>
      </c>
      <c r="C49" s="56">
        <v>100</v>
      </c>
      <c r="D49" s="56">
        <v>100</v>
      </c>
      <c r="E49" s="56">
        <v>100</v>
      </c>
      <c r="F49" s="56">
        <v>100</v>
      </c>
      <c r="G49" s="56">
        <v>100</v>
      </c>
      <c r="H49" s="56">
        <v>100</v>
      </c>
      <c r="I49" s="56">
        <v>100</v>
      </c>
      <c r="J49" s="56">
        <v>100</v>
      </c>
      <c r="K49" s="56">
        <v>100</v>
      </c>
      <c r="L49" s="56">
        <v>100</v>
      </c>
      <c r="M49" s="56">
        <v>97</v>
      </c>
      <c r="N49" s="56">
        <v>98</v>
      </c>
      <c r="O49" s="56">
        <v>100</v>
      </c>
      <c r="P49" s="56">
        <v>100</v>
      </c>
      <c r="Q49" s="56">
        <v>100</v>
      </c>
      <c r="R49" s="56">
        <v>100</v>
      </c>
      <c r="S49" s="56">
        <v>100</v>
      </c>
      <c r="T49" s="56">
        <v>100</v>
      </c>
      <c r="U49" s="56">
        <v>100</v>
      </c>
      <c r="V49" s="50">
        <v>98</v>
      </c>
      <c r="W49" s="50">
        <v>98</v>
      </c>
      <c r="X49" s="50">
        <v>98</v>
      </c>
      <c r="Y49" s="50">
        <v>98</v>
      </c>
      <c r="Z49" s="50">
        <v>98</v>
      </c>
      <c r="AA49" s="56">
        <v>98</v>
      </c>
      <c r="AB49" s="56">
        <f>77+20</f>
        <v>97</v>
      </c>
      <c r="AC49" s="56"/>
      <c r="AD49" s="56"/>
      <c r="AE49" s="56"/>
      <c r="AF49" s="56"/>
      <c r="AG49" s="54">
        <v>240</v>
      </c>
      <c r="AH49" s="47">
        <f t="shared" si="2"/>
        <v>100</v>
      </c>
      <c r="AI49" s="48">
        <f t="shared" si="3"/>
        <v>97</v>
      </c>
      <c r="AK49" s="74"/>
    </row>
    <row r="50" spans="1:41" ht="15.75" thickBot="1" x14ac:dyDescent="0.3">
      <c r="A50" s="58" t="s">
        <v>66</v>
      </c>
      <c r="B50" s="59">
        <f t="shared" ref="B50:C50" si="4">SUM(B11:B48)</f>
        <v>946.40000000000009</v>
      </c>
      <c r="C50" s="59">
        <f t="shared" si="4"/>
        <v>940.5</v>
      </c>
      <c r="D50" s="59">
        <f t="shared" ref="D50" si="5">SUM(D11:D48)</f>
        <v>941.1</v>
      </c>
      <c r="E50" s="59">
        <f t="shared" ref="E50:AF50" si="6">SUM(E11:E48)</f>
        <v>934.6</v>
      </c>
      <c r="F50" s="59">
        <f t="shared" si="6"/>
        <v>888.40000000000009</v>
      </c>
      <c r="G50" s="59">
        <f t="shared" si="6"/>
        <v>893.40000000000009</v>
      </c>
      <c r="H50" s="59">
        <f t="shared" si="6"/>
        <v>938.4</v>
      </c>
      <c r="I50" s="59">
        <f t="shared" si="6"/>
        <v>935.4</v>
      </c>
      <c r="J50" s="59">
        <f t="shared" si="6"/>
        <v>915.40000000000009</v>
      </c>
      <c r="K50" s="59">
        <f t="shared" si="6"/>
        <v>980.3</v>
      </c>
      <c r="L50" s="59">
        <f t="shared" si="6"/>
        <v>987.3</v>
      </c>
      <c r="M50" s="59">
        <f>SUM(M11:M48)</f>
        <v>984.7</v>
      </c>
      <c r="N50" s="59">
        <f>SUM(N11:N48)</f>
        <v>938.7</v>
      </c>
      <c r="O50" s="59">
        <f t="shared" si="6"/>
        <v>938.7</v>
      </c>
      <c r="P50" s="59">
        <f t="shared" si="6"/>
        <v>942.19999999999993</v>
      </c>
      <c r="Q50" s="59">
        <f t="shared" si="6"/>
        <v>942.19999999999993</v>
      </c>
      <c r="R50" s="59">
        <f t="shared" si="6"/>
        <v>942.19999999999993</v>
      </c>
      <c r="S50" s="59">
        <f t="shared" si="6"/>
        <v>942.19999999999993</v>
      </c>
      <c r="T50" s="59">
        <f t="shared" si="6"/>
        <v>942.19999999999993</v>
      </c>
      <c r="U50" s="59">
        <f t="shared" si="6"/>
        <v>949.19999999999993</v>
      </c>
      <c r="V50" s="59">
        <f t="shared" si="6"/>
        <v>973.69999999999993</v>
      </c>
      <c r="W50" s="59">
        <f t="shared" ref="W50:X50" si="7">SUM(W11:W48)</f>
        <v>973.69999999999993</v>
      </c>
      <c r="X50" s="59">
        <f t="shared" si="7"/>
        <v>973.69999999999993</v>
      </c>
      <c r="Y50" s="59">
        <f t="shared" si="6"/>
        <v>956.1</v>
      </c>
      <c r="Z50" s="59">
        <f t="shared" si="6"/>
        <v>985.8599999999999</v>
      </c>
      <c r="AA50" s="59">
        <f t="shared" si="6"/>
        <v>1051.3</v>
      </c>
      <c r="AB50" s="59">
        <f t="shared" si="6"/>
        <v>1053.4000000000001</v>
      </c>
      <c r="AC50" s="59">
        <f t="shared" si="6"/>
        <v>1064.7</v>
      </c>
      <c r="AD50" s="59">
        <f t="shared" si="6"/>
        <v>1059.2</v>
      </c>
      <c r="AE50" s="59">
        <f t="shared" si="6"/>
        <v>0</v>
      </c>
      <c r="AF50" s="59">
        <f t="shared" si="6"/>
        <v>0</v>
      </c>
      <c r="AG50" s="60">
        <f>SUM(AG13:AG48)</f>
        <v>922.14</v>
      </c>
      <c r="AH50" s="47">
        <f t="shared" si="2"/>
        <v>1064.7</v>
      </c>
      <c r="AI50" s="48">
        <f t="shared" si="3"/>
        <v>0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0</v>
      </c>
      <c r="G51" s="45">
        <v>380</v>
      </c>
      <c r="H51" s="45">
        <v>380</v>
      </c>
      <c r="I51" s="45">
        <v>380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/>
      <c r="AF51" s="45"/>
      <c r="AG51" s="51">
        <v>456</v>
      </c>
      <c r="AH51" s="47">
        <f t="shared" si="2"/>
        <v>456</v>
      </c>
      <c r="AI51" s="48">
        <f t="shared" si="3"/>
        <v>0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60</v>
      </c>
      <c r="T52" s="64">
        <v>60</v>
      </c>
      <c r="U52" s="64">
        <v>60</v>
      </c>
      <c r="V52" s="64">
        <v>60</v>
      </c>
      <c r="W52" s="64">
        <v>60</v>
      </c>
      <c r="X52" s="64">
        <v>60</v>
      </c>
      <c r="Y52" s="64">
        <v>60</v>
      </c>
      <c r="Z52" s="64">
        <v>60</v>
      </c>
      <c r="AA52" s="64">
        <v>55</v>
      </c>
      <c r="AB52" s="64">
        <v>55</v>
      </c>
      <c r="AC52" s="64">
        <v>55</v>
      </c>
      <c r="AD52" s="64">
        <v>55</v>
      </c>
      <c r="AE52" s="64"/>
      <c r="AF52" s="64"/>
      <c r="AG52" s="54">
        <v>60</v>
      </c>
      <c r="AH52" s="47">
        <f t="shared" si="2"/>
        <v>60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22.4</v>
      </c>
      <c r="C53" s="66">
        <v>22.4</v>
      </c>
      <c r="D53" s="66">
        <v>22.5</v>
      </c>
      <c r="E53" s="66">
        <v>22.5</v>
      </c>
      <c r="F53" s="66">
        <v>22.4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22.4</v>
      </c>
      <c r="M53" s="66">
        <v>22.4</v>
      </c>
      <c r="N53" s="66">
        <v>22.4</v>
      </c>
      <c r="O53" s="66">
        <v>22.4</v>
      </c>
      <c r="P53" s="66">
        <v>22.4</v>
      </c>
      <c r="Q53" s="66">
        <v>22.4</v>
      </c>
      <c r="R53" s="66">
        <v>22.4</v>
      </c>
      <c r="S53" s="66">
        <v>22.4</v>
      </c>
      <c r="T53" s="66">
        <v>22.4</v>
      </c>
      <c r="U53" s="66">
        <v>22.4</v>
      </c>
      <c r="V53" s="66">
        <v>22.1</v>
      </c>
      <c r="W53" s="66">
        <v>22.1</v>
      </c>
      <c r="X53" s="66">
        <v>22.1</v>
      </c>
      <c r="Y53" s="66">
        <v>22.1</v>
      </c>
      <c r="Z53" s="66">
        <v>22.1</v>
      </c>
      <c r="AA53" s="66">
        <v>22.1</v>
      </c>
      <c r="AB53" s="66">
        <v>22.1</v>
      </c>
      <c r="AC53" s="66">
        <v>22.1</v>
      </c>
      <c r="AD53" s="66">
        <v>22.1</v>
      </c>
      <c r="AE53" s="66"/>
      <c r="AF53" s="66"/>
      <c r="AG53" s="67">
        <v>22.1</v>
      </c>
      <c r="AH53" s="47">
        <f t="shared" si="2"/>
        <v>22.5</v>
      </c>
      <c r="AI53" s="48">
        <f t="shared" si="3"/>
        <v>22.1</v>
      </c>
      <c r="AK53" s="74"/>
    </row>
    <row r="54" spans="1:41" ht="15.75" thickBot="1" x14ac:dyDescent="0.3">
      <c r="A54" s="68" t="s">
        <v>70</v>
      </c>
      <c r="B54" s="59">
        <f t="shared" ref="B54:C54" si="8">SUM(B51:B53)</f>
        <v>533.4</v>
      </c>
      <c r="C54" s="59">
        <f t="shared" si="8"/>
        <v>533.4</v>
      </c>
      <c r="D54" s="59">
        <f t="shared" ref="D54" si="9">SUM(D51:D53)</f>
        <v>533.5</v>
      </c>
      <c r="E54" s="59">
        <f t="shared" ref="E54:AG54" si="10">SUM(E51:E53)</f>
        <v>533.5</v>
      </c>
      <c r="F54" s="59">
        <f t="shared" si="10"/>
        <v>77.400000000000006</v>
      </c>
      <c r="G54" s="59">
        <f t="shared" si="10"/>
        <v>457.4</v>
      </c>
      <c r="H54" s="59">
        <f t="shared" si="10"/>
        <v>457.4</v>
      </c>
      <c r="I54" s="59">
        <f t="shared" si="10"/>
        <v>457.4</v>
      </c>
      <c r="J54" s="59">
        <f t="shared" si="10"/>
        <v>533.4</v>
      </c>
      <c r="K54" s="59">
        <f t="shared" si="10"/>
        <v>533.4</v>
      </c>
      <c r="L54" s="59">
        <f t="shared" si="10"/>
        <v>533.4</v>
      </c>
      <c r="M54" s="59">
        <f t="shared" si="10"/>
        <v>533.4</v>
      </c>
      <c r="N54" s="59">
        <f t="shared" si="10"/>
        <v>533.4</v>
      </c>
      <c r="O54" s="59">
        <f t="shared" si="10"/>
        <v>533.4</v>
      </c>
      <c r="P54" s="59">
        <f t="shared" ref="P54" si="11">SUM(P51:P53)</f>
        <v>533.4</v>
      </c>
      <c r="Q54" s="59">
        <f t="shared" si="10"/>
        <v>533.4</v>
      </c>
      <c r="R54" s="59">
        <f t="shared" si="10"/>
        <v>533.4</v>
      </c>
      <c r="S54" s="59">
        <f t="shared" si="10"/>
        <v>538.4</v>
      </c>
      <c r="T54" s="59">
        <f t="shared" si="10"/>
        <v>538.4</v>
      </c>
      <c r="U54" s="59">
        <f t="shared" si="10"/>
        <v>538.4</v>
      </c>
      <c r="V54" s="59">
        <f t="shared" si="10"/>
        <v>538.1</v>
      </c>
      <c r="W54" s="59">
        <f t="shared" si="10"/>
        <v>538.1</v>
      </c>
      <c r="X54" s="59">
        <f t="shared" ref="X54" si="12">SUM(X51:X53)</f>
        <v>538.1</v>
      </c>
      <c r="Y54" s="59">
        <f t="shared" si="10"/>
        <v>538.1</v>
      </c>
      <c r="Z54" s="59">
        <f t="shared" si="10"/>
        <v>538.1</v>
      </c>
      <c r="AA54" s="59">
        <f t="shared" si="10"/>
        <v>533.1</v>
      </c>
      <c r="AB54" s="59">
        <f t="shared" si="10"/>
        <v>533.1</v>
      </c>
      <c r="AC54" s="59">
        <f t="shared" si="10"/>
        <v>533.1</v>
      </c>
      <c r="AD54" s="59">
        <f t="shared" si="10"/>
        <v>533.1</v>
      </c>
      <c r="AE54" s="59">
        <f t="shared" si="10"/>
        <v>0</v>
      </c>
      <c r="AF54" s="59">
        <f t="shared" si="10"/>
        <v>0</v>
      </c>
      <c r="AG54" s="60">
        <f t="shared" si="10"/>
        <v>538.1</v>
      </c>
      <c r="AH54" s="47">
        <f t="shared" si="2"/>
        <v>538.4</v>
      </c>
      <c r="AI54" s="48">
        <f t="shared" si="3"/>
        <v>0</v>
      </c>
      <c r="AK54" s="74"/>
    </row>
    <row r="55" spans="1:41" x14ac:dyDescent="0.25">
      <c r="A55" s="44" t="s">
        <v>71</v>
      </c>
      <c r="B55" s="45">
        <v>94.9</v>
      </c>
      <c r="C55" s="45">
        <v>94.7</v>
      </c>
      <c r="D55" s="45">
        <v>94.8</v>
      </c>
      <c r="E55" s="45">
        <v>94.6</v>
      </c>
      <c r="F55" s="45">
        <v>94.6</v>
      </c>
      <c r="G55" s="45">
        <v>94.4</v>
      </c>
      <c r="H55" s="45">
        <v>94.4</v>
      </c>
      <c r="I55" s="45">
        <v>94.4</v>
      </c>
      <c r="J55" s="45">
        <v>94.4</v>
      </c>
      <c r="K55" s="45">
        <v>94.4</v>
      </c>
      <c r="L55" s="45">
        <v>94.4</v>
      </c>
      <c r="M55" s="45">
        <v>94.4</v>
      </c>
      <c r="N55" s="45">
        <v>94.1</v>
      </c>
      <c r="O55" s="45">
        <v>94.1</v>
      </c>
      <c r="P55" s="45">
        <v>94.3</v>
      </c>
      <c r="Q55" s="45">
        <v>94.3</v>
      </c>
      <c r="R55" s="45">
        <v>94.3</v>
      </c>
      <c r="S55" s="45">
        <v>94.3</v>
      </c>
      <c r="T55" s="45">
        <v>94.8</v>
      </c>
      <c r="U55" s="45">
        <v>94.8</v>
      </c>
      <c r="V55" s="45">
        <v>94.5</v>
      </c>
      <c r="W55" s="45">
        <v>94.7</v>
      </c>
      <c r="X55" s="45">
        <v>94.7</v>
      </c>
      <c r="Y55" s="45">
        <v>94.7</v>
      </c>
      <c r="Z55" s="45">
        <v>94.7</v>
      </c>
      <c r="AA55" s="45">
        <v>94.7</v>
      </c>
      <c r="AB55" s="45">
        <v>94.7</v>
      </c>
      <c r="AC55" s="45">
        <v>94.7</v>
      </c>
      <c r="AD55" s="45">
        <v>94.7</v>
      </c>
      <c r="AE55" s="45"/>
      <c r="AF55" s="45"/>
      <c r="AG55" s="51">
        <v>144</v>
      </c>
      <c r="AH55" s="47">
        <f t="shared" si="2"/>
        <v>94.9</v>
      </c>
      <c r="AI55" s="48">
        <f t="shared" si="3"/>
        <v>94.1</v>
      </c>
      <c r="AK55" s="74"/>
    </row>
    <row r="56" spans="1:41" x14ac:dyDescent="0.25">
      <c r="A56" s="53" t="s">
        <v>72</v>
      </c>
      <c r="B56" s="45">
        <v>70</v>
      </c>
      <c r="C56" s="45">
        <v>69.5</v>
      </c>
      <c r="D56" s="45">
        <v>71.099999999999994</v>
      </c>
      <c r="E56" s="45">
        <v>71.5</v>
      </c>
      <c r="F56" s="64">
        <v>71.5</v>
      </c>
      <c r="G56" s="64">
        <v>72.2</v>
      </c>
      <c r="H56" s="64">
        <v>72.2</v>
      </c>
      <c r="I56" s="64">
        <v>72.2</v>
      </c>
      <c r="J56" s="64">
        <v>72.2</v>
      </c>
      <c r="K56" s="64">
        <v>72.2</v>
      </c>
      <c r="L56" s="64">
        <v>72.2</v>
      </c>
      <c r="M56" s="64">
        <v>72.2</v>
      </c>
      <c r="N56" s="64">
        <v>69.7</v>
      </c>
      <c r="O56" s="64">
        <v>69.7</v>
      </c>
      <c r="P56" s="64">
        <v>69</v>
      </c>
      <c r="Q56" s="64">
        <v>69</v>
      </c>
      <c r="R56" s="64">
        <v>69</v>
      </c>
      <c r="S56" s="64">
        <v>69</v>
      </c>
      <c r="T56" s="45">
        <v>72.3</v>
      </c>
      <c r="U56" s="45">
        <v>72.3</v>
      </c>
      <c r="V56" s="45">
        <v>72.099999999999994</v>
      </c>
      <c r="W56" s="45">
        <v>71.900000000000006</v>
      </c>
      <c r="X56" s="45">
        <v>71.900000000000006</v>
      </c>
      <c r="Y56" s="45">
        <v>71.900000000000006</v>
      </c>
      <c r="Z56" s="45">
        <v>71.900000000000006</v>
      </c>
      <c r="AA56" s="45">
        <v>71.900000000000006</v>
      </c>
      <c r="AB56" s="45">
        <v>71.900000000000006</v>
      </c>
      <c r="AC56" s="45">
        <v>71.900000000000006</v>
      </c>
      <c r="AD56" s="45">
        <v>71.900000000000006</v>
      </c>
      <c r="AE56" s="45"/>
      <c r="AF56" s="45"/>
      <c r="AG56" s="54">
        <v>70</v>
      </c>
      <c r="AH56" s="47">
        <f t="shared" si="2"/>
        <v>72.3</v>
      </c>
      <c r="AI56" s="48">
        <f t="shared" si="3"/>
        <v>69</v>
      </c>
      <c r="AK56" s="74"/>
    </row>
    <row r="57" spans="1:41" x14ac:dyDescent="0.25">
      <c r="A57" s="53" t="s">
        <v>73</v>
      </c>
      <c r="B57" s="45">
        <v>63.6</v>
      </c>
      <c r="C57" s="45">
        <v>63.5</v>
      </c>
      <c r="D57" s="45">
        <v>64</v>
      </c>
      <c r="E57" s="45">
        <v>61.4</v>
      </c>
      <c r="F57" s="64">
        <v>62.1</v>
      </c>
      <c r="G57" s="64">
        <v>62.6</v>
      </c>
      <c r="H57" s="64">
        <v>62.6</v>
      </c>
      <c r="I57" s="64">
        <v>62</v>
      </c>
      <c r="J57" s="64">
        <v>62</v>
      </c>
      <c r="K57" s="64">
        <v>63</v>
      </c>
      <c r="L57" s="64">
        <v>63</v>
      </c>
      <c r="M57" s="64">
        <v>63</v>
      </c>
      <c r="N57" s="64">
        <v>63.4</v>
      </c>
      <c r="O57" s="64">
        <v>63.4</v>
      </c>
      <c r="P57" s="64">
        <v>63.5</v>
      </c>
      <c r="Q57" s="64">
        <v>63.5</v>
      </c>
      <c r="R57" s="64">
        <v>63.5</v>
      </c>
      <c r="S57" s="64">
        <v>63.5</v>
      </c>
      <c r="T57" s="64">
        <v>63.5</v>
      </c>
      <c r="U57" s="64">
        <v>63.5</v>
      </c>
      <c r="V57" s="45">
        <v>63.5</v>
      </c>
      <c r="W57" s="45">
        <v>63.4</v>
      </c>
      <c r="X57" s="45">
        <v>63.4</v>
      </c>
      <c r="Y57" s="45">
        <v>63.4</v>
      </c>
      <c r="Z57" s="45">
        <v>63.4</v>
      </c>
      <c r="AA57" s="45">
        <v>63.4</v>
      </c>
      <c r="AB57" s="45">
        <v>63.4</v>
      </c>
      <c r="AC57" s="45">
        <v>63.4</v>
      </c>
      <c r="AD57" s="45">
        <v>63.4</v>
      </c>
      <c r="AE57" s="45"/>
      <c r="AF57" s="45"/>
      <c r="AG57" s="54">
        <v>69</v>
      </c>
      <c r="AH57" s="47">
        <f t="shared" si="2"/>
        <v>64</v>
      </c>
      <c r="AI57" s="48">
        <f t="shared" si="3"/>
        <v>61.4</v>
      </c>
      <c r="AK57" s="74"/>
    </row>
    <row r="58" spans="1:41" x14ac:dyDescent="0.25">
      <c r="A58" s="53" t="s">
        <v>74</v>
      </c>
      <c r="B58" s="45">
        <v>61.2</v>
      </c>
      <c r="C58" s="45">
        <v>60.7</v>
      </c>
      <c r="D58" s="45">
        <v>59.5</v>
      </c>
      <c r="E58" s="45">
        <v>45.9</v>
      </c>
      <c r="F58" s="56">
        <v>62</v>
      </c>
      <c r="G58" s="56">
        <v>62</v>
      </c>
      <c r="H58" s="56">
        <v>62</v>
      </c>
      <c r="I58" s="56">
        <v>60</v>
      </c>
      <c r="J58" s="56">
        <v>60</v>
      </c>
      <c r="K58" s="56">
        <v>0</v>
      </c>
      <c r="L58" s="56">
        <v>43.3</v>
      </c>
      <c r="M58" s="56">
        <v>60</v>
      </c>
      <c r="N58" s="56">
        <v>60</v>
      </c>
      <c r="O58" s="56">
        <v>60</v>
      </c>
      <c r="P58" s="64">
        <v>60</v>
      </c>
      <c r="Q58" s="64">
        <v>60</v>
      </c>
      <c r="R58" s="64">
        <v>60</v>
      </c>
      <c r="S58" s="64">
        <v>60</v>
      </c>
      <c r="T58" s="64">
        <v>60</v>
      </c>
      <c r="U58" s="64">
        <v>60</v>
      </c>
      <c r="V58" s="45">
        <v>60</v>
      </c>
      <c r="W58" s="45">
        <v>60.4</v>
      </c>
      <c r="X58" s="45">
        <v>60.4</v>
      </c>
      <c r="Y58" s="45">
        <v>60.4</v>
      </c>
      <c r="Z58" s="45">
        <v>60.4</v>
      </c>
      <c r="AA58" s="45">
        <v>60.4</v>
      </c>
      <c r="AB58" s="45">
        <v>60.4</v>
      </c>
      <c r="AC58" s="45">
        <v>60.4</v>
      </c>
      <c r="AD58" s="45">
        <v>60.4</v>
      </c>
      <c r="AE58" s="45"/>
      <c r="AF58" s="45"/>
      <c r="AG58" s="54">
        <v>60</v>
      </c>
      <c r="AH58" s="47">
        <f t="shared" si="2"/>
        <v>62</v>
      </c>
      <c r="AI58" s="48">
        <f t="shared" si="3"/>
        <v>0</v>
      </c>
      <c r="AK58" s="74"/>
    </row>
    <row r="59" spans="1:41" x14ac:dyDescent="0.25">
      <c r="A59" s="53" t="s">
        <v>75</v>
      </c>
      <c r="B59" s="45">
        <v>30</v>
      </c>
      <c r="C59" s="45">
        <v>30</v>
      </c>
      <c r="D59" s="45">
        <v>30</v>
      </c>
      <c r="E59" s="45">
        <v>30</v>
      </c>
      <c r="F59" s="56">
        <v>30</v>
      </c>
      <c r="G59" s="56">
        <v>23</v>
      </c>
      <c r="H59" s="56">
        <v>23</v>
      </c>
      <c r="I59" s="56">
        <v>30</v>
      </c>
      <c r="J59" s="56">
        <v>30</v>
      </c>
      <c r="K59" s="56">
        <v>30</v>
      </c>
      <c r="L59" s="56">
        <v>30</v>
      </c>
      <c r="M59" s="56">
        <v>30</v>
      </c>
      <c r="N59" s="56">
        <v>30</v>
      </c>
      <c r="O59" s="56">
        <v>30</v>
      </c>
      <c r="P59" s="64">
        <v>30</v>
      </c>
      <c r="Q59" s="64">
        <v>30</v>
      </c>
      <c r="R59" s="64">
        <v>30</v>
      </c>
      <c r="S59" s="64">
        <v>30</v>
      </c>
      <c r="T59" s="64">
        <v>30</v>
      </c>
      <c r="U59" s="64">
        <v>30</v>
      </c>
      <c r="V59" s="45">
        <v>0</v>
      </c>
      <c r="W59" s="45">
        <v>0</v>
      </c>
      <c r="X59" s="45">
        <v>0</v>
      </c>
      <c r="Y59" s="45">
        <v>0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/>
      <c r="AF59" s="45"/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45">
        <v>0</v>
      </c>
      <c r="C60" s="45">
        <v>0</v>
      </c>
      <c r="D60" s="45">
        <v>0</v>
      </c>
      <c r="E60" s="45">
        <v>0</v>
      </c>
      <c r="F60" s="64">
        <v>0</v>
      </c>
      <c r="G60" s="64">
        <v>0</v>
      </c>
      <c r="H60" s="64">
        <v>0</v>
      </c>
      <c r="I60" s="64">
        <v>0.4</v>
      </c>
      <c r="J60" s="64">
        <v>0.4</v>
      </c>
      <c r="K60" s="64">
        <v>0.9</v>
      </c>
      <c r="L60" s="64">
        <v>0.9</v>
      </c>
      <c r="M60" s="64">
        <v>3</v>
      </c>
      <c r="N60" s="64">
        <v>3.6</v>
      </c>
      <c r="O60" s="64">
        <v>3.9</v>
      </c>
      <c r="P60" s="64">
        <v>4.4000000000000004</v>
      </c>
      <c r="Q60" s="64">
        <v>4.4000000000000004</v>
      </c>
      <c r="R60" s="64">
        <v>4.4000000000000004</v>
      </c>
      <c r="S60" s="64">
        <v>8.1999999999999993</v>
      </c>
      <c r="T60" s="64">
        <v>6.8</v>
      </c>
      <c r="U60" s="64">
        <v>6.8</v>
      </c>
      <c r="V60" s="45">
        <v>4.0999999999999996</v>
      </c>
      <c r="W60" s="45">
        <v>1.2</v>
      </c>
      <c r="X60" s="45">
        <v>1.2</v>
      </c>
      <c r="Y60" s="45">
        <v>1.2</v>
      </c>
      <c r="Z60" s="45">
        <v>1.2</v>
      </c>
      <c r="AA60" s="45">
        <v>1.2</v>
      </c>
      <c r="AB60" s="45">
        <v>0</v>
      </c>
      <c r="AC60" s="45">
        <v>0</v>
      </c>
      <c r="AD60" s="45">
        <v>0</v>
      </c>
      <c r="AE60" s="45"/>
      <c r="AF60" s="45"/>
      <c r="AG60" s="54">
        <v>25</v>
      </c>
      <c r="AH60" s="47">
        <f t="shared" si="2"/>
        <v>8.1999999999999993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16</v>
      </c>
      <c r="C61" s="64">
        <v>16</v>
      </c>
      <c r="D61" s="64">
        <v>16</v>
      </c>
      <c r="E61" s="64">
        <v>16</v>
      </c>
      <c r="F61" s="64">
        <v>16</v>
      </c>
      <c r="G61" s="64">
        <v>16</v>
      </c>
      <c r="H61" s="64">
        <v>16</v>
      </c>
      <c r="I61" s="64">
        <v>16</v>
      </c>
      <c r="J61" s="64">
        <v>16</v>
      </c>
      <c r="K61" s="64">
        <v>16</v>
      </c>
      <c r="L61" s="64">
        <v>16</v>
      </c>
      <c r="M61" s="64">
        <v>16</v>
      </c>
      <c r="N61" s="64">
        <v>16</v>
      </c>
      <c r="O61" s="64">
        <v>16</v>
      </c>
      <c r="P61" s="64">
        <v>14</v>
      </c>
      <c r="Q61" s="64">
        <v>14</v>
      </c>
      <c r="R61" s="64">
        <v>14</v>
      </c>
      <c r="S61" s="64">
        <v>14</v>
      </c>
      <c r="T61" s="64">
        <v>14</v>
      </c>
      <c r="U61" s="64">
        <v>14</v>
      </c>
      <c r="V61" s="64">
        <v>14</v>
      </c>
      <c r="W61" s="64">
        <v>14</v>
      </c>
      <c r="X61" s="64">
        <v>14</v>
      </c>
      <c r="Y61" s="64">
        <v>14</v>
      </c>
      <c r="Z61" s="64">
        <v>14</v>
      </c>
      <c r="AA61" s="64">
        <v>14</v>
      </c>
      <c r="AB61" s="64">
        <v>14</v>
      </c>
      <c r="AC61" s="64">
        <v>14</v>
      </c>
      <c r="AD61" s="64">
        <v>14</v>
      </c>
      <c r="AE61" s="64"/>
      <c r="AF61" s="64"/>
      <c r="AG61" s="54">
        <v>24</v>
      </c>
      <c r="AH61" s="47">
        <f t="shared" si="2"/>
        <v>16</v>
      </c>
      <c r="AI61" s="48">
        <f t="shared" si="3"/>
        <v>14</v>
      </c>
      <c r="AK61" s="74"/>
    </row>
    <row r="62" spans="1:41" x14ac:dyDescent="0.25">
      <c r="A62" s="53" t="s">
        <v>78</v>
      </c>
      <c r="B62" s="64">
        <v>3</v>
      </c>
      <c r="C62" s="64">
        <v>3</v>
      </c>
      <c r="D62" s="64">
        <v>3</v>
      </c>
      <c r="E62" s="64">
        <v>3</v>
      </c>
      <c r="F62" s="64">
        <v>3</v>
      </c>
      <c r="G62" s="64">
        <v>3</v>
      </c>
      <c r="H62" s="64">
        <v>3</v>
      </c>
      <c r="I62" s="64">
        <v>3</v>
      </c>
      <c r="J62" s="64">
        <v>3</v>
      </c>
      <c r="K62" s="64">
        <v>3</v>
      </c>
      <c r="L62" s="64">
        <v>3</v>
      </c>
      <c r="M62" s="64">
        <v>3</v>
      </c>
      <c r="N62" s="64">
        <v>3</v>
      </c>
      <c r="O62" s="64">
        <v>3</v>
      </c>
      <c r="P62" s="64">
        <v>3</v>
      </c>
      <c r="Q62" s="64">
        <v>3</v>
      </c>
      <c r="R62" s="64">
        <v>3</v>
      </c>
      <c r="S62" s="64">
        <v>3</v>
      </c>
      <c r="T62" s="64">
        <v>3</v>
      </c>
      <c r="U62" s="64">
        <v>3</v>
      </c>
      <c r="V62" s="64">
        <v>3</v>
      </c>
      <c r="W62" s="64">
        <v>3</v>
      </c>
      <c r="X62" s="64">
        <v>3</v>
      </c>
      <c r="Y62" s="64">
        <v>3</v>
      </c>
      <c r="Z62" s="64">
        <v>3</v>
      </c>
      <c r="AA62" s="64">
        <v>3</v>
      </c>
      <c r="AB62" s="64">
        <v>3</v>
      </c>
      <c r="AC62" s="64">
        <v>3</v>
      </c>
      <c r="AD62" s="64">
        <v>3</v>
      </c>
      <c r="AE62" s="64"/>
      <c r="AF62" s="64"/>
      <c r="AG62" s="54">
        <v>15</v>
      </c>
      <c r="AH62" s="47">
        <f t="shared" si="2"/>
        <v>3</v>
      </c>
      <c r="AI62" s="48">
        <f t="shared" si="3"/>
        <v>3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13.2</v>
      </c>
      <c r="C63" s="64">
        <v>12.4</v>
      </c>
      <c r="D63" s="64">
        <v>12.1</v>
      </c>
      <c r="E63" s="64">
        <v>12.1</v>
      </c>
      <c r="F63" s="64">
        <v>12.7</v>
      </c>
      <c r="G63" s="64">
        <v>12.7</v>
      </c>
      <c r="H63" s="64">
        <v>12.7</v>
      </c>
      <c r="I63" s="64">
        <v>12.7</v>
      </c>
      <c r="J63" s="64">
        <v>12.7</v>
      </c>
      <c r="K63" s="64">
        <v>12.7</v>
      </c>
      <c r="L63" s="64">
        <v>12.7</v>
      </c>
      <c r="M63" s="64">
        <v>12.7</v>
      </c>
      <c r="N63" s="64">
        <v>12.7</v>
      </c>
      <c r="O63" s="64">
        <v>12.7</v>
      </c>
      <c r="P63" s="64">
        <v>12.7</v>
      </c>
      <c r="Q63" s="64">
        <v>12.7</v>
      </c>
      <c r="R63" s="64">
        <v>12.7</v>
      </c>
      <c r="S63" s="64">
        <v>9.1</v>
      </c>
      <c r="T63" s="64">
        <v>9.1</v>
      </c>
      <c r="U63" s="64">
        <v>9.1</v>
      </c>
      <c r="V63" s="64">
        <v>9.1</v>
      </c>
      <c r="W63" s="64">
        <v>9.1</v>
      </c>
      <c r="X63" s="64">
        <v>9.1</v>
      </c>
      <c r="Y63" s="64">
        <v>9.1</v>
      </c>
      <c r="Z63" s="64">
        <v>9.1</v>
      </c>
      <c r="AA63" s="64">
        <v>9.1</v>
      </c>
      <c r="AB63" s="64">
        <v>9.1</v>
      </c>
      <c r="AC63" s="64">
        <v>9.1</v>
      </c>
      <c r="AD63" s="64">
        <v>9.1</v>
      </c>
      <c r="AE63" s="64"/>
      <c r="AF63" s="64"/>
      <c r="AG63" s="54">
        <v>14.1</v>
      </c>
      <c r="AH63" s="47">
        <f t="shared" si="2"/>
        <v>13.2</v>
      </c>
      <c r="AI63" s="48">
        <f t="shared" si="3"/>
        <v>9.1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7.1</v>
      </c>
      <c r="C64" s="64">
        <v>7</v>
      </c>
      <c r="D64" s="64">
        <v>1.9</v>
      </c>
      <c r="E64" s="64">
        <v>7.1</v>
      </c>
      <c r="F64" s="64">
        <v>7.1</v>
      </c>
      <c r="G64" s="64">
        <v>7.1</v>
      </c>
      <c r="H64" s="64">
        <v>7.1</v>
      </c>
      <c r="I64" s="64">
        <v>7.1</v>
      </c>
      <c r="J64" s="64">
        <v>7.1</v>
      </c>
      <c r="K64" s="64">
        <v>7.1</v>
      </c>
      <c r="L64" s="64">
        <v>7.1</v>
      </c>
      <c r="M64" s="64">
        <v>7.1</v>
      </c>
      <c r="N64" s="64">
        <v>7.1</v>
      </c>
      <c r="O64" s="64">
        <v>7.1</v>
      </c>
      <c r="P64" s="64">
        <v>7.1</v>
      </c>
      <c r="Q64" s="64">
        <v>7.1</v>
      </c>
      <c r="R64" s="64">
        <v>7.1</v>
      </c>
      <c r="S64" s="64">
        <v>7.1</v>
      </c>
      <c r="T64" s="64">
        <v>7.1</v>
      </c>
      <c r="U64" s="64">
        <v>7.1</v>
      </c>
      <c r="V64" s="64">
        <v>7.1</v>
      </c>
      <c r="W64" s="64">
        <v>7.1</v>
      </c>
      <c r="X64" s="64">
        <v>7.1</v>
      </c>
      <c r="Y64" s="64">
        <v>7.1</v>
      </c>
      <c r="Z64" s="64">
        <v>7.1</v>
      </c>
      <c r="AA64" s="64">
        <v>7.1</v>
      </c>
      <c r="AB64" s="64">
        <v>7.1</v>
      </c>
      <c r="AC64" s="64">
        <v>7.1</v>
      </c>
      <c r="AD64" s="64">
        <v>7.1</v>
      </c>
      <c r="AE64" s="64"/>
      <c r="AF64" s="64"/>
      <c r="AG64" s="54">
        <v>14</v>
      </c>
      <c r="AH64" s="47">
        <f t="shared" si="2"/>
        <v>7.1</v>
      </c>
      <c r="AI64" s="48">
        <f t="shared" si="3"/>
        <v>1.9</v>
      </c>
      <c r="AK64" s="74"/>
    </row>
    <row r="65" spans="1:40" x14ac:dyDescent="0.25">
      <c r="A65" s="53" t="s">
        <v>81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/>
      <c r="AF65" s="64"/>
      <c r="AG65" s="54">
        <v>10.050000000000001</v>
      </c>
      <c r="AH65" s="47">
        <f t="shared" si="2"/>
        <v>9.5</v>
      </c>
      <c r="AI65" s="48">
        <f t="shared" si="3"/>
        <v>9.5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/>
      <c r="AF66" s="64"/>
      <c r="AG66" s="54">
        <v>6.2</v>
      </c>
      <c r="AH66" s="47">
        <f t="shared" si="2"/>
        <v>6.2</v>
      </c>
      <c r="AI66" s="48">
        <f t="shared" si="3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C68" si="13">SUM(B55:B67)</f>
        <v>378.24</v>
      </c>
      <c r="C68" s="59">
        <f t="shared" si="13"/>
        <v>376.03999999999996</v>
      </c>
      <c r="D68" s="59">
        <f t="shared" ref="D68" si="14">SUM(D55:D67)</f>
        <v>371.64</v>
      </c>
      <c r="E68" s="59">
        <f t="shared" ref="E68:AG68" si="15">SUM(E55:E67)</f>
        <v>360.84000000000003</v>
      </c>
      <c r="F68" s="59">
        <f t="shared" si="15"/>
        <v>378.24</v>
      </c>
      <c r="G68" s="59">
        <f t="shared" si="15"/>
        <v>372.24000000000007</v>
      </c>
      <c r="H68" s="59">
        <f t="shared" si="15"/>
        <v>372.24000000000007</v>
      </c>
      <c r="I68" s="59">
        <f t="shared" si="15"/>
        <v>377.04</v>
      </c>
      <c r="J68" s="59">
        <f t="shared" si="15"/>
        <v>377.04</v>
      </c>
      <c r="K68" s="59">
        <f t="shared" si="15"/>
        <v>318.54000000000002</v>
      </c>
      <c r="L68" s="59">
        <f t="shared" si="15"/>
        <v>361.84000000000003</v>
      </c>
      <c r="M68" s="59">
        <f t="shared" si="15"/>
        <v>380.64000000000004</v>
      </c>
      <c r="N68" s="59">
        <f t="shared" si="15"/>
        <v>378.84000000000009</v>
      </c>
      <c r="O68" s="59">
        <f t="shared" si="15"/>
        <v>379.14000000000004</v>
      </c>
      <c r="P68" s="59">
        <f t="shared" si="15"/>
        <v>377.24</v>
      </c>
      <c r="Q68" s="59">
        <f t="shared" si="15"/>
        <v>377.24</v>
      </c>
      <c r="R68" s="59">
        <f t="shared" si="15"/>
        <v>377.24</v>
      </c>
      <c r="S68" s="59">
        <f t="shared" si="15"/>
        <v>377.44000000000005</v>
      </c>
      <c r="T68" s="59">
        <f t="shared" si="15"/>
        <v>379.84000000000009</v>
      </c>
      <c r="U68" s="59">
        <f t="shared" si="15"/>
        <v>379.84000000000009</v>
      </c>
      <c r="V68" s="59">
        <f t="shared" si="15"/>
        <v>346.6400000000001</v>
      </c>
      <c r="W68" s="59">
        <f t="shared" si="15"/>
        <v>344.04000000000008</v>
      </c>
      <c r="X68" s="59">
        <f t="shared" si="15"/>
        <v>344.04000000000008</v>
      </c>
      <c r="Y68" s="59">
        <f t="shared" si="15"/>
        <v>344.04000000000008</v>
      </c>
      <c r="Z68" s="59">
        <f t="shared" si="15"/>
        <v>374.04000000000008</v>
      </c>
      <c r="AA68" s="59">
        <f t="shared" si="15"/>
        <v>374.04000000000008</v>
      </c>
      <c r="AB68" s="59">
        <f t="shared" si="15"/>
        <v>372.84000000000009</v>
      </c>
      <c r="AC68" s="59">
        <f t="shared" si="15"/>
        <v>372.84000000000009</v>
      </c>
      <c r="AD68" s="59">
        <f t="shared" si="15"/>
        <v>372.84000000000009</v>
      </c>
      <c r="AE68" s="59">
        <f t="shared" si="15"/>
        <v>3.54</v>
      </c>
      <c r="AF68" s="59">
        <f t="shared" si="15"/>
        <v>3.54</v>
      </c>
      <c r="AG68" s="60">
        <f t="shared" si="15"/>
        <v>489.91</v>
      </c>
      <c r="AH68" s="47">
        <f t="shared" si="2"/>
        <v>380.64000000000004</v>
      </c>
      <c r="AI68" s="48">
        <f t="shared" si="3"/>
        <v>3.54</v>
      </c>
      <c r="AK68" s="74"/>
    </row>
    <row r="69" spans="1:40" x14ac:dyDescent="0.25">
      <c r="A69" s="44" t="s">
        <v>85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25</v>
      </c>
      <c r="AB69" s="45">
        <v>9.4</v>
      </c>
      <c r="AC69" s="45">
        <v>10.3</v>
      </c>
      <c r="AD69" s="45">
        <v>0</v>
      </c>
      <c r="AE69" s="45"/>
      <c r="AF69" s="45"/>
      <c r="AG69" s="51">
        <v>60</v>
      </c>
      <c r="AH69" s="47">
        <f t="shared" si="2"/>
        <v>25</v>
      </c>
      <c r="AI69" s="48">
        <f t="shared" si="3"/>
        <v>0</v>
      </c>
      <c r="AK69" s="74"/>
    </row>
    <row r="70" spans="1:40" x14ac:dyDescent="0.25">
      <c r="A70" s="53" t="s">
        <v>86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7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7.8</v>
      </c>
      <c r="AC70" s="64">
        <v>3.9</v>
      </c>
      <c r="AD70" s="64">
        <v>3.8</v>
      </c>
      <c r="AE70" s="64"/>
      <c r="AF70" s="64"/>
      <c r="AG70" s="54">
        <v>32</v>
      </c>
      <c r="AH70" s="47">
        <f t="shared" si="2"/>
        <v>7.8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66">
        <v>0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2.6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2.9</v>
      </c>
      <c r="AC71" s="66">
        <v>1.4</v>
      </c>
      <c r="AD71" s="66">
        <v>1.4</v>
      </c>
      <c r="AE71" s="66"/>
      <c r="AF71" s="66"/>
      <c r="AG71" s="67">
        <v>14</v>
      </c>
      <c r="AH71" s="47">
        <f t="shared" si="2"/>
        <v>2.9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 t="shared" ref="B72:C72" si="16">B69+B70+B71</f>
        <v>0</v>
      </c>
      <c r="C72" s="59">
        <f t="shared" si="16"/>
        <v>0</v>
      </c>
      <c r="D72" s="59">
        <f t="shared" ref="D72" si="17">D69+D70+D71</f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F72" si="18">M69+M70+M71</f>
        <v>0</v>
      </c>
      <c r="N72" s="59">
        <f t="shared" si="18"/>
        <v>0</v>
      </c>
      <c r="O72" s="59">
        <f t="shared" si="18"/>
        <v>0</v>
      </c>
      <c r="P72" s="59">
        <f t="shared" si="18"/>
        <v>0</v>
      </c>
      <c r="Q72" s="59">
        <f t="shared" si="18"/>
        <v>0</v>
      </c>
      <c r="R72" s="59">
        <f t="shared" si="18"/>
        <v>0</v>
      </c>
      <c r="S72" s="59">
        <f t="shared" si="18"/>
        <v>0</v>
      </c>
      <c r="T72" s="59">
        <f t="shared" si="18"/>
        <v>0</v>
      </c>
      <c r="U72" s="59">
        <f t="shared" si="18"/>
        <v>0</v>
      </c>
      <c r="V72" s="59">
        <f t="shared" si="18"/>
        <v>0</v>
      </c>
      <c r="W72" s="59">
        <f t="shared" si="18"/>
        <v>0</v>
      </c>
      <c r="X72" s="59">
        <f t="shared" si="18"/>
        <v>0</v>
      </c>
      <c r="Y72" s="59">
        <f t="shared" si="18"/>
        <v>0</v>
      </c>
      <c r="Z72" s="59">
        <f t="shared" si="18"/>
        <v>0</v>
      </c>
      <c r="AA72" s="59">
        <f t="shared" si="18"/>
        <v>25</v>
      </c>
      <c r="AB72" s="59">
        <f t="shared" si="18"/>
        <v>20.099999999999998</v>
      </c>
      <c r="AC72" s="59">
        <f t="shared" si="18"/>
        <v>15.600000000000001</v>
      </c>
      <c r="AD72" s="59">
        <f t="shared" si="18"/>
        <v>5.1999999999999993</v>
      </c>
      <c r="AE72" s="59">
        <f t="shared" si="18"/>
        <v>0</v>
      </c>
      <c r="AF72" s="59">
        <f t="shared" si="18"/>
        <v>0</v>
      </c>
      <c r="AG72" s="60">
        <f>SUM(AG69:AG71)</f>
        <v>106</v>
      </c>
      <c r="AH72" s="47">
        <f t="shared" si="2"/>
        <v>25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19.100000000000001</v>
      </c>
      <c r="C73" s="45">
        <v>18.899999999999999</v>
      </c>
      <c r="D73" s="45">
        <v>8.9</v>
      </c>
      <c r="E73" s="45">
        <v>-6.4</v>
      </c>
      <c r="F73" s="45">
        <v>-7.9</v>
      </c>
      <c r="G73" s="45">
        <v>-14</v>
      </c>
      <c r="H73" s="45">
        <v>-17</v>
      </c>
      <c r="I73" s="45">
        <v>-4.8</v>
      </c>
      <c r="J73" s="45">
        <v>-4.3</v>
      </c>
      <c r="K73" s="45">
        <v>0</v>
      </c>
      <c r="L73" s="45">
        <v>-1.2</v>
      </c>
      <c r="M73" s="45">
        <v>6.3</v>
      </c>
      <c r="N73" s="45">
        <v>5.85</v>
      </c>
      <c r="O73" s="45">
        <v>-4.2</v>
      </c>
      <c r="P73" s="45">
        <v>2</v>
      </c>
      <c r="Q73" s="45">
        <v>-3.8</v>
      </c>
      <c r="R73" s="45">
        <v>-6</v>
      </c>
      <c r="S73" s="45">
        <v>-6</v>
      </c>
      <c r="T73" s="45">
        <v>-3.3</v>
      </c>
      <c r="U73" s="45">
        <v>-17</v>
      </c>
      <c r="V73" s="45">
        <v>14.4</v>
      </c>
      <c r="W73" s="45">
        <v>4.0999999999999996</v>
      </c>
      <c r="X73" s="45">
        <v>-1.3</v>
      </c>
      <c r="Y73" s="45">
        <v>2</v>
      </c>
      <c r="Z73" s="45">
        <v>17.100000000000001</v>
      </c>
      <c r="AA73" s="45">
        <v>28.2</v>
      </c>
      <c r="AB73" s="45">
        <v>-7.4</v>
      </c>
      <c r="AC73" s="45">
        <v>0</v>
      </c>
      <c r="AD73" s="45">
        <v>12</v>
      </c>
      <c r="AE73" s="45"/>
      <c r="AF73" s="45"/>
      <c r="AG73" s="51"/>
      <c r="AH73" s="47">
        <f t="shared" si="2"/>
        <v>28.2</v>
      </c>
      <c r="AI73" s="48">
        <f t="shared" si="3"/>
        <v>-17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/>
      <c r="AF74" s="64"/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-297</v>
      </c>
      <c r="C75" s="64">
        <v>-318</v>
      </c>
      <c r="D75" s="64">
        <v>-355</v>
      </c>
      <c r="E75" s="64">
        <v>-371</v>
      </c>
      <c r="F75" s="64">
        <v>-49.5</v>
      </c>
      <c r="G75" s="64">
        <v>-365.5</v>
      </c>
      <c r="H75" s="64">
        <v>-401.8</v>
      </c>
      <c r="I75" s="64">
        <v>-423</v>
      </c>
      <c r="J75" s="64">
        <v>-426</v>
      </c>
      <c r="K75" s="64">
        <v>-397</v>
      </c>
      <c r="L75" s="64">
        <v>-425</v>
      </c>
      <c r="M75" s="64">
        <v>-449</v>
      </c>
      <c r="N75" s="64">
        <v>-477</v>
      </c>
      <c r="O75" s="64">
        <v>-394</v>
      </c>
      <c r="P75" s="64">
        <v>-421</v>
      </c>
      <c r="Q75" s="64">
        <v>-454</v>
      </c>
      <c r="R75" s="64">
        <v>-438</v>
      </c>
      <c r="S75" s="64">
        <v>-464.1</v>
      </c>
      <c r="T75" s="64">
        <v>-408.2</v>
      </c>
      <c r="U75" s="64">
        <v>-436</v>
      </c>
      <c r="V75" s="64">
        <v>-465</v>
      </c>
      <c r="W75" s="64">
        <v>-426.3</v>
      </c>
      <c r="X75" s="64">
        <v>-452.5</v>
      </c>
      <c r="Y75" s="64">
        <v>-433.1</v>
      </c>
      <c r="Z75" s="64">
        <v>-365.2</v>
      </c>
      <c r="AA75" s="64">
        <v>-333.3</v>
      </c>
      <c r="AB75" s="64">
        <v>-285</v>
      </c>
      <c r="AC75" s="64">
        <v>-339</v>
      </c>
      <c r="AD75" s="64">
        <v>-335</v>
      </c>
      <c r="AE75" s="64"/>
      <c r="AF75" s="64"/>
      <c r="AG75" s="75"/>
      <c r="AH75" s="47">
        <f t="shared" si="2"/>
        <v>-49.5</v>
      </c>
      <c r="AI75" s="48">
        <f t="shared" si="3"/>
        <v>-477</v>
      </c>
      <c r="AK75" s="74"/>
    </row>
    <row r="76" spans="1:40" x14ac:dyDescent="0.25">
      <c r="A76" s="53" t="s">
        <v>92</v>
      </c>
      <c r="B76" s="76">
        <v>0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/>
      <c r="AF76" s="76"/>
      <c r="AG76" s="75"/>
      <c r="AH76" s="47">
        <f t="shared" si="2"/>
        <v>0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/>
      <c r="AF77" s="45"/>
      <c r="AG77" s="75"/>
      <c r="AH77" s="47">
        <f t="shared" ref="AH77:AH120" si="19">MAX(B77:AF77)</f>
        <v>0</v>
      </c>
      <c r="AI77" s="48">
        <f t="shared" ref="AI77:AI120" si="20">MIN(B77:AF77)</f>
        <v>0</v>
      </c>
      <c r="AK77" s="74"/>
    </row>
    <row r="78" spans="1:40" x14ac:dyDescent="0.25">
      <c r="A78" s="53" t="s">
        <v>94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/>
      <c r="AF78" s="77"/>
      <c r="AG78" s="75"/>
      <c r="AH78" s="47">
        <f t="shared" si="19"/>
        <v>0</v>
      </c>
      <c r="AI78" s="48">
        <f t="shared" si="20"/>
        <v>0</v>
      </c>
      <c r="AK78" s="74"/>
    </row>
    <row r="79" spans="1:40" ht="15.75" thickBot="1" x14ac:dyDescent="0.3">
      <c r="A79" s="53" t="s">
        <v>95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/>
      <c r="AF79" s="77"/>
      <c r="AG79" s="75"/>
      <c r="AH79" s="47">
        <f t="shared" si="19"/>
        <v>0</v>
      </c>
      <c r="AI79" s="48">
        <f t="shared" si="20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/>
      <c r="AF80" s="77"/>
      <c r="AG80" s="75"/>
      <c r="AH80" s="47">
        <f t="shared" si="19"/>
        <v>0</v>
      </c>
      <c r="AI80" s="48">
        <f t="shared" si="20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/>
      <c r="AF81" s="77"/>
      <c r="AG81" s="75"/>
      <c r="AH81" s="47">
        <f t="shared" si="19"/>
        <v>0</v>
      </c>
      <c r="AI81" s="48">
        <f t="shared" si="20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77">
        <v>0</v>
      </c>
      <c r="C82" s="77">
        <v>0</v>
      </c>
      <c r="D82" s="77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/>
      <c r="AF82" s="77"/>
      <c r="AG82" s="85"/>
      <c r="AH82" s="47">
        <f t="shared" si="19"/>
        <v>0</v>
      </c>
      <c r="AI82" s="48">
        <f t="shared" si="20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77">
        <v>0</v>
      </c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/>
      <c r="AF83" s="77"/>
      <c r="AG83" s="85"/>
      <c r="AH83" s="47">
        <f t="shared" si="19"/>
        <v>0</v>
      </c>
      <c r="AI83" s="48">
        <f t="shared" si="20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C84" si="21">SUMIF(B73:B83,"&gt;0")</f>
        <v>19.100000000000001</v>
      </c>
      <c r="C84" s="59">
        <f t="shared" si="21"/>
        <v>18.899999999999999</v>
      </c>
      <c r="D84" s="59">
        <f t="shared" ref="D84" si="22">SUMIF(D73:D83,"&gt;0")</f>
        <v>8.9</v>
      </c>
      <c r="E84" s="59">
        <f t="shared" ref="E84:AF84" si="23">SUMIF(E73:E83,"&gt;0")</f>
        <v>0</v>
      </c>
      <c r="F84" s="59">
        <f t="shared" si="23"/>
        <v>0</v>
      </c>
      <c r="G84" s="59">
        <f t="shared" si="23"/>
        <v>0</v>
      </c>
      <c r="H84" s="59">
        <f t="shared" si="23"/>
        <v>0</v>
      </c>
      <c r="I84" s="59">
        <f t="shared" si="23"/>
        <v>0</v>
      </c>
      <c r="J84" s="59">
        <f t="shared" si="23"/>
        <v>0</v>
      </c>
      <c r="K84" s="59">
        <f t="shared" si="23"/>
        <v>0</v>
      </c>
      <c r="L84" s="59">
        <f t="shared" si="23"/>
        <v>0</v>
      </c>
      <c r="M84" s="59">
        <f t="shared" si="23"/>
        <v>6.3</v>
      </c>
      <c r="N84" s="59">
        <f t="shared" si="23"/>
        <v>5.85</v>
      </c>
      <c r="O84" s="59">
        <f t="shared" si="23"/>
        <v>0</v>
      </c>
      <c r="P84" s="59">
        <f t="shared" si="23"/>
        <v>2</v>
      </c>
      <c r="Q84" s="59">
        <f t="shared" si="23"/>
        <v>0</v>
      </c>
      <c r="R84" s="59">
        <f t="shared" si="23"/>
        <v>0</v>
      </c>
      <c r="S84" s="59">
        <f t="shared" si="23"/>
        <v>0</v>
      </c>
      <c r="T84" s="59">
        <f t="shared" si="23"/>
        <v>0</v>
      </c>
      <c r="U84" s="59">
        <f t="shared" si="23"/>
        <v>0</v>
      </c>
      <c r="V84" s="59">
        <f t="shared" si="23"/>
        <v>14.4</v>
      </c>
      <c r="W84" s="59">
        <f t="shared" si="23"/>
        <v>4.0999999999999996</v>
      </c>
      <c r="X84" s="59">
        <f t="shared" si="23"/>
        <v>0</v>
      </c>
      <c r="Y84" s="59">
        <f t="shared" si="23"/>
        <v>2</v>
      </c>
      <c r="Z84" s="59">
        <f t="shared" si="23"/>
        <v>17.100000000000001</v>
      </c>
      <c r="AA84" s="59">
        <f t="shared" si="23"/>
        <v>28.2</v>
      </c>
      <c r="AB84" s="59">
        <f t="shared" si="23"/>
        <v>0</v>
      </c>
      <c r="AC84" s="59">
        <f t="shared" si="23"/>
        <v>0</v>
      </c>
      <c r="AD84" s="59">
        <f t="shared" si="23"/>
        <v>12</v>
      </c>
      <c r="AE84" s="59">
        <f t="shared" si="23"/>
        <v>0</v>
      </c>
      <c r="AF84" s="59">
        <f t="shared" si="23"/>
        <v>0</v>
      </c>
      <c r="AG84" s="88">
        <f>SUM(AG73:AG83)</f>
        <v>0</v>
      </c>
      <c r="AH84" s="47">
        <f t="shared" si="19"/>
        <v>28.2</v>
      </c>
      <c r="AI84" s="48">
        <f t="shared" si="20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9"/>
        <v>0</v>
      </c>
      <c r="AI85" s="48">
        <f t="shared" si="20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9"/>
        <v>0</v>
      </c>
      <c r="AI86" s="48">
        <f t="shared" si="20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9"/>
        <v>0</v>
      </c>
      <c r="AI87" s="48">
        <f t="shared" si="20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>
        <v>0</v>
      </c>
      <c r="Z88" s="59">
        <v>0</v>
      </c>
      <c r="AA88" s="59">
        <v>0</v>
      </c>
      <c r="AB88" s="59"/>
      <c r="AC88" s="59"/>
      <c r="AD88" s="59"/>
      <c r="AE88" s="59"/>
      <c r="AF88" s="59"/>
      <c r="AG88" s="88">
        <f>SUM(AG85:AG87)</f>
        <v>55.4</v>
      </c>
      <c r="AH88" s="47">
        <f t="shared" si="19"/>
        <v>0</v>
      </c>
      <c r="AI88" s="48">
        <f t="shared" si="20"/>
        <v>0</v>
      </c>
    </row>
    <row r="89" spans="1:40" ht="15.75" thickBot="1" x14ac:dyDescent="0.3">
      <c r="A89" s="73" t="s">
        <v>108</v>
      </c>
      <c r="B89" s="95">
        <f t="shared" ref="B89:C89" si="24">B50+B54+B72+B68+B84+B88</f>
        <v>1877.14</v>
      </c>
      <c r="C89" s="95">
        <f t="shared" si="24"/>
        <v>1868.8400000000001</v>
      </c>
      <c r="D89" s="95">
        <f t="shared" ref="D89" si="25">D50+D54+D72+D68+D84+D88</f>
        <v>1855.1399999999999</v>
      </c>
      <c r="E89" s="95">
        <f t="shared" ref="E89:AG89" si="26">E50+E54+E72+E68+E84+E88</f>
        <v>1828.94</v>
      </c>
      <c r="F89" s="95">
        <f t="shared" si="26"/>
        <v>1344.04</v>
      </c>
      <c r="G89" s="95">
        <f t="shared" si="26"/>
        <v>1723.0400000000002</v>
      </c>
      <c r="H89" s="95">
        <f t="shared" si="26"/>
        <v>1768.04</v>
      </c>
      <c r="I89" s="95">
        <f t="shared" si="26"/>
        <v>1769.84</v>
      </c>
      <c r="J89" s="95">
        <f t="shared" si="26"/>
        <v>1825.8400000000001</v>
      </c>
      <c r="K89" s="95">
        <f t="shared" si="26"/>
        <v>1832.2399999999998</v>
      </c>
      <c r="L89" s="95">
        <f t="shared" si="26"/>
        <v>1882.54</v>
      </c>
      <c r="M89" s="95">
        <f t="shared" si="26"/>
        <v>1905.04</v>
      </c>
      <c r="N89" s="95">
        <f t="shared" si="26"/>
        <v>1856.79</v>
      </c>
      <c r="O89" s="95">
        <f t="shared" si="26"/>
        <v>1851.24</v>
      </c>
      <c r="P89" s="95">
        <f t="shared" si="26"/>
        <v>1854.84</v>
      </c>
      <c r="Q89" s="95">
        <f t="shared" si="26"/>
        <v>1852.84</v>
      </c>
      <c r="R89" s="95">
        <f t="shared" si="26"/>
        <v>1852.84</v>
      </c>
      <c r="S89" s="95">
        <f t="shared" si="26"/>
        <v>1858.04</v>
      </c>
      <c r="T89" s="95">
        <f t="shared" si="26"/>
        <v>1860.44</v>
      </c>
      <c r="U89" s="95">
        <f t="shared" si="26"/>
        <v>1867.44</v>
      </c>
      <c r="V89" s="95">
        <f t="shared" si="26"/>
        <v>1872.8400000000001</v>
      </c>
      <c r="W89" s="95">
        <f t="shared" si="26"/>
        <v>1859.94</v>
      </c>
      <c r="X89" s="95">
        <f t="shared" si="26"/>
        <v>1855.8400000000001</v>
      </c>
      <c r="Y89" s="95">
        <f t="shared" si="26"/>
        <v>1840.2400000000002</v>
      </c>
      <c r="Z89" s="95">
        <f t="shared" si="26"/>
        <v>1915.1</v>
      </c>
      <c r="AA89" s="95">
        <f t="shared" si="26"/>
        <v>2011.64</v>
      </c>
      <c r="AB89" s="95">
        <f t="shared" si="26"/>
        <v>1979.44</v>
      </c>
      <c r="AC89" s="95">
        <f t="shared" si="26"/>
        <v>1986.2400000000002</v>
      </c>
      <c r="AD89" s="95">
        <f t="shared" si="26"/>
        <v>1982.3400000000004</v>
      </c>
      <c r="AE89" s="95">
        <f t="shared" si="26"/>
        <v>3.54</v>
      </c>
      <c r="AF89" s="95">
        <f t="shared" si="26"/>
        <v>3.54</v>
      </c>
      <c r="AG89" s="60">
        <f t="shared" si="26"/>
        <v>2111.5500000000002</v>
      </c>
      <c r="AH89" s="47">
        <f t="shared" si="19"/>
        <v>2011.64</v>
      </c>
      <c r="AI89" s="48">
        <f t="shared" si="20"/>
        <v>3.54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>
        <v>80</v>
      </c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19"/>
        <v>80</v>
      </c>
      <c r="AI90" s="48">
        <f t="shared" si="20"/>
        <v>80</v>
      </c>
    </row>
    <row r="91" spans="1:40" ht="15.75" thickBot="1" x14ac:dyDescent="0.3">
      <c r="A91" s="73" t="s">
        <v>110</v>
      </c>
      <c r="B91" s="95">
        <f t="shared" ref="B91:C91" si="27">B89+B90</f>
        <v>1877.14</v>
      </c>
      <c r="C91" s="95">
        <f t="shared" si="27"/>
        <v>1868.8400000000001</v>
      </c>
      <c r="D91" s="95">
        <f t="shared" ref="D91" si="28">D89+D90</f>
        <v>1855.1399999999999</v>
      </c>
      <c r="E91" s="95">
        <f t="shared" ref="E91:AF91" si="29">E89+E90</f>
        <v>1828.94</v>
      </c>
      <c r="F91" s="95">
        <f t="shared" si="29"/>
        <v>1424.04</v>
      </c>
      <c r="G91" s="95">
        <f t="shared" si="29"/>
        <v>1723.0400000000002</v>
      </c>
      <c r="H91" s="95">
        <f t="shared" si="29"/>
        <v>1768.04</v>
      </c>
      <c r="I91" s="95">
        <f t="shared" si="29"/>
        <v>1769.84</v>
      </c>
      <c r="J91" s="95">
        <f t="shared" si="29"/>
        <v>1825.8400000000001</v>
      </c>
      <c r="K91" s="95">
        <f t="shared" si="29"/>
        <v>1832.2399999999998</v>
      </c>
      <c r="L91" s="95">
        <f t="shared" si="29"/>
        <v>1882.54</v>
      </c>
      <c r="M91" s="95">
        <f t="shared" si="29"/>
        <v>1905.04</v>
      </c>
      <c r="N91" s="95">
        <f t="shared" si="29"/>
        <v>1856.79</v>
      </c>
      <c r="O91" s="95">
        <f t="shared" si="29"/>
        <v>1851.24</v>
      </c>
      <c r="P91" s="95">
        <f t="shared" si="29"/>
        <v>1854.84</v>
      </c>
      <c r="Q91" s="95">
        <f t="shared" si="29"/>
        <v>1852.84</v>
      </c>
      <c r="R91" s="95">
        <f t="shared" si="29"/>
        <v>1852.84</v>
      </c>
      <c r="S91" s="95">
        <f t="shared" si="29"/>
        <v>1858.04</v>
      </c>
      <c r="T91" s="95">
        <f t="shared" si="29"/>
        <v>1860.44</v>
      </c>
      <c r="U91" s="95">
        <f t="shared" si="29"/>
        <v>1867.44</v>
      </c>
      <c r="V91" s="95">
        <f t="shared" si="29"/>
        <v>1872.8400000000001</v>
      </c>
      <c r="W91" s="95">
        <f t="shared" si="29"/>
        <v>1859.94</v>
      </c>
      <c r="X91" s="95">
        <f t="shared" si="29"/>
        <v>1855.8400000000001</v>
      </c>
      <c r="Y91" s="95">
        <f t="shared" si="29"/>
        <v>1840.2400000000002</v>
      </c>
      <c r="Z91" s="95">
        <f t="shared" si="29"/>
        <v>1915.1</v>
      </c>
      <c r="AA91" s="95">
        <f t="shared" si="29"/>
        <v>2011.64</v>
      </c>
      <c r="AB91" s="95">
        <f t="shared" si="29"/>
        <v>1979.44</v>
      </c>
      <c r="AC91" s="95">
        <f t="shared" si="29"/>
        <v>1986.2400000000002</v>
      </c>
      <c r="AD91" s="95">
        <f t="shared" si="29"/>
        <v>1982.3400000000004</v>
      </c>
      <c r="AE91" s="95">
        <f t="shared" si="29"/>
        <v>3.54</v>
      </c>
      <c r="AF91" s="95">
        <f t="shared" si="29"/>
        <v>3.54</v>
      </c>
      <c r="AG91" s="88">
        <f>AG88+AG84+AG72+AG68+AG50+AG90</f>
        <v>1573.45</v>
      </c>
      <c r="AH91" s="47">
        <f t="shared" si="19"/>
        <v>2011.64</v>
      </c>
      <c r="AI91" s="48">
        <f t="shared" si="20"/>
        <v>3.54</v>
      </c>
    </row>
    <row r="92" spans="1:40" ht="15.75" thickBot="1" x14ac:dyDescent="0.3">
      <c r="A92" s="73" t="s">
        <v>111</v>
      </c>
      <c r="B92" s="95">
        <f t="shared" ref="B92:C92" si="30">B91-B99</f>
        <v>1877.14</v>
      </c>
      <c r="C92" s="95">
        <f t="shared" si="30"/>
        <v>1868.8400000000001</v>
      </c>
      <c r="D92" s="95">
        <f t="shared" ref="D92" si="31">D91-D99</f>
        <v>1855.1399999999999</v>
      </c>
      <c r="E92" s="95">
        <f t="shared" ref="E92:AF92" si="32">E91-E99</f>
        <v>1828.94</v>
      </c>
      <c r="F92" s="95">
        <f t="shared" si="32"/>
        <v>1424.04</v>
      </c>
      <c r="G92" s="95">
        <f t="shared" si="32"/>
        <v>1723.0400000000002</v>
      </c>
      <c r="H92" s="95">
        <f t="shared" si="32"/>
        <v>1768.04</v>
      </c>
      <c r="I92" s="95">
        <f t="shared" si="32"/>
        <v>1769.84</v>
      </c>
      <c r="J92" s="95">
        <f t="shared" si="32"/>
        <v>1825.8400000000001</v>
      </c>
      <c r="K92" s="95">
        <f t="shared" si="32"/>
        <v>1832.2399999999998</v>
      </c>
      <c r="L92" s="95">
        <f t="shared" si="32"/>
        <v>1882.54</v>
      </c>
      <c r="M92" s="95">
        <f t="shared" si="32"/>
        <v>1905.04</v>
      </c>
      <c r="N92" s="95">
        <f t="shared" si="32"/>
        <v>1856.79</v>
      </c>
      <c r="O92" s="95">
        <f t="shared" si="32"/>
        <v>1851.24</v>
      </c>
      <c r="P92" s="95">
        <f t="shared" si="32"/>
        <v>1854.84</v>
      </c>
      <c r="Q92" s="95">
        <f t="shared" si="32"/>
        <v>1852.84</v>
      </c>
      <c r="R92" s="95">
        <f t="shared" si="32"/>
        <v>1852.84</v>
      </c>
      <c r="S92" s="95">
        <f t="shared" si="32"/>
        <v>1858.04</v>
      </c>
      <c r="T92" s="95">
        <f t="shared" si="32"/>
        <v>1860.44</v>
      </c>
      <c r="U92" s="95">
        <f t="shared" si="32"/>
        <v>1867.44</v>
      </c>
      <c r="V92" s="95">
        <f t="shared" si="32"/>
        <v>1872.8400000000001</v>
      </c>
      <c r="W92" s="95">
        <f t="shared" si="32"/>
        <v>1859.94</v>
      </c>
      <c r="X92" s="95">
        <f t="shared" si="32"/>
        <v>1855.8400000000001</v>
      </c>
      <c r="Y92" s="95">
        <f t="shared" si="32"/>
        <v>1840.2400000000002</v>
      </c>
      <c r="Z92" s="95">
        <f t="shared" si="32"/>
        <v>1915.1</v>
      </c>
      <c r="AA92" s="95">
        <f t="shared" si="32"/>
        <v>2011.64</v>
      </c>
      <c r="AB92" s="95">
        <f t="shared" si="32"/>
        <v>1979.44</v>
      </c>
      <c r="AC92" s="95">
        <f t="shared" si="32"/>
        <v>1986.2400000000002</v>
      </c>
      <c r="AD92" s="95">
        <f t="shared" si="32"/>
        <v>1982.3400000000004</v>
      </c>
      <c r="AE92" s="95">
        <f t="shared" si="32"/>
        <v>3.54</v>
      </c>
      <c r="AF92" s="95">
        <f t="shared" si="32"/>
        <v>3.54</v>
      </c>
      <c r="AG92" s="88"/>
      <c r="AH92" s="47">
        <f t="shared" si="19"/>
        <v>2011.64</v>
      </c>
      <c r="AI92" s="48">
        <f t="shared" si="20"/>
        <v>3.54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9"/>
        <v>0</v>
      </c>
      <c r="AI93" s="48">
        <f t="shared" si="20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9"/>
        <v>0</v>
      </c>
      <c r="AI94" s="48">
        <f t="shared" si="20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9"/>
        <v>0</v>
      </c>
      <c r="AI95" s="48">
        <f t="shared" si="20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9"/>
        <v>0</v>
      </c>
      <c r="AI96" s="48">
        <f t="shared" si="20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9"/>
        <v>0</v>
      </c>
      <c r="AI97" s="48">
        <f t="shared" si="20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9"/>
        <v>0</v>
      </c>
      <c r="AI98" s="48">
        <f t="shared" si="20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>
        <v>0</v>
      </c>
      <c r="AB99" s="59"/>
      <c r="AC99" s="59"/>
      <c r="AD99" s="59"/>
      <c r="AE99" s="59"/>
      <c r="AF99" s="59"/>
      <c r="AG99" s="88"/>
      <c r="AH99" s="47">
        <f t="shared" si="19"/>
        <v>0</v>
      </c>
      <c r="AI99" s="48">
        <f t="shared" si="20"/>
        <v>0</v>
      </c>
      <c r="AK99" s="74"/>
    </row>
    <row r="100" spans="1:37" ht="15.75" thickBot="1" x14ac:dyDescent="0.3">
      <c r="A100" s="73" t="s">
        <v>116</v>
      </c>
      <c r="B100" s="59">
        <f t="shared" ref="B100:C100" si="33">B84-B99</f>
        <v>19.100000000000001</v>
      </c>
      <c r="C100" s="59">
        <f t="shared" si="33"/>
        <v>18.899999999999999</v>
      </c>
      <c r="D100" s="59">
        <f t="shared" ref="D100" si="34">D84-D99</f>
        <v>8.9</v>
      </c>
      <c r="E100" s="59">
        <f t="shared" ref="E100:AF100" si="35">E84-E99</f>
        <v>0</v>
      </c>
      <c r="F100" s="59">
        <f t="shared" si="35"/>
        <v>0</v>
      </c>
      <c r="G100" s="59">
        <f t="shared" si="35"/>
        <v>0</v>
      </c>
      <c r="H100" s="59">
        <f t="shared" si="35"/>
        <v>0</v>
      </c>
      <c r="I100" s="59">
        <f t="shared" si="35"/>
        <v>0</v>
      </c>
      <c r="J100" s="59">
        <f t="shared" si="35"/>
        <v>0</v>
      </c>
      <c r="K100" s="59">
        <f t="shared" si="35"/>
        <v>0</v>
      </c>
      <c r="L100" s="59">
        <f t="shared" si="35"/>
        <v>0</v>
      </c>
      <c r="M100" s="59">
        <f t="shared" si="35"/>
        <v>6.3</v>
      </c>
      <c r="N100" s="59">
        <f t="shared" si="35"/>
        <v>5.85</v>
      </c>
      <c r="O100" s="59">
        <f t="shared" si="35"/>
        <v>0</v>
      </c>
      <c r="P100" s="59">
        <f t="shared" si="35"/>
        <v>2</v>
      </c>
      <c r="Q100" s="59">
        <f t="shared" si="35"/>
        <v>0</v>
      </c>
      <c r="R100" s="59">
        <f t="shared" si="35"/>
        <v>0</v>
      </c>
      <c r="S100" s="59">
        <f t="shared" si="35"/>
        <v>0</v>
      </c>
      <c r="T100" s="59">
        <f t="shared" si="35"/>
        <v>0</v>
      </c>
      <c r="U100" s="59">
        <f t="shared" si="35"/>
        <v>0</v>
      </c>
      <c r="V100" s="59">
        <f t="shared" si="35"/>
        <v>14.4</v>
      </c>
      <c r="W100" s="59">
        <f t="shared" si="35"/>
        <v>4.0999999999999996</v>
      </c>
      <c r="X100" s="59">
        <f t="shared" si="35"/>
        <v>0</v>
      </c>
      <c r="Y100" s="59">
        <f t="shared" si="35"/>
        <v>2</v>
      </c>
      <c r="Z100" s="59">
        <f t="shared" si="35"/>
        <v>17.100000000000001</v>
      </c>
      <c r="AA100" s="59">
        <f t="shared" si="35"/>
        <v>28.2</v>
      </c>
      <c r="AB100" s="59">
        <f t="shared" si="35"/>
        <v>0</v>
      </c>
      <c r="AC100" s="59">
        <f t="shared" si="35"/>
        <v>0</v>
      </c>
      <c r="AD100" s="59">
        <f t="shared" si="35"/>
        <v>12</v>
      </c>
      <c r="AE100" s="59">
        <f t="shared" si="35"/>
        <v>0</v>
      </c>
      <c r="AF100" s="59">
        <f t="shared" si="35"/>
        <v>0</v>
      </c>
      <c r="AG100" s="88"/>
      <c r="AH100" s="47">
        <f t="shared" si="19"/>
        <v>28.2</v>
      </c>
      <c r="AI100" s="48">
        <f t="shared" si="20"/>
        <v>0</v>
      </c>
    </row>
    <row r="101" spans="1:37" x14ac:dyDescent="0.25">
      <c r="A101" s="100" t="s">
        <v>117</v>
      </c>
      <c r="B101" s="101">
        <v>50.05</v>
      </c>
      <c r="C101" s="101">
        <v>50.04</v>
      </c>
      <c r="D101" s="101">
        <v>49.95</v>
      </c>
      <c r="E101" s="101">
        <v>49.887</v>
      </c>
      <c r="F101" s="101">
        <v>50.033000000000001</v>
      </c>
      <c r="G101" s="101">
        <v>50.082999999999998</v>
      </c>
      <c r="H101" s="101">
        <v>50</v>
      </c>
      <c r="I101" s="101">
        <v>50.023000000000003</v>
      </c>
      <c r="J101" s="101">
        <v>49.951999999999998</v>
      </c>
      <c r="K101" s="101">
        <v>50.012999999999998</v>
      </c>
      <c r="L101" s="101">
        <v>49.936999999999998</v>
      </c>
      <c r="M101" s="101">
        <v>50.005000000000003</v>
      </c>
      <c r="N101" s="101">
        <v>50.107999999999997</v>
      </c>
      <c r="O101" s="101">
        <v>50.03</v>
      </c>
      <c r="P101" s="101">
        <v>50.134999999999998</v>
      </c>
      <c r="Q101" s="101">
        <v>50.063000000000002</v>
      </c>
      <c r="R101" s="101">
        <v>50.067</v>
      </c>
      <c r="S101" s="101">
        <v>50.03</v>
      </c>
      <c r="T101" s="101">
        <v>50.03</v>
      </c>
      <c r="U101" s="101">
        <v>50.158999999999999</v>
      </c>
      <c r="V101" s="101">
        <v>50.05</v>
      </c>
      <c r="W101" s="101">
        <v>49.99</v>
      </c>
      <c r="X101" s="101">
        <v>50.03</v>
      </c>
      <c r="Y101" s="101">
        <v>49.899000000000001</v>
      </c>
      <c r="Z101" s="101">
        <v>50.151000000000003</v>
      </c>
      <c r="AA101" s="101">
        <v>50.081000000000003</v>
      </c>
      <c r="AB101" s="101">
        <v>50.085000000000001</v>
      </c>
      <c r="AC101" s="101">
        <v>50.103999999999999</v>
      </c>
      <c r="AD101" s="101">
        <v>49.976999999999997</v>
      </c>
      <c r="AE101" s="101"/>
      <c r="AF101" s="101"/>
      <c r="AG101" s="102"/>
      <c r="AH101" s="47">
        <f t="shared" si="19"/>
        <v>50.158999999999999</v>
      </c>
      <c r="AI101" s="48">
        <f t="shared" si="20"/>
        <v>49.887</v>
      </c>
    </row>
    <row r="102" spans="1:37" x14ac:dyDescent="0.25">
      <c r="A102" s="103" t="s">
        <v>118</v>
      </c>
      <c r="B102" s="64">
        <v>0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>
        <v>0</v>
      </c>
      <c r="AA102" s="64">
        <v>0</v>
      </c>
      <c r="AB102" s="64">
        <v>0</v>
      </c>
      <c r="AC102" s="64">
        <v>0</v>
      </c>
      <c r="AD102" s="64">
        <v>0</v>
      </c>
      <c r="AE102" s="64"/>
      <c r="AF102" s="64"/>
      <c r="AG102" s="104"/>
      <c r="AH102" s="47">
        <f t="shared" si="19"/>
        <v>0</v>
      </c>
      <c r="AI102" s="48">
        <f t="shared" si="20"/>
        <v>0</v>
      </c>
    </row>
    <row r="103" spans="1:37" x14ac:dyDescent="0.25">
      <c r="A103" s="103" t="s">
        <v>119</v>
      </c>
      <c r="B103" s="64">
        <v>128.1</v>
      </c>
      <c r="C103" s="64">
        <v>127.8</v>
      </c>
      <c r="D103" s="64">
        <v>128.19999999999999</v>
      </c>
      <c r="E103" s="64">
        <v>129</v>
      </c>
      <c r="F103" s="64">
        <v>131.4</v>
      </c>
      <c r="G103" s="64">
        <v>130.1</v>
      </c>
      <c r="H103" s="64">
        <v>130.1</v>
      </c>
      <c r="I103" s="64">
        <v>127.9</v>
      </c>
      <c r="J103" s="64">
        <v>128.4</v>
      </c>
      <c r="K103" s="64">
        <v>125.9</v>
      </c>
      <c r="L103" s="64">
        <v>126.6</v>
      </c>
      <c r="M103" s="64">
        <v>126.5</v>
      </c>
      <c r="N103" s="64">
        <v>127.4</v>
      </c>
      <c r="O103" s="64">
        <v>1235.0999999999999</v>
      </c>
      <c r="P103" s="64">
        <v>125.3</v>
      </c>
      <c r="Q103" s="64">
        <v>126.7</v>
      </c>
      <c r="R103" s="64"/>
      <c r="S103" s="64">
        <v>126.1</v>
      </c>
      <c r="T103" s="64">
        <v>125.6</v>
      </c>
      <c r="U103" s="64">
        <v>125.6</v>
      </c>
      <c r="V103" s="64">
        <v>126.9</v>
      </c>
      <c r="W103" s="64">
        <v>127.2</v>
      </c>
      <c r="X103" s="64">
        <v>128.30000000000001</v>
      </c>
      <c r="Y103" s="64">
        <v>129</v>
      </c>
      <c r="Z103" s="64">
        <v>127.4</v>
      </c>
      <c r="AA103" s="64">
        <v>127.4</v>
      </c>
      <c r="AB103" s="64">
        <v>127.2</v>
      </c>
      <c r="AC103" s="64">
        <v>126.8</v>
      </c>
      <c r="AD103" s="64">
        <v>126.5</v>
      </c>
      <c r="AE103" s="64"/>
      <c r="AF103" s="64"/>
      <c r="AG103" s="104"/>
      <c r="AH103" s="47">
        <f t="shared" si="19"/>
        <v>1235.0999999999999</v>
      </c>
      <c r="AI103" s="48">
        <f t="shared" si="20"/>
        <v>125.3</v>
      </c>
    </row>
    <row r="104" spans="1:37" x14ac:dyDescent="0.25">
      <c r="A104" s="103" t="s">
        <v>120</v>
      </c>
      <c r="B104" s="64">
        <v>129.9</v>
      </c>
      <c r="C104" s="64">
        <v>130</v>
      </c>
      <c r="D104" s="64">
        <v>129.9</v>
      </c>
      <c r="E104" s="64">
        <v>129.4</v>
      </c>
      <c r="F104" s="64">
        <v>130.6</v>
      </c>
      <c r="G104" s="64">
        <v>130.80000000000001</v>
      </c>
      <c r="H104" s="64">
        <v>130.80000000000001</v>
      </c>
      <c r="I104" s="64">
        <v>129.30000000000001</v>
      </c>
      <c r="J104" s="64">
        <v>125.3</v>
      </c>
      <c r="K104" s="64">
        <v>126.3</v>
      </c>
      <c r="L104" s="64">
        <v>129</v>
      </c>
      <c r="M104" s="64">
        <v>127.5</v>
      </c>
      <c r="N104" s="64">
        <v>131</v>
      </c>
      <c r="O104" s="64">
        <v>129.69999999999999</v>
      </c>
      <c r="P104" s="64">
        <v>128.6</v>
      </c>
      <c r="Q104" s="64">
        <v>130.69999999999999</v>
      </c>
      <c r="R104" s="64">
        <v>130.4</v>
      </c>
      <c r="S104" s="64">
        <v>127.4</v>
      </c>
      <c r="T104" s="64">
        <v>129.4</v>
      </c>
      <c r="U104" s="64">
        <v>129.4</v>
      </c>
      <c r="V104" s="64">
        <v>129.4</v>
      </c>
      <c r="W104" s="64">
        <v>126.7</v>
      </c>
      <c r="X104" s="64">
        <v>130</v>
      </c>
      <c r="Y104" s="64">
        <v>128.4</v>
      </c>
      <c r="Z104" s="64">
        <v>124.2</v>
      </c>
      <c r="AA104" s="64">
        <v>124.2</v>
      </c>
      <c r="AB104" s="64">
        <v>126.3</v>
      </c>
      <c r="AC104" s="64">
        <v>128.30000000000001</v>
      </c>
      <c r="AD104" s="64">
        <v>128.19999999999999</v>
      </c>
      <c r="AE104" s="64"/>
      <c r="AF104" s="64"/>
      <c r="AG104" s="104"/>
      <c r="AH104" s="47">
        <f t="shared" si="19"/>
        <v>131</v>
      </c>
      <c r="AI104" s="48">
        <f t="shared" si="20"/>
        <v>124.2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9"/>
        <v>0</v>
      </c>
      <c r="AI105" s="48">
        <f t="shared" si="20"/>
        <v>0</v>
      </c>
    </row>
    <row r="106" spans="1:37" x14ac:dyDescent="0.25">
      <c r="A106" s="105" t="s">
        <v>122</v>
      </c>
      <c r="B106" s="106">
        <v>127.1</v>
      </c>
      <c r="C106" s="106">
        <v>129</v>
      </c>
      <c r="D106" s="106">
        <v>131.80000000000001</v>
      </c>
      <c r="E106" s="106">
        <v>129.9</v>
      </c>
      <c r="F106" s="106">
        <v>133.1</v>
      </c>
      <c r="G106" s="106">
        <v>128.69999999999999</v>
      </c>
      <c r="H106" s="106">
        <v>128.69999999999999</v>
      </c>
      <c r="I106" s="106">
        <v>131.69999999999999</v>
      </c>
      <c r="J106" s="106">
        <v>131.1</v>
      </c>
      <c r="K106" s="106">
        <v>130.19999999999999</v>
      </c>
      <c r="L106" s="106">
        <v>130.1</v>
      </c>
      <c r="M106" s="106">
        <v>129.9</v>
      </c>
      <c r="N106" s="106">
        <v>131.4</v>
      </c>
      <c r="O106" s="106">
        <v>130.6</v>
      </c>
      <c r="P106" s="106">
        <v>131.19999999999999</v>
      </c>
      <c r="Q106" s="106">
        <v>128</v>
      </c>
      <c r="R106" s="106">
        <v>130.6</v>
      </c>
      <c r="S106" s="106">
        <v>130.6</v>
      </c>
      <c r="T106" s="106">
        <v>129.4</v>
      </c>
      <c r="U106" s="106">
        <v>129.4</v>
      </c>
      <c r="V106" s="106">
        <v>133.4</v>
      </c>
      <c r="W106" s="106">
        <v>132.9</v>
      </c>
      <c r="X106" s="106">
        <v>133.4</v>
      </c>
      <c r="Y106" s="106">
        <v>133.30000000000001</v>
      </c>
      <c r="Z106" s="106">
        <v>132.9</v>
      </c>
      <c r="AA106" s="106">
        <v>132.9</v>
      </c>
      <c r="AB106" s="106">
        <v>130</v>
      </c>
      <c r="AC106" s="106">
        <v>129.4</v>
      </c>
      <c r="AD106" s="106">
        <v>132.6</v>
      </c>
      <c r="AE106" s="106"/>
      <c r="AF106" s="106"/>
      <c r="AG106" s="107"/>
      <c r="AH106" s="47">
        <f t="shared" si="19"/>
        <v>133.4</v>
      </c>
      <c r="AI106" s="48">
        <f t="shared" si="20"/>
        <v>127.1</v>
      </c>
    </row>
    <row r="107" spans="1:37" x14ac:dyDescent="0.25">
      <c r="A107" s="103" t="s">
        <v>123</v>
      </c>
      <c r="B107" s="64">
        <v>126.1</v>
      </c>
      <c r="C107" s="64">
        <v>134.19999999999999</v>
      </c>
      <c r="D107" s="64">
        <v>131.5</v>
      </c>
      <c r="E107" s="64">
        <v>130.1</v>
      </c>
      <c r="F107" s="64">
        <v>125.8</v>
      </c>
      <c r="G107" s="64">
        <v>125.9</v>
      </c>
      <c r="H107" s="64">
        <v>125.9</v>
      </c>
      <c r="I107" s="64">
        <v>130</v>
      </c>
      <c r="J107" s="64">
        <v>129.4</v>
      </c>
      <c r="K107" s="64">
        <v>132.19999999999999</v>
      </c>
      <c r="L107" s="64">
        <v>130.9</v>
      </c>
      <c r="M107" s="64">
        <v>129.5</v>
      </c>
      <c r="N107" s="64">
        <v>130.6</v>
      </c>
      <c r="O107" s="64">
        <v>127.8</v>
      </c>
      <c r="P107" s="64">
        <v>127.9</v>
      </c>
      <c r="Q107" s="64">
        <v>126.1</v>
      </c>
      <c r="R107" s="64">
        <v>127.9</v>
      </c>
      <c r="S107" s="64">
        <v>126.3</v>
      </c>
      <c r="T107" s="64">
        <v>127.8</v>
      </c>
      <c r="U107" s="64">
        <v>127.8</v>
      </c>
      <c r="V107" s="64">
        <v>135</v>
      </c>
      <c r="W107" s="64">
        <v>130.5</v>
      </c>
      <c r="X107" s="64">
        <v>131.80000000000001</v>
      </c>
      <c r="Y107" s="64">
        <v>130.80000000000001</v>
      </c>
      <c r="Z107" s="64">
        <v>130.5</v>
      </c>
      <c r="AA107" s="64">
        <v>130.5</v>
      </c>
      <c r="AB107" s="64">
        <v>128</v>
      </c>
      <c r="AC107" s="64">
        <v>129.9</v>
      </c>
      <c r="AD107" s="64">
        <v>136</v>
      </c>
      <c r="AE107" s="64"/>
      <c r="AF107" s="64"/>
      <c r="AG107" s="104"/>
      <c r="AH107" s="47">
        <f t="shared" si="19"/>
        <v>136</v>
      </c>
      <c r="AI107" s="48">
        <f t="shared" si="20"/>
        <v>125.8</v>
      </c>
    </row>
    <row r="108" spans="1:37" ht="15.75" thickBot="1" x14ac:dyDescent="0.3">
      <c r="A108" s="103" t="s">
        <v>124</v>
      </c>
      <c r="B108" s="92">
        <v>64.2</v>
      </c>
      <c r="C108" s="92">
        <v>64.2</v>
      </c>
      <c r="D108" s="92">
        <v>64.099999999999994</v>
      </c>
      <c r="E108" s="92">
        <v>64.8</v>
      </c>
      <c r="F108" s="92">
        <v>66.099999999999994</v>
      </c>
      <c r="G108" s="92">
        <v>65.2</v>
      </c>
      <c r="H108" s="92">
        <v>65.2</v>
      </c>
      <c r="I108" s="92">
        <v>64.2</v>
      </c>
      <c r="J108" s="92">
        <v>64.5</v>
      </c>
      <c r="K108" s="92">
        <v>63.3</v>
      </c>
      <c r="L108" s="92">
        <v>63.7</v>
      </c>
      <c r="M108" s="92">
        <v>63.4</v>
      </c>
      <c r="N108" s="92">
        <v>63.8</v>
      </c>
      <c r="O108" s="92">
        <v>62.8</v>
      </c>
      <c r="P108" s="92">
        <v>62.6</v>
      </c>
      <c r="Q108" s="92">
        <v>63.5</v>
      </c>
      <c r="R108" s="92"/>
      <c r="S108" s="92">
        <v>63.2</v>
      </c>
      <c r="T108" s="92">
        <v>62.7</v>
      </c>
      <c r="U108" s="92">
        <v>62.7</v>
      </c>
      <c r="V108" s="92">
        <v>63.5</v>
      </c>
      <c r="W108" s="92">
        <v>63.8</v>
      </c>
      <c r="X108" s="92">
        <v>64.5</v>
      </c>
      <c r="Y108" s="92">
        <v>64.7</v>
      </c>
      <c r="Z108" s="92">
        <v>64</v>
      </c>
      <c r="AA108" s="92">
        <v>64</v>
      </c>
      <c r="AB108" s="92">
        <v>64</v>
      </c>
      <c r="AC108" s="92">
        <v>63.8</v>
      </c>
      <c r="AD108" s="92">
        <v>63.5</v>
      </c>
      <c r="AE108" s="92"/>
      <c r="AF108" s="92"/>
      <c r="AG108" s="108"/>
      <c r="AH108" s="47">
        <f t="shared" si="19"/>
        <v>66.099999999999994</v>
      </c>
      <c r="AI108" s="48">
        <f t="shared" si="20"/>
        <v>62.6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 t="s">
        <v>125</v>
      </c>
      <c r="AB109" s="92"/>
      <c r="AC109" s="92"/>
      <c r="AD109" s="92"/>
      <c r="AE109" s="92"/>
      <c r="AF109" s="92"/>
      <c r="AG109" s="108"/>
      <c r="AH109" s="47">
        <f t="shared" si="19"/>
        <v>0</v>
      </c>
      <c r="AI109" s="48">
        <f t="shared" si="20"/>
        <v>0</v>
      </c>
    </row>
    <row r="110" spans="1:37" ht="15.75" thickBot="1" x14ac:dyDescent="0.3">
      <c r="A110" s="110" t="s">
        <v>126</v>
      </c>
      <c r="B110" s="111">
        <f t="shared" ref="B110" si="36">SUM(B20,B26,B29:B30,B58,B60:B61,B63,B65,B111:B115,B138,B144,B150,B159,B161,B173,B180,B183:B184,B191,B193,B195,B199:B201,B203:B205,B210,B216:B217,B219:B221,B229,B234)</f>
        <v>38.999999999999986</v>
      </c>
      <c r="C110" s="111">
        <f t="shared" ref="C110:O110" si="37">SUM(C20,C26,C29:C30,C58,C60:C61,C63,C65,C111:C115,C138,C144,C150,C159,C161,C173,C180,C183:C184,C191,C193,C195,C199:C201,C203:C205,C210,C216:C217,C219:C221,C229,C234)</f>
        <v>28.740000000000013</v>
      </c>
      <c r="D110" s="111">
        <f t="shared" ref="D110" si="38">SUM(D20,D26,D29:D30,D58,D60:D61,D63,D65,D111:D115,D138,D144,D150,D159,D161,D173,D180,D183:D184,D191,D193,D195,D199:D201,D203:D205,D210,D216:D217,D219:D221,D229,D234)</f>
        <v>36.939999999999984</v>
      </c>
      <c r="E110" s="111">
        <f t="shared" si="37"/>
        <v>22.540000000000024</v>
      </c>
      <c r="F110" s="111">
        <f t="shared" si="37"/>
        <v>26.039999999999974</v>
      </c>
      <c r="G110" s="111">
        <f t="shared" si="37"/>
        <v>54.739999999999995</v>
      </c>
      <c r="H110" s="111">
        <f t="shared" si="37"/>
        <v>54.739999999999995</v>
      </c>
      <c r="I110" s="111">
        <f t="shared" si="37"/>
        <v>89.539999999999978</v>
      </c>
      <c r="J110" s="111">
        <f t="shared" si="37"/>
        <v>108.84</v>
      </c>
      <c r="K110" s="111">
        <f t="shared" si="37"/>
        <v>163.93999999999997</v>
      </c>
      <c r="L110" s="111">
        <f t="shared" si="37"/>
        <v>172.54</v>
      </c>
      <c r="M110" s="111">
        <f>SUM(M20,M26,M29:M30,M58,M60:M61,M63,M65,M111:M115,M138,M144,M150,M159,M161,M173,M180,M183:M184,M191,M193,M195,M199:M201,M203:M205,M210,M216:M217,M219:M221,M229,M234)</f>
        <v>184.13999999999996</v>
      </c>
      <c r="N110" s="111">
        <f>SUM(N20,N26,N29:N30,N58,N60:N61,N63,N65,N111:N115,N138,N144,N150,N159,N161,N173,N180,N183:N184,N191,N193,N195,N199:N201,N203:N205,N210,N216:N217,N219:N221,N229,N234)</f>
        <v>155.03999999999996</v>
      </c>
      <c r="O110" s="111">
        <f t="shared" si="37"/>
        <v>149.34000000000003</v>
      </c>
      <c r="P110" s="111">
        <v>42</v>
      </c>
      <c r="Q110" s="111">
        <f t="shared" ref="Q110:AF110" si="39">SUM(Q20,Q26,Q29:Q30,Q58,Q60:Q61,Q63,Q65,Q111:Q115,Q138,Q144,Q150,Q159,Q161,Q173,Q180,Q183:Q184,Q191,Q193,Q195,Q199:Q201,Q203:Q205,Q210,Q216:Q217,Q219:Q221,Q229,Q234)</f>
        <v>165.6</v>
      </c>
      <c r="R110" s="111">
        <f t="shared" si="39"/>
        <v>59.399999999999991</v>
      </c>
      <c r="S110" s="111">
        <f t="shared" si="39"/>
        <v>167.89999999999998</v>
      </c>
      <c r="T110" s="111">
        <f t="shared" si="39"/>
        <v>160.79999999999998</v>
      </c>
      <c r="U110" s="111">
        <f t="shared" si="39"/>
        <v>161.60000000000002</v>
      </c>
      <c r="V110" s="111">
        <f t="shared" si="39"/>
        <v>168.2</v>
      </c>
      <c r="W110" s="111">
        <f t="shared" si="39"/>
        <v>154.49999999999994</v>
      </c>
      <c r="X110" s="111">
        <f t="shared" si="39"/>
        <v>154.19999999999999</v>
      </c>
      <c r="Y110" s="111">
        <f t="shared" si="39"/>
        <v>164.50000000000003</v>
      </c>
      <c r="Z110" s="111">
        <f t="shared" si="39"/>
        <v>217.79999999999998</v>
      </c>
      <c r="AA110" s="111">
        <f t="shared" si="39"/>
        <v>228.89999999999995</v>
      </c>
      <c r="AB110" s="111">
        <f t="shared" si="39"/>
        <v>196.09999999999997</v>
      </c>
      <c r="AC110" s="111">
        <f t="shared" si="39"/>
        <v>185.5</v>
      </c>
      <c r="AD110" s="111"/>
      <c r="AE110" s="111">
        <f t="shared" si="39"/>
        <v>0</v>
      </c>
      <c r="AF110" s="111">
        <f t="shared" si="39"/>
        <v>0</v>
      </c>
      <c r="AG110" s="112"/>
      <c r="AH110" s="47">
        <f t="shared" si="19"/>
        <v>228.89999999999995</v>
      </c>
      <c r="AI110" s="48">
        <f t="shared" si="20"/>
        <v>0</v>
      </c>
    </row>
    <row r="111" spans="1:37" x14ac:dyDescent="0.25">
      <c r="A111" s="100" t="s">
        <v>127</v>
      </c>
      <c r="B111" s="113">
        <v>26.2</v>
      </c>
      <c r="C111" s="113">
        <v>28.4</v>
      </c>
      <c r="D111" s="113">
        <v>33.9</v>
      </c>
      <c r="E111" s="113">
        <v>24.8</v>
      </c>
      <c r="F111" s="113">
        <v>25.7</v>
      </c>
      <c r="G111" s="113">
        <v>21</v>
      </c>
      <c r="H111" s="113">
        <v>21</v>
      </c>
      <c r="I111" s="113">
        <v>49.5</v>
      </c>
      <c r="J111" s="113">
        <v>34.9</v>
      </c>
      <c r="K111" s="113">
        <v>54.9</v>
      </c>
      <c r="L111" s="113">
        <v>54.7</v>
      </c>
      <c r="M111" s="113">
        <v>60.8</v>
      </c>
      <c r="N111" s="113">
        <v>43.4</v>
      </c>
      <c r="O111" s="113">
        <v>24.8</v>
      </c>
      <c r="P111" s="113">
        <v>44.7</v>
      </c>
      <c r="Q111" s="113">
        <v>41.3</v>
      </c>
      <c r="R111" s="113">
        <v>-58.2</v>
      </c>
      <c r="S111" s="113">
        <v>42.8</v>
      </c>
      <c r="T111" s="113">
        <v>43.6</v>
      </c>
      <c r="U111" s="113">
        <v>51.5</v>
      </c>
      <c r="V111" s="113">
        <v>54.7</v>
      </c>
      <c r="W111" s="113">
        <v>52</v>
      </c>
      <c r="X111" s="113">
        <v>55.4</v>
      </c>
      <c r="Y111" s="113">
        <v>46.5</v>
      </c>
      <c r="Z111" s="113">
        <v>67.599999999999994</v>
      </c>
      <c r="AA111" s="113">
        <v>66.400000000000006</v>
      </c>
      <c r="AB111" s="113">
        <v>42</v>
      </c>
      <c r="AC111" s="113">
        <v>54.5</v>
      </c>
      <c r="AD111" s="113">
        <v>55</v>
      </c>
      <c r="AE111" s="113"/>
      <c r="AF111" s="113"/>
      <c r="AG111" s="114">
        <v>75</v>
      </c>
      <c r="AH111" s="47">
        <f t="shared" si="19"/>
        <v>67.599999999999994</v>
      </c>
      <c r="AI111" s="48">
        <f t="shared" si="20"/>
        <v>-58.2</v>
      </c>
    </row>
    <row r="112" spans="1:37" x14ac:dyDescent="0.25">
      <c r="A112" s="103" t="s">
        <v>128</v>
      </c>
      <c r="B112" s="115">
        <v>46.9</v>
      </c>
      <c r="C112" s="115">
        <v>50.6</v>
      </c>
      <c r="D112" s="115">
        <v>57.1</v>
      </c>
      <c r="E112" s="115">
        <v>43.7</v>
      </c>
      <c r="F112" s="115">
        <v>44.6</v>
      </c>
      <c r="G112" s="115">
        <v>37.799999999999997</v>
      </c>
      <c r="H112" s="115">
        <v>37.799999999999997</v>
      </c>
      <c r="I112" s="115">
        <v>76.3</v>
      </c>
      <c r="J112" s="115">
        <v>54.3</v>
      </c>
      <c r="K112" s="115">
        <v>86.2</v>
      </c>
      <c r="L112" s="115">
        <v>82.8</v>
      </c>
      <c r="M112" s="115">
        <v>92.4</v>
      </c>
      <c r="N112" s="115">
        <v>66.7</v>
      </c>
      <c r="O112" s="115">
        <v>37.700000000000003</v>
      </c>
      <c r="P112" s="115">
        <v>69.900000000000006</v>
      </c>
      <c r="Q112" s="115">
        <v>64.5</v>
      </c>
      <c r="R112" s="115">
        <v>62.9</v>
      </c>
      <c r="S112" s="115">
        <v>66.400000000000006</v>
      </c>
      <c r="T112" s="115">
        <v>69.599999999999994</v>
      </c>
      <c r="U112" s="115">
        <v>78</v>
      </c>
      <c r="V112" s="115">
        <v>82.9</v>
      </c>
      <c r="W112" s="115">
        <v>77.5</v>
      </c>
      <c r="X112" s="115">
        <v>82.2</v>
      </c>
      <c r="Y112" s="115">
        <v>71.400000000000006</v>
      </c>
      <c r="Z112" s="115">
        <v>100.7</v>
      </c>
      <c r="AA112" s="115">
        <v>101.5</v>
      </c>
      <c r="AB112" s="115">
        <v>62.4</v>
      </c>
      <c r="AC112" s="115">
        <v>82</v>
      </c>
      <c r="AD112" s="115">
        <v>85.4</v>
      </c>
      <c r="AE112" s="115"/>
      <c r="AF112" s="115"/>
      <c r="AG112" s="114">
        <v>240</v>
      </c>
      <c r="AH112" s="47">
        <f t="shared" si="19"/>
        <v>101.5</v>
      </c>
      <c r="AI112" s="48">
        <f t="shared" si="20"/>
        <v>37.700000000000003</v>
      </c>
    </row>
    <row r="113" spans="1:37" x14ac:dyDescent="0.25">
      <c r="A113" s="103" t="s">
        <v>129</v>
      </c>
      <c r="B113" s="115">
        <f>-85.2-91</f>
        <v>-176.2</v>
      </c>
      <c r="C113" s="115">
        <f>-90.2-95.8</f>
        <v>-186</v>
      </c>
      <c r="D113" s="115">
        <f>-92.6-98.5</f>
        <v>-191.1</v>
      </c>
      <c r="E113" s="115">
        <v>-168</v>
      </c>
      <c r="F113" s="115">
        <v>-180</v>
      </c>
      <c r="G113" s="115">
        <v>-147</v>
      </c>
      <c r="H113" s="115">
        <v>-147</v>
      </c>
      <c r="I113" s="115">
        <v>-176</v>
      </c>
      <c r="J113" s="115">
        <v>-130</v>
      </c>
      <c r="K113" s="115">
        <v>-96.4</v>
      </c>
      <c r="L113" s="115">
        <v>-135</v>
      </c>
      <c r="M113" s="115">
        <v>-147</v>
      </c>
      <c r="N113" s="115">
        <v>-130</v>
      </c>
      <c r="O113" s="115">
        <v>-95</v>
      </c>
      <c r="P113" s="115">
        <v>-155</v>
      </c>
      <c r="Q113" s="115">
        <v>-144</v>
      </c>
      <c r="R113" s="115">
        <v>-145</v>
      </c>
      <c r="S113" s="115">
        <v>-154.30000000000001</v>
      </c>
      <c r="T113" s="115">
        <v>-132.5</v>
      </c>
      <c r="U113" s="115">
        <v>-153</v>
      </c>
      <c r="V113" s="115">
        <f>-78-84</f>
        <v>-162</v>
      </c>
      <c r="W113" s="115">
        <v>-163.1</v>
      </c>
      <c r="X113" s="115">
        <v>-153.5</v>
      </c>
      <c r="Y113" s="115">
        <v>-125.6</v>
      </c>
      <c r="Z113" s="115">
        <v>-142.6</v>
      </c>
      <c r="AA113" s="115">
        <v>-146.19999999999999</v>
      </c>
      <c r="AB113" s="115">
        <v>-104</v>
      </c>
      <c r="AC113" s="115">
        <v>-146</v>
      </c>
      <c r="AD113" s="115">
        <v>-170</v>
      </c>
      <c r="AE113" s="115"/>
      <c r="AF113" s="115"/>
      <c r="AG113" s="114">
        <v>240</v>
      </c>
      <c r="AH113" s="47">
        <f t="shared" si="19"/>
        <v>-95</v>
      </c>
      <c r="AI113" s="48">
        <f t="shared" si="20"/>
        <v>-191.1</v>
      </c>
    </row>
    <row r="114" spans="1:37" x14ac:dyDescent="0.25">
      <c r="A114" s="103" t="s">
        <v>130</v>
      </c>
      <c r="B114" s="115">
        <v>-15.3</v>
      </c>
      <c r="C114" s="115">
        <v>-21</v>
      </c>
      <c r="D114" s="115">
        <v>-18.2</v>
      </c>
      <c r="E114" s="115">
        <v>-17.5</v>
      </c>
      <c r="F114" s="115">
        <v>-15.4</v>
      </c>
      <c r="G114" s="115">
        <v>-13.1</v>
      </c>
      <c r="H114" s="115">
        <v>-13.1</v>
      </c>
      <c r="I114" s="115">
        <v>-14.1</v>
      </c>
      <c r="J114" s="115">
        <v>-1.4</v>
      </c>
      <c r="K114" s="115">
        <v>-4.5</v>
      </c>
      <c r="L114" s="115">
        <v>-8.1999999999999993</v>
      </c>
      <c r="M114" s="115">
        <v>-9.4</v>
      </c>
      <c r="N114" s="115">
        <v>-3.9</v>
      </c>
      <c r="O114" s="115">
        <v>2.5</v>
      </c>
      <c r="P114" s="115">
        <v>-2.4</v>
      </c>
      <c r="Q114" s="115">
        <v>-5.8</v>
      </c>
      <c r="R114" s="115">
        <v>-4.4000000000000004</v>
      </c>
      <c r="S114" s="115">
        <v>-1.9</v>
      </c>
      <c r="T114" s="115">
        <v>-1.4</v>
      </c>
      <c r="U114" s="115">
        <v>-4.5999999999999996</v>
      </c>
      <c r="V114" s="115">
        <v>0</v>
      </c>
      <c r="W114" s="115">
        <v>-2.4</v>
      </c>
      <c r="X114" s="115">
        <v>-1.2</v>
      </c>
      <c r="Y114" s="115">
        <v>5.2</v>
      </c>
      <c r="Z114" s="115">
        <v>7</v>
      </c>
      <c r="AA114" s="115">
        <v>22.6</v>
      </c>
      <c r="AB114" s="115">
        <v>12</v>
      </c>
      <c r="AC114" s="115">
        <v>7</v>
      </c>
      <c r="AD114" s="115">
        <v>-3.2</v>
      </c>
      <c r="AE114" s="115"/>
      <c r="AF114" s="115"/>
      <c r="AG114" s="114">
        <v>60</v>
      </c>
      <c r="AH114" s="47">
        <f t="shared" si="19"/>
        <v>22.6</v>
      </c>
      <c r="AI114" s="48">
        <f t="shared" si="20"/>
        <v>-21</v>
      </c>
    </row>
    <row r="115" spans="1:37" x14ac:dyDescent="0.25">
      <c r="A115" s="116" t="s">
        <v>131</v>
      </c>
      <c r="B115" s="117">
        <v>0</v>
      </c>
      <c r="C115" s="117">
        <v>0</v>
      </c>
      <c r="D115" s="117">
        <v>0</v>
      </c>
      <c r="E115" s="117">
        <v>-2</v>
      </c>
      <c r="F115" s="117">
        <v>-2</v>
      </c>
      <c r="G115" s="117">
        <v>-2.1</v>
      </c>
      <c r="H115" s="117">
        <v>-2.1</v>
      </c>
      <c r="I115" s="117">
        <v>-2.7</v>
      </c>
      <c r="J115" s="117">
        <v>-2.5</v>
      </c>
      <c r="K115" s="117">
        <v>7.2</v>
      </c>
      <c r="L115" s="117">
        <v>18.399999999999999</v>
      </c>
      <c r="M115" s="117">
        <v>18.2</v>
      </c>
      <c r="N115" s="117">
        <v>18.600000000000001</v>
      </c>
      <c r="O115" s="117">
        <v>18.8</v>
      </c>
      <c r="P115" s="117">
        <v>42.2</v>
      </c>
      <c r="Q115" s="117">
        <v>37.1</v>
      </c>
      <c r="R115" s="117">
        <v>31.6</v>
      </c>
      <c r="S115" s="117">
        <v>42.2</v>
      </c>
      <c r="T115" s="117">
        <v>10.199999999999999</v>
      </c>
      <c r="U115" s="117">
        <v>18.399999999999999</v>
      </c>
      <c r="V115" s="117">
        <v>18.8</v>
      </c>
      <c r="W115" s="117">
        <v>19.2</v>
      </c>
      <c r="X115" s="117">
        <v>0</v>
      </c>
      <c r="Y115" s="117">
        <v>10.8</v>
      </c>
      <c r="Z115" s="117">
        <v>18.2</v>
      </c>
      <c r="AA115" s="117">
        <v>17.7</v>
      </c>
      <c r="AB115" s="117">
        <v>18</v>
      </c>
      <c r="AC115" s="117">
        <v>18</v>
      </c>
      <c r="AD115" s="117">
        <v>19</v>
      </c>
      <c r="AE115" s="117"/>
      <c r="AF115" s="117"/>
      <c r="AG115" s="118">
        <v>120</v>
      </c>
      <c r="AH115" s="47">
        <f t="shared" si="19"/>
        <v>42.2</v>
      </c>
      <c r="AI115" s="48">
        <f t="shared" si="20"/>
        <v>-2.7</v>
      </c>
    </row>
    <row r="116" spans="1:37" x14ac:dyDescent="0.25">
      <c r="A116" s="116" t="s">
        <v>132</v>
      </c>
      <c r="B116" s="117">
        <v>57.6</v>
      </c>
      <c r="C116" s="117">
        <v>59.8</v>
      </c>
      <c r="D116" s="117">
        <v>50.2</v>
      </c>
      <c r="E116" s="117">
        <v>63.4</v>
      </c>
      <c r="F116" s="117">
        <v>7.6</v>
      </c>
      <c r="G116" s="117">
        <v>54.1</v>
      </c>
      <c r="H116" s="117">
        <v>54.1</v>
      </c>
      <c r="I116" s="117">
        <v>45.1</v>
      </c>
      <c r="J116" s="117">
        <v>64.900000000000006</v>
      </c>
      <c r="K116" s="117">
        <v>72.400000000000006</v>
      </c>
      <c r="L116" s="117">
        <v>62.2</v>
      </c>
      <c r="M116" s="117">
        <v>58.4</v>
      </c>
      <c r="N116" s="117">
        <v>51.7</v>
      </c>
      <c r="O116" s="117">
        <v>94.5</v>
      </c>
      <c r="P116" s="117">
        <v>54.8</v>
      </c>
      <c r="Q116" s="117">
        <v>52.6</v>
      </c>
      <c r="R116" s="117">
        <v>54.2</v>
      </c>
      <c r="S116" s="117">
        <v>48.4</v>
      </c>
      <c r="T116" s="117">
        <v>50</v>
      </c>
      <c r="U116" s="117">
        <v>45.6</v>
      </c>
      <c r="V116" s="117">
        <v>26.1</v>
      </c>
      <c r="W116" s="117">
        <v>26.5</v>
      </c>
      <c r="X116" s="117">
        <v>18.3</v>
      </c>
      <c r="Y116" s="117">
        <v>29</v>
      </c>
      <c r="Z116" s="117">
        <v>34.1</v>
      </c>
      <c r="AA116" s="117">
        <v>23.9</v>
      </c>
      <c r="AB116" s="117">
        <v>52</v>
      </c>
      <c r="AC116" s="117">
        <v>35</v>
      </c>
      <c r="AD116" s="117">
        <v>34</v>
      </c>
      <c r="AE116" s="117"/>
      <c r="AF116" s="117"/>
      <c r="AG116" s="118"/>
      <c r="AH116" s="47">
        <f t="shared" si="19"/>
        <v>94.5</v>
      </c>
      <c r="AI116" s="48">
        <f t="shared" si="20"/>
        <v>7.6</v>
      </c>
    </row>
    <row r="117" spans="1:37" x14ac:dyDescent="0.25">
      <c r="A117" s="116" t="s">
        <v>133</v>
      </c>
      <c r="B117" s="117">
        <v>51.4</v>
      </c>
      <c r="C117" s="117">
        <v>49.1</v>
      </c>
      <c r="D117" s="117">
        <v>46.5</v>
      </c>
      <c r="E117" s="117">
        <v>50.8</v>
      </c>
      <c r="F117" s="117">
        <v>36.1</v>
      </c>
      <c r="G117" s="117">
        <v>35.1</v>
      </c>
      <c r="H117" s="117">
        <v>35.1</v>
      </c>
      <c r="I117" s="117">
        <v>17.100000000000001</v>
      </c>
      <c r="J117" s="117">
        <v>23.4</v>
      </c>
      <c r="K117" s="117">
        <v>26.5</v>
      </c>
      <c r="L117" s="117">
        <v>31.2</v>
      </c>
      <c r="M117" s="117">
        <v>9.1</v>
      </c>
      <c r="N117" s="117">
        <v>17.2</v>
      </c>
      <c r="O117" s="117">
        <v>41</v>
      </c>
      <c r="P117" s="117">
        <v>29.8</v>
      </c>
      <c r="Q117" s="117">
        <v>28.1</v>
      </c>
      <c r="R117" s="117">
        <v>31.6</v>
      </c>
      <c r="S117" s="117">
        <v>27.8</v>
      </c>
      <c r="T117" s="117">
        <v>37.5</v>
      </c>
      <c r="U117" s="117">
        <v>33.799999999999997</v>
      </c>
      <c r="V117" s="117">
        <v>24.2</v>
      </c>
      <c r="W117" s="117">
        <v>25.4</v>
      </c>
      <c r="X117" s="117">
        <v>19.7</v>
      </c>
      <c r="Y117" s="117">
        <v>25.5</v>
      </c>
      <c r="Z117" s="117">
        <v>13.3</v>
      </c>
      <c r="AA117" s="117">
        <v>13.3</v>
      </c>
      <c r="AB117" s="117">
        <v>42</v>
      </c>
      <c r="AC117" s="117">
        <v>36</v>
      </c>
      <c r="AD117" s="117">
        <v>40</v>
      </c>
      <c r="AE117" s="117"/>
      <c r="AF117" s="117"/>
      <c r="AG117" s="119"/>
      <c r="AH117" s="47">
        <f t="shared" si="19"/>
        <v>51.4</v>
      </c>
      <c r="AI117" s="48">
        <f t="shared" si="20"/>
        <v>9.1</v>
      </c>
    </row>
    <row r="118" spans="1:37" x14ac:dyDescent="0.25">
      <c r="A118" s="120" t="s">
        <v>134</v>
      </c>
      <c r="B118" s="106">
        <v>38.200000000000003</v>
      </c>
      <c r="C118" s="106">
        <v>40.5</v>
      </c>
      <c r="D118" s="106">
        <v>43.6</v>
      </c>
      <c r="E118" s="106">
        <v>44.9</v>
      </c>
      <c r="F118" s="106">
        <v>45.3</v>
      </c>
      <c r="G118" s="106">
        <v>41.8</v>
      </c>
      <c r="H118" s="106">
        <v>41.8</v>
      </c>
      <c r="I118" s="106">
        <v>40</v>
      </c>
      <c r="J118" s="106">
        <v>36.1</v>
      </c>
      <c r="K118" s="106">
        <v>32.799999999999997</v>
      </c>
      <c r="L118" s="106">
        <v>29.3</v>
      </c>
      <c r="M118" s="106">
        <v>29.4</v>
      </c>
      <c r="N118" s="106">
        <v>44.2</v>
      </c>
      <c r="O118" s="106">
        <v>48.1</v>
      </c>
      <c r="P118" s="106">
        <v>51.6</v>
      </c>
      <c r="Q118" s="106">
        <v>50.4</v>
      </c>
      <c r="R118" s="106">
        <v>50.7</v>
      </c>
      <c r="S118" s="106">
        <v>40.9</v>
      </c>
      <c r="T118" s="106">
        <v>41.6</v>
      </c>
      <c r="U118" s="106">
        <v>39.6</v>
      </c>
      <c r="V118" s="106">
        <v>37</v>
      </c>
      <c r="W118" s="106">
        <v>34.6</v>
      </c>
      <c r="X118" s="106">
        <v>15</v>
      </c>
      <c r="Y118" s="106">
        <v>32.200000000000003</v>
      </c>
      <c r="Z118" s="106">
        <v>15.5</v>
      </c>
      <c r="AA118" s="106">
        <v>13.5</v>
      </c>
      <c r="AB118" s="106">
        <v>16</v>
      </c>
      <c r="AC118" s="106">
        <v>16</v>
      </c>
      <c r="AD118" s="106">
        <v>21</v>
      </c>
      <c r="AE118" s="106"/>
      <c r="AF118" s="106"/>
      <c r="AG118" s="119"/>
      <c r="AH118" s="47">
        <f t="shared" si="19"/>
        <v>51.6</v>
      </c>
      <c r="AI118" s="48">
        <f t="shared" si="20"/>
        <v>13.5</v>
      </c>
    </row>
    <row r="119" spans="1:37" x14ac:dyDescent="0.25">
      <c r="A119" s="121" t="s">
        <v>135</v>
      </c>
      <c r="B119" s="106">
        <v>90.8</v>
      </c>
      <c r="C119" s="106">
        <v>94.3</v>
      </c>
      <c r="D119" s="106">
        <v>95.6</v>
      </c>
      <c r="E119" s="106">
        <v>89</v>
      </c>
      <c r="F119" s="106">
        <v>96</v>
      </c>
      <c r="G119" s="106">
        <v>81</v>
      </c>
      <c r="H119" s="106">
        <v>81</v>
      </c>
      <c r="I119" s="106">
        <v>90</v>
      </c>
      <c r="J119" s="106">
        <v>65</v>
      </c>
      <c r="K119" s="106">
        <v>52.9</v>
      </c>
      <c r="L119" s="106">
        <v>73.5</v>
      </c>
      <c r="M119" s="106">
        <v>69.900000000000006</v>
      </c>
      <c r="N119" s="106">
        <v>64.5</v>
      </c>
      <c r="O119" s="106">
        <v>45.6</v>
      </c>
      <c r="P119" s="106">
        <v>73.8</v>
      </c>
      <c r="Q119" s="106">
        <v>68.099999999999994</v>
      </c>
      <c r="R119" s="106">
        <v>63.8</v>
      </c>
      <c r="S119" s="106">
        <v>66.3</v>
      </c>
      <c r="T119" s="106">
        <v>59.8</v>
      </c>
      <c r="U119" s="106">
        <v>67.599999999999994</v>
      </c>
      <c r="V119" s="106">
        <v>74</v>
      </c>
      <c r="W119" s="106">
        <v>73.099999999999994</v>
      </c>
      <c r="X119" s="106">
        <v>76</v>
      </c>
      <c r="Y119" s="106">
        <v>66.099999999999994</v>
      </c>
      <c r="Z119" s="106">
        <v>63</v>
      </c>
      <c r="AA119" s="106">
        <v>70.7</v>
      </c>
      <c r="AB119" s="106">
        <v>53</v>
      </c>
      <c r="AC119" s="106">
        <v>71</v>
      </c>
      <c r="AD119" s="106">
        <v>81</v>
      </c>
      <c r="AE119" s="106"/>
      <c r="AF119" s="106"/>
      <c r="AG119" s="119"/>
      <c r="AH119" s="47">
        <f t="shared" si="19"/>
        <v>96</v>
      </c>
      <c r="AI119" s="48">
        <f t="shared" si="20"/>
        <v>45.6</v>
      </c>
    </row>
    <row r="120" spans="1:37" ht="15.75" thickBot="1" x14ac:dyDescent="0.3">
      <c r="A120" s="120" t="s">
        <v>136</v>
      </c>
      <c r="B120" s="106">
        <v>41.7</v>
      </c>
      <c r="C120" s="106">
        <v>36.799999999999997</v>
      </c>
      <c r="D120" s="106">
        <v>26.5</v>
      </c>
      <c r="E120" s="106">
        <v>7.8</v>
      </c>
      <c r="F120" s="106">
        <v>6.6</v>
      </c>
      <c r="G120" s="106">
        <v>-5.0999999999999996</v>
      </c>
      <c r="H120" s="106">
        <v>-5.0999999999999996</v>
      </c>
      <c r="I120" s="106">
        <v>-7.7</v>
      </c>
      <c r="J120" s="106">
        <v>2</v>
      </c>
      <c r="K120" s="106">
        <v>1.6</v>
      </c>
      <c r="L120" s="106">
        <v>2</v>
      </c>
      <c r="M120" s="106">
        <v>2.9</v>
      </c>
      <c r="N120" s="106">
        <v>-7.9</v>
      </c>
      <c r="O120" s="106">
        <v>-17</v>
      </c>
      <c r="P120" s="106">
        <v>-14.9</v>
      </c>
      <c r="Q120" s="106">
        <v>-15.8</v>
      </c>
      <c r="R120" s="106">
        <v>-10.6</v>
      </c>
      <c r="S120" s="106">
        <v>-14.3</v>
      </c>
      <c r="T120" s="106">
        <v>13.7</v>
      </c>
      <c r="U120" s="106">
        <v>23.4</v>
      </c>
      <c r="V120" s="106">
        <v>12.3</v>
      </c>
      <c r="W120" s="106">
        <v>20.5</v>
      </c>
      <c r="X120" s="106">
        <v>22.3</v>
      </c>
      <c r="Y120" s="106">
        <v>26.9</v>
      </c>
      <c r="Z120" s="106">
        <v>46.2</v>
      </c>
      <c r="AA120" s="106">
        <v>65</v>
      </c>
      <c r="AB120" s="106">
        <v>58</v>
      </c>
      <c r="AC120" s="106">
        <v>55</v>
      </c>
      <c r="AD120" s="106">
        <v>47</v>
      </c>
      <c r="AE120" s="106"/>
      <c r="AF120" s="106"/>
      <c r="AG120" s="119"/>
      <c r="AH120" s="47">
        <f t="shared" si="19"/>
        <v>65</v>
      </c>
      <c r="AI120" s="48">
        <f t="shared" si="20"/>
        <v>-17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40">SUM(B122:B226)</f>
        <v>0</v>
      </c>
      <c r="C227" s="137">
        <f t="shared" si="40"/>
        <v>0</v>
      </c>
      <c r="D227" s="137">
        <f t="shared" si="40"/>
        <v>0</v>
      </c>
      <c r="E227" s="137">
        <f t="shared" si="40"/>
        <v>0</v>
      </c>
      <c r="F227" s="137">
        <f t="shared" si="40"/>
        <v>0</v>
      </c>
      <c r="G227" s="137">
        <f t="shared" si="40"/>
        <v>0</v>
      </c>
      <c r="H227" s="137">
        <f t="shared" si="40"/>
        <v>0</v>
      </c>
      <c r="I227" s="137">
        <f t="shared" si="40"/>
        <v>0</v>
      </c>
      <c r="J227" s="137">
        <f t="shared" si="40"/>
        <v>0</v>
      </c>
      <c r="K227" s="137">
        <f t="shared" si="40"/>
        <v>0</v>
      </c>
      <c r="L227" s="137">
        <f t="shared" si="40"/>
        <v>0</v>
      </c>
      <c r="M227" s="137">
        <f t="shared" si="40"/>
        <v>0</v>
      </c>
      <c r="N227" s="137">
        <f t="shared" si="40"/>
        <v>0</v>
      </c>
      <c r="O227" s="137">
        <f t="shared" si="40"/>
        <v>0</v>
      </c>
      <c r="P227" s="137">
        <f t="shared" si="40"/>
        <v>0</v>
      </c>
      <c r="Q227" s="137">
        <f t="shared" si="40"/>
        <v>0</v>
      </c>
      <c r="R227" s="137">
        <f t="shared" si="40"/>
        <v>0</v>
      </c>
      <c r="S227" s="137">
        <f t="shared" si="40"/>
        <v>0</v>
      </c>
      <c r="T227" s="137">
        <f t="shared" si="40"/>
        <v>0</v>
      </c>
      <c r="U227" s="137">
        <f t="shared" si="40"/>
        <v>0</v>
      </c>
      <c r="V227" s="137">
        <f t="shared" si="40"/>
        <v>0</v>
      </c>
      <c r="W227" s="137">
        <f t="shared" si="40"/>
        <v>0</v>
      </c>
      <c r="X227" s="137">
        <f t="shared" si="40"/>
        <v>0</v>
      </c>
      <c r="Y227" s="137">
        <f t="shared" si="40"/>
        <v>0</v>
      </c>
      <c r="Z227" s="137">
        <f t="shared" si="40"/>
        <v>0</v>
      </c>
      <c r="AA227" s="137">
        <f t="shared" si="40"/>
        <v>0</v>
      </c>
      <c r="AB227" s="137">
        <f t="shared" si="40"/>
        <v>0</v>
      </c>
      <c r="AC227" s="137">
        <f t="shared" si="40"/>
        <v>0</v>
      </c>
      <c r="AD227" s="137">
        <f t="shared" si="40"/>
        <v>0</v>
      </c>
      <c r="AE227" s="137">
        <f t="shared" si="40"/>
        <v>0</v>
      </c>
      <c r="AF227" s="138">
        <f t="shared" si="40"/>
        <v>0</v>
      </c>
      <c r="AG227" s="139">
        <f t="shared" si="40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41">AF229</f>
        <v>0</v>
      </c>
      <c r="C229" s="141">
        <v>0.3</v>
      </c>
      <c r="D229" s="141">
        <f t="shared" ref="D229:P234" si="42">C229</f>
        <v>0.3</v>
      </c>
      <c r="E229" s="141">
        <f t="shared" si="42"/>
        <v>0.3</v>
      </c>
      <c r="F229" s="141">
        <f t="shared" si="42"/>
        <v>0.3</v>
      </c>
      <c r="G229" s="141">
        <f t="shared" si="42"/>
        <v>0.3</v>
      </c>
      <c r="H229" s="141">
        <f t="shared" si="42"/>
        <v>0.3</v>
      </c>
      <c r="I229" s="141">
        <f t="shared" si="42"/>
        <v>0.3</v>
      </c>
      <c r="J229" s="141">
        <f t="shared" si="42"/>
        <v>0.3</v>
      </c>
      <c r="K229" s="141">
        <f t="shared" si="42"/>
        <v>0.3</v>
      </c>
      <c r="L229" s="141">
        <f t="shared" si="42"/>
        <v>0.3</v>
      </c>
      <c r="M229" s="141">
        <f t="shared" si="42"/>
        <v>0.3</v>
      </c>
      <c r="N229" s="141">
        <f t="shared" si="42"/>
        <v>0.3</v>
      </c>
      <c r="O229" s="141">
        <f t="shared" si="42"/>
        <v>0.3</v>
      </c>
      <c r="P229" s="141">
        <f t="shared" si="42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41"/>
        <v>0</v>
      </c>
      <c r="C230" s="129">
        <v>0.4</v>
      </c>
      <c r="D230" s="129">
        <f t="shared" si="42"/>
        <v>0.4</v>
      </c>
      <c r="E230" s="129">
        <f t="shared" si="42"/>
        <v>0.4</v>
      </c>
      <c r="F230" s="129">
        <f t="shared" si="42"/>
        <v>0.4</v>
      </c>
      <c r="G230" s="129">
        <f t="shared" si="42"/>
        <v>0.4</v>
      </c>
      <c r="H230" s="129">
        <f t="shared" si="42"/>
        <v>0.4</v>
      </c>
      <c r="I230" s="129">
        <f t="shared" si="42"/>
        <v>0.4</v>
      </c>
      <c r="J230" s="129">
        <f t="shared" si="42"/>
        <v>0.4</v>
      </c>
      <c r="K230" s="129">
        <f t="shared" si="42"/>
        <v>0.4</v>
      </c>
      <c r="L230" s="129">
        <f t="shared" si="42"/>
        <v>0.4</v>
      </c>
      <c r="M230" s="129">
        <f t="shared" si="42"/>
        <v>0.4</v>
      </c>
      <c r="N230" s="129">
        <f t="shared" si="42"/>
        <v>0.4</v>
      </c>
      <c r="O230" s="129">
        <f t="shared" si="42"/>
        <v>0.4</v>
      </c>
      <c r="P230" s="129">
        <f t="shared" si="42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41"/>
        <v>0</v>
      </c>
      <c r="C231" s="129">
        <v>1.5</v>
      </c>
      <c r="D231" s="129">
        <f t="shared" si="42"/>
        <v>1.5</v>
      </c>
      <c r="E231" s="129">
        <f t="shared" si="42"/>
        <v>1.5</v>
      </c>
      <c r="F231" s="129">
        <f t="shared" si="42"/>
        <v>1.5</v>
      </c>
      <c r="G231" s="129">
        <f t="shared" si="42"/>
        <v>1.5</v>
      </c>
      <c r="H231" s="129">
        <f t="shared" si="42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42"/>
        <v>123.21900000000009</v>
      </c>
      <c r="K231" s="129">
        <f t="shared" ca="1" si="42"/>
        <v>123.21900000000009</v>
      </c>
      <c r="L231" s="129">
        <f t="shared" ca="1" si="42"/>
        <v>123.21900000000009</v>
      </c>
      <c r="M231" s="129">
        <f t="shared" ca="1" si="42"/>
        <v>119.19900000000008</v>
      </c>
      <c r="N231" s="129">
        <f t="shared" ca="1" si="42"/>
        <v>119.19900000000008</v>
      </c>
      <c r="O231" s="129">
        <f t="shared" ca="1" si="42"/>
        <v>119.19900000000008</v>
      </c>
      <c r="P231" s="129">
        <f t="shared" ca="1" si="42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41"/>
        <v>0</v>
      </c>
      <c r="C232" s="129">
        <v>0.3</v>
      </c>
      <c r="D232" s="129">
        <f t="shared" si="42"/>
        <v>0.3</v>
      </c>
      <c r="E232" s="129">
        <f t="shared" si="42"/>
        <v>0.3</v>
      </c>
      <c r="F232" s="129">
        <f t="shared" si="42"/>
        <v>0.3</v>
      </c>
      <c r="G232" s="129">
        <f t="shared" si="42"/>
        <v>0.3</v>
      </c>
      <c r="H232" s="129">
        <f t="shared" si="42"/>
        <v>0.3</v>
      </c>
      <c r="I232" s="129">
        <f t="shared" si="42"/>
        <v>0.3</v>
      </c>
      <c r="J232" s="129">
        <f t="shared" si="42"/>
        <v>0.3</v>
      </c>
      <c r="K232" s="129">
        <f t="shared" si="42"/>
        <v>0.3</v>
      </c>
      <c r="L232" s="129">
        <f t="shared" si="42"/>
        <v>0.3</v>
      </c>
      <c r="M232" s="129">
        <f t="shared" si="42"/>
        <v>0.3</v>
      </c>
      <c r="N232" s="129">
        <f t="shared" si="42"/>
        <v>0.3</v>
      </c>
      <c r="O232" s="129">
        <f t="shared" si="42"/>
        <v>0.3</v>
      </c>
      <c r="P232" s="129">
        <f t="shared" si="42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41"/>
        <v>0</v>
      </c>
      <c r="C233" s="129">
        <v>0.4</v>
      </c>
      <c r="D233" s="129">
        <f t="shared" si="42"/>
        <v>0.4</v>
      </c>
      <c r="E233" s="129">
        <f t="shared" si="42"/>
        <v>0.4</v>
      </c>
      <c r="F233" s="129">
        <f t="shared" si="42"/>
        <v>0.4</v>
      </c>
      <c r="G233" s="129">
        <f t="shared" si="42"/>
        <v>0.4</v>
      </c>
      <c r="H233" s="129">
        <f t="shared" si="42"/>
        <v>0.4</v>
      </c>
      <c r="I233" s="129">
        <f t="shared" si="42"/>
        <v>0.4</v>
      </c>
      <c r="J233" s="129">
        <f t="shared" si="42"/>
        <v>0.4</v>
      </c>
      <c r="K233" s="129">
        <f t="shared" si="42"/>
        <v>0.4</v>
      </c>
      <c r="L233" s="129">
        <f t="shared" si="42"/>
        <v>0.4</v>
      </c>
      <c r="M233" s="129">
        <f t="shared" si="42"/>
        <v>0.4</v>
      </c>
      <c r="N233" s="129">
        <f t="shared" si="42"/>
        <v>0.4</v>
      </c>
      <c r="O233" s="129">
        <f t="shared" si="42"/>
        <v>0.4</v>
      </c>
      <c r="P233" s="129">
        <f t="shared" si="42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41"/>
        <v>0</v>
      </c>
      <c r="C234" s="133">
        <v>0.64</v>
      </c>
      <c r="D234" s="133">
        <f t="shared" si="42"/>
        <v>0.64</v>
      </c>
      <c r="E234" s="133">
        <f t="shared" si="42"/>
        <v>0.64</v>
      </c>
      <c r="F234" s="133">
        <f t="shared" si="42"/>
        <v>0.64</v>
      </c>
      <c r="G234" s="133">
        <f t="shared" si="42"/>
        <v>0.64</v>
      </c>
      <c r="H234" s="133">
        <f t="shared" si="42"/>
        <v>0.64</v>
      </c>
      <c r="I234" s="133">
        <f t="shared" si="42"/>
        <v>0.64</v>
      </c>
      <c r="J234" s="133">
        <f t="shared" si="42"/>
        <v>0.64</v>
      </c>
      <c r="K234" s="133">
        <f t="shared" si="42"/>
        <v>0.64</v>
      </c>
      <c r="L234" s="133">
        <f t="shared" si="42"/>
        <v>0.64</v>
      </c>
      <c r="M234" s="133">
        <f t="shared" si="42"/>
        <v>0.64</v>
      </c>
      <c r="N234" s="133">
        <f t="shared" si="42"/>
        <v>0.64</v>
      </c>
      <c r="O234" s="133">
        <f t="shared" si="42"/>
        <v>0.64</v>
      </c>
      <c r="P234" s="133">
        <f t="shared" si="42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43">SUM(B229:B234)</f>
        <v>0</v>
      </c>
      <c r="C235" s="137">
        <f t="shared" si="43"/>
        <v>3.54</v>
      </c>
      <c r="D235" s="137">
        <f t="shared" si="43"/>
        <v>3.54</v>
      </c>
      <c r="E235" s="137">
        <f t="shared" si="43"/>
        <v>3.54</v>
      </c>
      <c r="F235" s="137">
        <f t="shared" si="43"/>
        <v>3.54</v>
      </c>
      <c r="G235" s="137">
        <f t="shared" si="43"/>
        <v>3.54</v>
      </c>
      <c r="H235" s="137">
        <f t="shared" si="43"/>
        <v>3.54</v>
      </c>
      <c r="I235" s="137">
        <f t="shared" ca="1" si="43"/>
        <v>121.23900000000009</v>
      </c>
      <c r="J235" s="137">
        <f t="shared" ca="1" si="43"/>
        <v>121.23900000000009</v>
      </c>
      <c r="K235" s="137">
        <f t="shared" ca="1" si="43"/>
        <v>121.23900000000009</v>
      </c>
      <c r="L235" s="137">
        <f t="shared" ca="1" si="43"/>
        <v>125.2590000000001</v>
      </c>
      <c r="M235" s="137">
        <f t="shared" ca="1" si="43"/>
        <v>121.23900000000009</v>
      </c>
      <c r="N235" s="137">
        <f t="shared" ca="1" si="43"/>
        <v>121.23900000000009</v>
      </c>
      <c r="O235" s="137">
        <f t="shared" ca="1" si="43"/>
        <v>121.23900000000009</v>
      </c>
      <c r="P235" s="137">
        <f t="shared" ca="1" si="43"/>
        <v>121.23900000000009</v>
      </c>
      <c r="Q235" s="137">
        <f t="shared" si="43"/>
        <v>0</v>
      </c>
      <c r="R235" s="137">
        <f t="shared" si="43"/>
        <v>0</v>
      </c>
      <c r="S235" s="137">
        <f t="shared" si="43"/>
        <v>0</v>
      </c>
      <c r="T235" s="137">
        <f t="shared" si="43"/>
        <v>0</v>
      </c>
      <c r="U235" s="137">
        <f t="shared" si="43"/>
        <v>0</v>
      </c>
      <c r="V235" s="137">
        <f t="shared" si="43"/>
        <v>0</v>
      </c>
      <c r="W235" s="137">
        <f t="shared" si="43"/>
        <v>0</v>
      </c>
      <c r="X235" s="137">
        <f t="shared" si="43"/>
        <v>0</v>
      </c>
      <c r="Y235" s="137">
        <f t="shared" si="43"/>
        <v>0</v>
      </c>
      <c r="Z235" s="137">
        <f t="shared" si="43"/>
        <v>0</v>
      </c>
      <c r="AA235" s="137">
        <f t="shared" si="43"/>
        <v>0</v>
      </c>
      <c r="AB235" s="137">
        <f t="shared" si="43"/>
        <v>0</v>
      </c>
      <c r="AC235" s="137">
        <f t="shared" si="43"/>
        <v>0</v>
      </c>
      <c r="AD235" s="137">
        <f t="shared" si="43"/>
        <v>0</v>
      </c>
      <c r="AE235" s="137">
        <f t="shared" si="43"/>
        <v>0</v>
      </c>
      <c r="AF235" s="137">
        <f t="shared" si="43"/>
        <v>0</v>
      </c>
      <c r="AG235" s="146">
        <f t="shared" si="43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1905.04</v>
      </c>
      <c r="C244" s="162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20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2080/03/20)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2080/03/20)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44">B91</f>
        <v>1877.14</v>
      </c>
      <c r="U249" s="171">
        <f t="shared" si="44"/>
        <v>1868.8400000000001</v>
      </c>
      <c r="V249" s="171">
        <f t="shared" si="44"/>
        <v>1855.1399999999999</v>
      </c>
      <c r="W249" s="171">
        <f t="shared" si="44"/>
        <v>1828.94</v>
      </c>
      <c r="X249" s="171">
        <f t="shared" si="44"/>
        <v>1424.04</v>
      </c>
      <c r="Y249" s="171">
        <f t="shared" si="44"/>
        <v>1723.0400000000002</v>
      </c>
      <c r="Z249" s="171">
        <f t="shared" si="44"/>
        <v>1768.04</v>
      </c>
      <c r="AA249" s="171">
        <f t="shared" si="44"/>
        <v>1769.84</v>
      </c>
      <c r="AB249" s="171">
        <f t="shared" si="44"/>
        <v>1825.8400000000001</v>
      </c>
      <c r="AC249" s="171">
        <f t="shared" si="44"/>
        <v>1832.2399999999998</v>
      </c>
      <c r="AD249" s="171">
        <f t="shared" si="44"/>
        <v>1882.54</v>
      </c>
      <c r="AE249" s="171">
        <f t="shared" si="44"/>
        <v>1905.04</v>
      </c>
      <c r="AF249" s="171">
        <f t="shared" si="44"/>
        <v>1856.79</v>
      </c>
      <c r="AG249" s="171">
        <f t="shared" si="44"/>
        <v>1851.24</v>
      </c>
      <c r="AH249" s="171">
        <f t="shared" si="44"/>
        <v>1854.84</v>
      </c>
      <c r="AI249" s="171">
        <f t="shared" si="44"/>
        <v>1852.84</v>
      </c>
      <c r="AJ249" s="171">
        <f t="shared" si="44"/>
        <v>1852.84</v>
      </c>
      <c r="AK249" s="171">
        <f t="shared" si="44"/>
        <v>1858.04</v>
      </c>
      <c r="AL249" s="171">
        <f t="shared" si="44"/>
        <v>1860.44</v>
      </c>
      <c r="AM249" s="171">
        <f t="shared" si="44"/>
        <v>1867.44</v>
      </c>
      <c r="AN249" s="171">
        <f t="shared" si="44"/>
        <v>1872.8400000000001</v>
      </c>
      <c r="AO249" s="171">
        <f t="shared" si="44"/>
        <v>1859.94</v>
      </c>
      <c r="AP249" s="171">
        <f t="shared" si="44"/>
        <v>1855.8400000000001</v>
      </c>
      <c r="AQ249" s="171">
        <f t="shared" si="44"/>
        <v>1840.2400000000002</v>
      </c>
      <c r="AR249" s="171">
        <f t="shared" si="44"/>
        <v>1915.1</v>
      </c>
      <c r="AS249" s="171">
        <f t="shared" si="44"/>
        <v>2011.64</v>
      </c>
      <c r="AT249" s="171">
        <f t="shared" si="44"/>
        <v>1979.44</v>
      </c>
      <c r="AU249" s="171">
        <f t="shared" si="44"/>
        <v>1986.2400000000002</v>
      </c>
      <c r="AV249" s="171">
        <f t="shared" si="44"/>
        <v>1982.3400000000004</v>
      </c>
      <c r="AW249" s="171">
        <f t="shared" si="44"/>
        <v>3.54</v>
      </c>
      <c r="AX249" s="171">
        <f t="shared" si="44"/>
        <v>3.54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45">C234</f>
        <v>0.64</v>
      </c>
      <c r="C270" s="174">
        <f t="shared" si="45"/>
        <v>0.64</v>
      </c>
      <c r="D270" s="174">
        <f t="shared" si="45"/>
        <v>0.64</v>
      </c>
      <c r="E270" s="174">
        <f t="shared" si="45"/>
        <v>0.64</v>
      </c>
      <c r="F270" s="174">
        <f t="shared" si="45"/>
        <v>0.64</v>
      </c>
      <c r="G270" s="174">
        <f t="shared" si="45"/>
        <v>0.64</v>
      </c>
      <c r="H270" s="174">
        <f t="shared" si="45"/>
        <v>0.64</v>
      </c>
      <c r="I270" s="174">
        <f t="shared" si="45"/>
        <v>0.64</v>
      </c>
      <c r="J270" s="174">
        <f t="shared" si="45"/>
        <v>0.64</v>
      </c>
      <c r="K270" s="174">
        <f t="shared" si="45"/>
        <v>0.64</v>
      </c>
      <c r="L270" s="174">
        <f t="shared" si="45"/>
        <v>0.64</v>
      </c>
      <c r="M270" s="174">
        <f t="shared" si="45"/>
        <v>0.64</v>
      </c>
      <c r="N270" s="174">
        <f t="shared" si="45"/>
        <v>0.64</v>
      </c>
      <c r="O270" s="174">
        <f t="shared" si="45"/>
        <v>0.64</v>
      </c>
      <c r="P270" s="174">
        <f t="shared" si="45"/>
        <v>0</v>
      </c>
      <c r="Q270" s="174">
        <f t="shared" si="45"/>
        <v>0</v>
      </c>
      <c r="R270" s="174">
        <f t="shared" si="45"/>
        <v>0</v>
      </c>
      <c r="S270" s="174">
        <f t="shared" si="45"/>
        <v>0</v>
      </c>
      <c r="T270" s="174">
        <f t="shared" si="45"/>
        <v>0</v>
      </c>
      <c r="U270" s="174">
        <f t="shared" si="45"/>
        <v>0</v>
      </c>
      <c r="V270" s="174">
        <f t="shared" si="45"/>
        <v>0</v>
      </c>
      <c r="W270" s="174">
        <f t="shared" si="45"/>
        <v>0</v>
      </c>
      <c r="X270" s="174">
        <f t="shared" si="45"/>
        <v>0</v>
      </c>
      <c r="Y270" s="174">
        <f t="shared" si="45"/>
        <v>0</v>
      </c>
      <c r="Z270" s="174">
        <f t="shared" si="45"/>
        <v>0</v>
      </c>
      <c r="AA270" s="174">
        <f t="shared" si="45"/>
        <v>0</v>
      </c>
      <c r="AB270" s="174">
        <f t="shared" si="45"/>
        <v>0</v>
      </c>
      <c r="AC270" s="174">
        <f t="shared" si="45"/>
        <v>0</v>
      </c>
      <c r="AD270" s="174">
        <f t="shared" si="45"/>
        <v>0</v>
      </c>
      <c r="AE270" s="174">
        <f t="shared" si="45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46">IF(B238&lt;100,"",B238-520)</f>
        <v/>
      </c>
      <c r="C271" s="175" t="str">
        <f t="shared" si="46"/>
        <v/>
      </c>
      <c r="D271" s="175" t="str">
        <f t="shared" si="46"/>
        <v/>
      </c>
      <c r="E271" s="175" t="str">
        <f t="shared" si="46"/>
        <v/>
      </c>
      <c r="F271" s="175" t="str">
        <f t="shared" si="46"/>
        <v/>
      </c>
      <c r="G271" s="175" t="str">
        <f t="shared" si="46"/>
        <v/>
      </c>
      <c r="H271" s="175" t="str">
        <f t="shared" si="46"/>
        <v/>
      </c>
      <c r="I271" s="175" t="str">
        <f t="shared" si="46"/>
        <v/>
      </c>
      <c r="J271" s="175" t="str">
        <f t="shared" si="46"/>
        <v/>
      </c>
      <c r="K271" s="175" t="str">
        <f t="shared" si="46"/>
        <v/>
      </c>
      <c r="L271" s="175" t="str">
        <f t="shared" si="46"/>
        <v/>
      </c>
      <c r="M271" s="175" t="str">
        <f t="shared" si="46"/>
        <v/>
      </c>
      <c r="N271" s="175" t="str">
        <f t="shared" si="46"/>
        <v/>
      </c>
      <c r="O271" s="175" t="str">
        <f t="shared" si="46"/>
        <v/>
      </c>
      <c r="P271" s="175" t="str">
        <f t="shared" si="46"/>
        <v/>
      </c>
      <c r="Q271" s="175" t="str">
        <f t="shared" si="46"/>
        <v/>
      </c>
      <c r="R271" s="175" t="str">
        <f t="shared" si="46"/>
        <v/>
      </c>
      <c r="S271" s="175" t="str">
        <f t="shared" si="46"/>
        <v/>
      </c>
      <c r="T271" s="175" t="str">
        <f t="shared" si="46"/>
        <v/>
      </c>
      <c r="U271" s="175" t="str">
        <f t="shared" si="46"/>
        <v/>
      </c>
      <c r="V271" s="175" t="str">
        <f t="shared" si="46"/>
        <v/>
      </c>
      <c r="W271" s="175" t="str">
        <f t="shared" si="46"/>
        <v/>
      </c>
      <c r="X271" s="175" t="str">
        <f t="shared" si="46"/>
        <v/>
      </c>
      <c r="Y271" s="175" t="str">
        <f t="shared" si="46"/>
        <v/>
      </c>
      <c r="Z271" s="175" t="str">
        <f t="shared" si="46"/>
        <v/>
      </c>
      <c r="AA271" s="175" t="str">
        <f t="shared" si="46"/>
        <v/>
      </c>
      <c r="AB271" s="175" t="str">
        <f t="shared" si="46"/>
        <v/>
      </c>
      <c r="AC271" s="175" t="str">
        <f t="shared" si="46"/>
        <v/>
      </c>
      <c r="AD271" s="175" t="str">
        <f t="shared" si="46"/>
        <v/>
      </c>
      <c r="AE271" s="175" t="str">
        <f t="shared" si="46"/>
        <v/>
      </c>
      <c r="AF271" s="175" t="str">
        <f t="shared" si="46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47">IF(B239&lt;100,"",B239-620)</f>
        <v/>
      </c>
      <c r="C272" s="175" t="str">
        <f t="shared" si="47"/>
        <v/>
      </c>
      <c r="D272" s="175" t="str">
        <f t="shared" si="47"/>
        <v/>
      </c>
      <c r="E272" s="175" t="str">
        <f t="shared" si="47"/>
        <v/>
      </c>
      <c r="F272" s="175" t="str">
        <f t="shared" si="47"/>
        <v/>
      </c>
      <c r="G272" s="175" t="str">
        <f t="shared" si="47"/>
        <v/>
      </c>
      <c r="H272" s="175" t="str">
        <f t="shared" si="47"/>
        <v/>
      </c>
      <c r="I272" s="175" t="str">
        <f t="shared" si="47"/>
        <v/>
      </c>
      <c r="J272" s="175" t="str">
        <f t="shared" si="47"/>
        <v/>
      </c>
      <c r="K272" s="175" t="str">
        <f t="shared" si="47"/>
        <v/>
      </c>
      <c r="L272" s="175" t="str">
        <f t="shared" si="47"/>
        <v/>
      </c>
      <c r="M272" s="175" t="str">
        <f t="shared" si="47"/>
        <v/>
      </c>
      <c r="N272" s="175" t="str">
        <f t="shared" si="47"/>
        <v/>
      </c>
      <c r="O272" s="175" t="str">
        <f t="shared" si="47"/>
        <v/>
      </c>
      <c r="P272" s="175" t="str">
        <f t="shared" si="47"/>
        <v/>
      </c>
      <c r="Q272" s="175" t="str">
        <f t="shared" si="47"/>
        <v/>
      </c>
      <c r="R272" s="175" t="str">
        <f t="shared" si="47"/>
        <v/>
      </c>
      <c r="S272" s="175" t="str">
        <f t="shared" si="47"/>
        <v/>
      </c>
      <c r="T272" s="175" t="str">
        <f t="shared" si="47"/>
        <v/>
      </c>
      <c r="U272" s="175" t="str">
        <f t="shared" si="47"/>
        <v/>
      </c>
      <c r="V272" s="175" t="str">
        <f t="shared" si="47"/>
        <v/>
      </c>
      <c r="W272" s="175" t="str">
        <f t="shared" si="47"/>
        <v/>
      </c>
      <c r="X272" s="175" t="str">
        <f t="shared" si="47"/>
        <v/>
      </c>
      <c r="Y272" s="175" t="str">
        <f t="shared" si="47"/>
        <v/>
      </c>
      <c r="Z272" s="175" t="str">
        <f t="shared" si="47"/>
        <v/>
      </c>
      <c r="AA272" s="175" t="str">
        <f t="shared" si="47"/>
        <v/>
      </c>
      <c r="AB272" s="175" t="str">
        <f t="shared" si="47"/>
        <v/>
      </c>
      <c r="AC272" s="175" t="str">
        <f t="shared" si="47"/>
        <v/>
      </c>
      <c r="AD272" s="175" t="str">
        <f t="shared" si="47"/>
        <v/>
      </c>
      <c r="AE272" s="175" t="str">
        <f t="shared" si="47"/>
        <v/>
      </c>
      <c r="AF272" s="175" t="str">
        <f t="shared" si="47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48">IF(B240&lt;100,"",B240-330)</f>
        <v/>
      </c>
      <c r="C273" s="175" t="str">
        <f t="shared" si="48"/>
        <v/>
      </c>
      <c r="D273" s="175" t="str">
        <f t="shared" si="48"/>
        <v/>
      </c>
      <c r="E273" s="175" t="str">
        <f t="shared" si="48"/>
        <v/>
      </c>
      <c r="F273" s="175" t="str">
        <f t="shared" si="48"/>
        <v/>
      </c>
      <c r="G273" s="175" t="str">
        <f t="shared" si="48"/>
        <v/>
      </c>
      <c r="H273" s="175" t="str">
        <f t="shared" si="48"/>
        <v/>
      </c>
      <c r="I273" s="175" t="str">
        <f t="shared" si="48"/>
        <v/>
      </c>
      <c r="J273" s="175" t="str">
        <f t="shared" si="48"/>
        <v/>
      </c>
      <c r="K273" s="175" t="str">
        <f t="shared" si="48"/>
        <v/>
      </c>
      <c r="L273" s="175" t="str">
        <f t="shared" si="48"/>
        <v/>
      </c>
      <c r="M273" s="175" t="str">
        <f t="shared" si="48"/>
        <v/>
      </c>
      <c r="N273" s="175" t="str">
        <f t="shared" si="48"/>
        <v/>
      </c>
      <c r="O273" s="175" t="str">
        <f t="shared" si="48"/>
        <v/>
      </c>
      <c r="P273" s="175" t="str">
        <f t="shared" si="48"/>
        <v/>
      </c>
      <c r="Q273" s="175" t="str">
        <f t="shared" si="48"/>
        <v/>
      </c>
      <c r="R273" s="175" t="str">
        <f t="shared" si="48"/>
        <v/>
      </c>
      <c r="S273" s="175" t="str">
        <f t="shared" si="48"/>
        <v/>
      </c>
      <c r="T273" s="175" t="str">
        <f t="shared" si="48"/>
        <v/>
      </c>
      <c r="U273" s="175" t="str">
        <f t="shared" si="48"/>
        <v/>
      </c>
      <c r="V273" s="175" t="str">
        <f t="shared" si="48"/>
        <v/>
      </c>
      <c r="W273" s="175" t="str">
        <f t="shared" si="48"/>
        <v/>
      </c>
      <c r="X273" s="175" t="str">
        <f t="shared" si="48"/>
        <v/>
      </c>
      <c r="Y273" s="175" t="str">
        <f t="shared" si="48"/>
        <v/>
      </c>
      <c r="Z273" s="175" t="str">
        <f t="shared" si="48"/>
        <v/>
      </c>
      <c r="AA273" s="175" t="str">
        <f t="shared" si="48"/>
        <v/>
      </c>
      <c r="AB273" s="175" t="str">
        <f t="shared" si="48"/>
        <v/>
      </c>
      <c r="AC273" s="175" t="str">
        <f t="shared" si="48"/>
        <v/>
      </c>
      <c r="AD273" s="175" t="str">
        <f t="shared" si="48"/>
        <v/>
      </c>
      <c r="AE273" s="175" t="str">
        <f t="shared" si="48"/>
        <v/>
      </c>
      <c r="AF273" s="175" t="str">
        <f t="shared" si="48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49">IF(B241&lt;100,"",B241-1500)</f>
        <v/>
      </c>
      <c r="C274" s="175" t="str">
        <f t="shared" si="49"/>
        <v/>
      </c>
      <c r="D274" s="175" t="str">
        <f t="shared" si="49"/>
        <v/>
      </c>
      <c r="E274" s="175" t="str">
        <f t="shared" si="49"/>
        <v/>
      </c>
      <c r="F274" s="175" t="str">
        <f t="shared" si="49"/>
        <v/>
      </c>
      <c r="G274" s="175" t="str">
        <f t="shared" si="49"/>
        <v/>
      </c>
      <c r="H274" s="175" t="str">
        <f t="shared" si="49"/>
        <v/>
      </c>
      <c r="I274" s="175" t="str">
        <f t="shared" si="49"/>
        <v/>
      </c>
      <c r="J274" s="175" t="str">
        <f t="shared" si="49"/>
        <v/>
      </c>
      <c r="K274" s="175" t="str">
        <f t="shared" si="49"/>
        <v/>
      </c>
      <c r="L274" s="175" t="str">
        <f t="shared" si="49"/>
        <v/>
      </c>
      <c r="M274" s="175" t="str">
        <f t="shared" si="49"/>
        <v/>
      </c>
      <c r="N274" s="175" t="str">
        <f t="shared" si="49"/>
        <v/>
      </c>
      <c r="O274" s="175" t="str">
        <f t="shared" si="49"/>
        <v/>
      </c>
      <c r="P274" s="175" t="str">
        <f t="shared" si="49"/>
        <v/>
      </c>
      <c r="Q274" s="175" t="str">
        <f t="shared" si="49"/>
        <v/>
      </c>
      <c r="R274" s="175" t="str">
        <f t="shared" si="49"/>
        <v/>
      </c>
      <c r="S274" s="175" t="str">
        <f t="shared" si="49"/>
        <v/>
      </c>
      <c r="T274" s="175" t="str">
        <f t="shared" si="49"/>
        <v/>
      </c>
      <c r="U274" s="175" t="str">
        <f t="shared" si="49"/>
        <v/>
      </c>
      <c r="V274" s="175" t="str">
        <f t="shared" si="49"/>
        <v/>
      </c>
      <c r="W274" s="175" t="str">
        <f t="shared" si="49"/>
        <v/>
      </c>
      <c r="X274" s="175" t="str">
        <f t="shared" si="49"/>
        <v/>
      </c>
      <c r="Y274" s="175" t="str">
        <f t="shared" si="49"/>
        <v/>
      </c>
      <c r="Z274" s="175" t="str">
        <f t="shared" si="49"/>
        <v/>
      </c>
      <c r="AA274" s="175" t="str">
        <f t="shared" si="49"/>
        <v/>
      </c>
      <c r="AB274" s="175" t="str">
        <f t="shared" si="49"/>
        <v/>
      </c>
      <c r="AC274" s="175" t="str">
        <f t="shared" si="49"/>
        <v/>
      </c>
      <c r="AD274" s="175" t="str">
        <f t="shared" si="49"/>
        <v/>
      </c>
      <c r="AE274" s="175" t="str">
        <f t="shared" si="49"/>
        <v/>
      </c>
      <c r="AF274" s="175" t="str">
        <f t="shared" si="49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486" priority="281">
      <formula>$AH11=0</formula>
    </cfRule>
  </conditionalFormatting>
  <conditionalFormatting sqref="B8 M8 S8 AB8">
    <cfRule type="expression" dxfId="485" priority="535">
      <formula>C$9&lt;8/24</formula>
    </cfRule>
    <cfRule type="expression" dxfId="484" priority="533">
      <formula>AND(C$9&gt;=14/24,C$9&lt;20/24)</formula>
    </cfRule>
    <cfRule type="expression" dxfId="483" priority="534">
      <formula>AND(C$9&gt;=8/24,C$9&lt;14/24)</formula>
    </cfRule>
  </conditionalFormatting>
  <conditionalFormatting sqref="B69:D75 B93:AF109">
    <cfRule type="expression" dxfId="482" priority="70">
      <formula>AND(B$9&gt;=14/24,B$9&lt;20/24)</formula>
    </cfRule>
    <cfRule type="expression" dxfId="481" priority="69">
      <formula>B$9&gt;=20/24</formula>
    </cfRule>
    <cfRule type="expression" dxfId="480" priority="71">
      <formula>AND(B$9&gt;=8/24,B$9&lt;14/24)</formula>
    </cfRule>
    <cfRule type="expression" dxfId="479" priority="72">
      <formula>B$9&lt;8/24</formula>
    </cfRule>
  </conditionalFormatting>
  <conditionalFormatting sqref="B76:D91">
    <cfRule type="expression" dxfId="478" priority="1">
      <formula>B$9&gt;=20/24</formula>
    </cfRule>
    <cfRule type="expression" dxfId="477" priority="2">
      <formula>AND(B$9&gt;=14/24,B$9&lt;20/24)</formula>
    </cfRule>
    <cfRule type="expression" dxfId="476" priority="3">
      <formula>AND(B$9&gt;=8/24,B$9&lt;14/24)</formula>
    </cfRule>
    <cfRule type="expression" dxfId="475" priority="4">
      <formula>B$9&lt;8/24</formula>
    </cfRule>
  </conditionalFormatting>
  <conditionalFormatting sqref="B55:E66">
    <cfRule type="expression" dxfId="474" priority="55">
      <formula>B$9&gt;=20/24</formula>
    </cfRule>
    <cfRule type="expression" dxfId="473" priority="56">
      <formula>AND(B$9&gt;=14/24,B$9&lt;20/24)</formula>
    </cfRule>
    <cfRule type="expression" dxfId="472" priority="57">
      <formula>AND(B$9&gt;=8/24,B$9&lt;14/24)</formula>
    </cfRule>
    <cfRule type="expression" dxfId="471" priority="58">
      <formula>B$9&lt;8/24</formula>
    </cfRule>
  </conditionalFormatting>
  <conditionalFormatting sqref="B11:O34">
    <cfRule type="expression" dxfId="470" priority="9">
      <formula>B11&gt;$AG11</formula>
    </cfRule>
    <cfRule type="expression" dxfId="469" priority="10">
      <formula>B$9&gt;=20/24</formula>
    </cfRule>
    <cfRule type="expression" dxfId="468" priority="11">
      <formula>AND(B$9&gt;=14/24,B$9&lt;20/24)</formula>
    </cfRule>
    <cfRule type="expression" dxfId="467" priority="12">
      <formula>AND(B$9&gt;=8/24,B$9&lt;14/24)</formula>
    </cfRule>
    <cfRule type="expression" dxfId="466" priority="13">
      <formula>B$9&lt;8/24</formula>
    </cfRule>
  </conditionalFormatting>
  <conditionalFormatting sqref="B35:Z45">
    <cfRule type="expression" dxfId="465" priority="24">
      <formula>B$9&gt;=20/24</formula>
    </cfRule>
    <cfRule type="expression" dxfId="464" priority="25">
      <formula>AND(B$9&gt;=14/24,B$9&lt;20/24)</formula>
    </cfRule>
    <cfRule type="expression" dxfId="463" priority="26">
      <formula>AND(B$9&gt;=8/24,B$9&lt;14/24)</formula>
    </cfRule>
    <cfRule type="expression" dxfId="462" priority="27">
      <formula>B$9&lt;8/24</formula>
    </cfRule>
  </conditionalFormatting>
  <conditionalFormatting sqref="B35:Z46">
    <cfRule type="expression" dxfId="461" priority="22">
      <formula>B35&gt;$AG35</formula>
    </cfRule>
  </conditionalFormatting>
  <conditionalFormatting sqref="B47:Z47">
    <cfRule type="expression" dxfId="460" priority="53">
      <formula>B47&gt;$AG47</formula>
    </cfRule>
  </conditionalFormatting>
  <conditionalFormatting sqref="B9:AF10 B227:AF227 D229:AF230 B229:B235 D231:H231 J231:AF231 D232:AF235 U248:AF248">
    <cfRule type="expression" dxfId="459" priority="529">
      <formula>B$9&lt;8/24</formula>
    </cfRule>
    <cfRule type="expression" dxfId="458" priority="528">
      <formula>AND(B$9&gt;=8/24,B$9&lt;14/24)</formula>
    </cfRule>
    <cfRule type="expression" dxfId="457" priority="526">
      <formula>B$9&gt;=20/24</formula>
    </cfRule>
    <cfRule type="expression" dxfId="456" priority="527">
      <formula>AND(B$9&gt;=14/24,B$9&lt;20/24)</formula>
    </cfRule>
  </conditionalFormatting>
  <conditionalFormatting sqref="B46:AF46">
    <cfRule type="expression" dxfId="455" priority="18">
      <formula>B$9&gt;=20/24</formula>
    </cfRule>
    <cfRule type="expression" dxfId="454" priority="19">
      <formula>AND(B$9&gt;=14/24,B$9&lt;20/24)</formula>
    </cfRule>
    <cfRule type="expression" dxfId="453" priority="20">
      <formula>AND(B$9&gt;=8/24,B$9&lt;14/24)</formula>
    </cfRule>
    <cfRule type="expression" dxfId="452" priority="21">
      <formula>B$9&lt;8/24</formula>
    </cfRule>
  </conditionalFormatting>
  <conditionalFormatting sqref="B47:AF49">
    <cfRule type="expression" dxfId="451" priority="43">
      <formula>B$9&lt;8/24</formula>
    </cfRule>
    <cfRule type="expression" dxfId="450" priority="41">
      <formula>AND(B$9&gt;=14/24,B$9&lt;20/24)</formula>
    </cfRule>
    <cfRule type="expression" dxfId="449" priority="40">
      <formula>B$9&gt;=20/24</formula>
    </cfRule>
    <cfRule type="expression" dxfId="448" priority="42">
      <formula>AND(B$9&gt;=8/24,B$9&lt;14/24)</formula>
    </cfRule>
  </conditionalFormatting>
  <conditionalFormatting sqref="B48:AF49">
    <cfRule type="expression" dxfId="447" priority="39">
      <formula>B48&gt;$AG48</formula>
    </cfRule>
  </conditionalFormatting>
  <conditionalFormatting sqref="B51:AF53">
    <cfRule type="expression" dxfId="446" priority="90">
      <formula>B51&gt;$AG51</formula>
    </cfRule>
    <cfRule type="expression" dxfId="445" priority="91">
      <formula>B$9&gt;=20/24</formula>
    </cfRule>
    <cfRule type="expression" dxfId="444" priority="92">
      <formula>AND(B$9&gt;=14/24,B$9&lt;20/24)</formula>
    </cfRule>
    <cfRule type="expression" dxfId="443" priority="93">
      <formula>AND(B$9&gt;=8/24,B$9&lt;14/24)</formula>
    </cfRule>
    <cfRule type="expression" dxfId="442" priority="94">
      <formula>B$9&lt;8/24</formula>
    </cfRule>
  </conditionalFormatting>
  <conditionalFormatting sqref="B55:AF72">
    <cfRule type="expression" dxfId="441" priority="54">
      <formula>B55&gt;$AG55</formula>
    </cfRule>
  </conditionalFormatting>
  <conditionalFormatting sqref="B111:AF120">
    <cfRule type="expression" dxfId="440" priority="14">
      <formula>B$9&gt;=20/24</formula>
    </cfRule>
    <cfRule type="expression" dxfId="439" priority="15">
      <formula>AND(B$9&gt;=14/24,B$9&lt;20/24)</formula>
    </cfRule>
    <cfRule type="expression" dxfId="438" priority="16">
      <formula>AND(B$9&gt;=8/24,B$9&lt;14/24)</formula>
    </cfRule>
    <cfRule type="expression" dxfId="437" priority="17">
      <formula>B$9&lt;8/24</formula>
    </cfRule>
  </conditionalFormatting>
  <conditionalFormatting sqref="B50:AG50">
    <cfRule type="expression" dxfId="436" priority="38">
      <formula>B50&gt;$AG50</formula>
    </cfRule>
  </conditionalFormatting>
  <conditionalFormatting sqref="B54:AG54">
    <cfRule type="expression" dxfId="435" priority="63">
      <formula>B$9&lt;8/24</formula>
    </cfRule>
    <cfRule type="expression" dxfId="434" priority="59">
      <formula>B54&gt;$AG54</formula>
    </cfRule>
    <cfRule type="expression" dxfId="433" priority="60">
      <formula>B$9&gt;=20/24</formula>
    </cfRule>
    <cfRule type="expression" dxfId="432" priority="61">
      <formula>AND(B$9&gt;=14/24,B$9&lt;20/24)</formula>
    </cfRule>
    <cfRule type="expression" dxfId="431" priority="62">
      <formula>AND(B$9&gt;=8/24,B$9&lt;14/24)</formula>
    </cfRule>
  </conditionalFormatting>
  <conditionalFormatting sqref="E69:AF91">
    <cfRule type="expression" dxfId="430" priority="128">
      <formula>AND(E$9&gt;=8/24,E$9&lt;14/24)</formula>
    </cfRule>
    <cfRule type="expression" dxfId="429" priority="126">
      <formula>E$9&gt;=20/24</formula>
    </cfRule>
    <cfRule type="expression" dxfId="428" priority="127">
      <formula>AND(E$9&gt;=14/24,E$9&lt;20/24)</formula>
    </cfRule>
    <cfRule type="expression" dxfId="427" priority="129">
      <formula>E$9&lt;8/24</formula>
    </cfRule>
  </conditionalFormatting>
  <conditionalFormatting sqref="F55:O57">
    <cfRule type="expression" dxfId="426" priority="467">
      <formula>F$9&lt;8/24</formula>
    </cfRule>
    <cfRule type="expression" dxfId="425" priority="466">
      <formula>AND(F$9&gt;=8/24,F$9&lt;14/24)</formula>
    </cfRule>
    <cfRule type="expression" dxfId="424" priority="465">
      <formula>AND(F$9&gt;=14/24,F$9&lt;20/24)</formula>
    </cfRule>
    <cfRule type="expression" dxfId="423" priority="464">
      <formula>F$9&gt;=20/24</formula>
    </cfRule>
  </conditionalFormatting>
  <conditionalFormatting sqref="F60:U60">
    <cfRule type="expression" dxfId="422" priority="319">
      <formula>AND(F$9&gt;=14/24,F$9&lt;20/24)</formula>
    </cfRule>
    <cfRule type="expression" dxfId="421" priority="318">
      <formula>F$9&gt;=20/24</formula>
    </cfRule>
    <cfRule type="expression" dxfId="420" priority="321">
      <formula>F$9&lt;8/24</formula>
    </cfRule>
    <cfRule type="expression" dxfId="419" priority="320">
      <formula>AND(F$9&gt;=8/24,F$9&lt;14/24)</formula>
    </cfRule>
  </conditionalFormatting>
  <conditionalFormatting sqref="F61:AF66">
    <cfRule type="expression" dxfId="418" priority="145">
      <formula>AND(F$9&gt;=8/24,F$9&lt;14/24)</formula>
    </cfRule>
    <cfRule type="expression" dxfId="417" priority="146">
      <formula>F$9&lt;8/24</formula>
    </cfRule>
    <cfRule type="expression" dxfId="416" priority="144">
      <formula>AND(F$9&gt;=14/24,F$9&lt;20/24)</formula>
    </cfRule>
    <cfRule type="expression" dxfId="415" priority="143">
      <formula>F$9&gt;=20/24</formula>
    </cfRule>
  </conditionalFormatting>
  <conditionalFormatting sqref="O3:P3">
    <cfRule type="iconSet" priority="530">
      <iconSet iconSet="3TrafficLights2" reverse="1">
        <cfvo type="percent" val="0"/>
        <cfvo type="num" val="1"/>
        <cfvo type="num" val="1"/>
      </iconSet>
    </cfRule>
  </conditionalFormatting>
  <conditionalFormatting sqref="P55:U59">
    <cfRule type="expression" dxfId="414" priority="482">
      <formula>P$9&gt;=20/24</formula>
    </cfRule>
    <cfRule type="expression" dxfId="413" priority="483">
      <formula>AND(P$9&gt;=14/24,P$9&lt;20/24)</formula>
    </cfRule>
    <cfRule type="expression" dxfId="412" priority="484">
      <formula>AND(P$9&gt;=8/24,P$9&lt;14/24)</formula>
    </cfRule>
    <cfRule type="expression" dxfId="411" priority="485">
      <formula>P$9&lt;8/24</formula>
    </cfRule>
  </conditionalFormatting>
  <conditionalFormatting sqref="P19:Z34 AA19:AF45">
    <cfRule type="expression" dxfId="410" priority="219">
      <formula>P$9&lt;8/24</formula>
    </cfRule>
    <cfRule type="expression" dxfId="409" priority="218">
      <formula>AND(P$9&gt;=8/24,P$9&lt;14/24)</formula>
    </cfRule>
    <cfRule type="expression" dxfId="408" priority="217">
      <formula>AND(P$9&gt;=14/24,P$9&lt;20/24)</formula>
    </cfRule>
    <cfRule type="expression" dxfId="407" priority="216">
      <formula>P$9&gt;=20/24</formula>
    </cfRule>
  </conditionalFormatting>
  <conditionalFormatting sqref="P11:AF18">
    <cfRule type="expression" dxfId="406" priority="166">
      <formula>P11&gt;$AG11</formula>
    </cfRule>
    <cfRule type="expression" dxfId="405" priority="170">
      <formula>P$9&lt;8/24</formula>
    </cfRule>
    <cfRule type="expression" dxfId="404" priority="169">
      <formula>AND(P$9&gt;=8/24,P$9&lt;14/24)</formula>
    </cfRule>
    <cfRule type="expression" dxfId="403" priority="168">
      <formula>AND(P$9&gt;=14/24,P$9&lt;20/24)</formula>
    </cfRule>
    <cfRule type="expression" dxfId="402" priority="167">
      <formula>P$9&gt;=20/24</formula>
    </cfRule>
  </conditionalFormatting>
  <conditionalFormatting sqref="S8 AB8 B8 M8">
    <cfRule type="expression" dxfId="401" priority="532">
      <formula>C$9&gt;=20/24</formula>
    </cfRule>
  </conditionalFormatting>
  <conditionalFormatting sqref="S8">
    <cfRule type="expression" dxfId="400" priority="505">
      <formula>U$9&gt;=20/24</formula>
    </cfRule>
    <cfRule type="expression" dxfId="399" priority="508">
      <formula>U$9&lt;8/24</formula>
    </cfRule>
    <cfRule type="expression" dxfId="398" priority="507">
      <formula>AND(U$9&gt;=8/24,U$9&lt;14/24)</formula>
    </cfRule>
    <cfRule type="expression" dxfId="397" priority="506">
      <formula>AND(U$9&gt;=14/24,U$9&lt;20/24)</formula>
    </cfRule>
  </conditionalFormatting>
  <conditionalFormatting sqref="T248">
    <cfRule type="expression" dxfId="396" priority="548">
      <formula>AX$9&lt;8/24</formula>
    </cfRule>
    <cfRule type="expression" dxfId="395" priority="545">
      <formula>AX$9&gt;=20/24</formula>
    </cfRule>
    <cfRule type="expression" dxfId="394" priority="546">
      <formula>AND(AX$9&gt;=14/24,AX$9&lt;20/24)</formula>
    </cfRule>
    <cfRule type="expression" dxfId="393" priority="547">
      <formula>AND(AX$9&gt;=8/24,AX$9&lt;14/24)</formula>
    </cfRule>
  </conditionalFormatting>
  <conditionalFormatting sqref="V3 AB3">
    <cfRule type="iconSet" priority="531">
      <iconSet iconSet="3TrafficLights2" reverse="1">
        <cfvo type="percent" val="0"/>
        <cfvo type="num" val="1"/>
        <cfvo type="num" val="1"/>
      </iconSet>
    </cfRule>
  </conditionalFormatting>
  <conditionalFormatting sqref="V55:AF60">
    <cfRule type="expression" dxfId="392" priority="148">
      <formula>V$9&gt;=20/24</formula>
    </cfRule>
    <cfRule type="expression" dxfId="391" priority="149">
      <formula>AND(V$9&gt;=14/24,V$9&lt;20/24)</formula>
    </cfRule>
    <cfRule type="expression" dxfId="390" priority="150">
      <formula>AND(V$9&gt;=8/24,V$9&lt;14/24)</formula>
    </cfRule>
    <cfRule type="expression" dxfId="389" priority="151">
      <formula>V$9&lt;8/24</formula>
    </cfRule>
  </conditionalFormatting>
  <conditionalFormatting sqref="AA19:AF47 P19:Z34">
    <cfRule type="expression" dxfId="388" priority="215">
      <formula>P19&gt;$AG19</formula>
    </cfRule>
  </conditionalFormatting>
  <conditionalFormatting sqref="AB8">
    <cfRule type="expression" dxfId="387" priority="504">
      <formula>AD$9&lt;8/24</formula>
    </cfRule>
    <cfRule type="expression" dxfId="386" priority="501">
      <formula>AD$9&gt;=20/24</formula>
    </cfRule>
    <cfRule type="expression" dxfId="385" priority="502">
      <formula>AND(AD$9&gt;=14/24,AD$9&lt;20/24)</formula>
    </cfRule>
    <cfRule type="expression" dxfId="384" priority="503">
      <formula>AND(AD$9&gt;=8/24,AD$9&lt;14/24)</formula>
    </cfRule>
  </conditionalFormatting>
  <conditionalFormatting sqref="AG67:AG68 AG72">
    <cfRule type="expression" dxfId="383" priority="458">
      <formula>AG67&gt;$AG67</formula>
    </cfRule>
  </conditionalFormatting>
  <conditionalFormatting sqref="AG72 AG89">
    <cfRule type="expression" dxfId="382" priority="462">
      <formula>AG$9&lt;8/24</formula>
    </cfRule>
    <cfRule type="expression" dxfId="381" priority="459">
      <formula>AG$9&gt;=20/24</formula>
    </cfRule>
    <cfRule type="expression" dxfId="380" priority="461">
      <formula>AND(AG$9&gt;=8/24,AG$9&lt;14/24)</formula>
    </cfRule>
    <cfRule type="expression" dxfId="379" priority="460">
      <formula>AND(AG$9&gt;=14/24,AG$9&lt;20/24)</formula>
    </cfRule>
  </conditionalFormatting>
  <conditionalFormatting sqref="AG248">
    <cfRule type="expression" dxfId="378" priority="540">
      <formula>B$9&lt;8/24</formula>
    </cfRule>
    <cfRule type="expression" dxfId="377" priority="537">
      <formula>B$9&gt;=20/24</formula>
    </cfRule>
    <cfRule type="expression" dxfId="376" priority="538">
      <formula>AND(B$9&gt;=14/24,B$9&lt;20/24)</formula>
    </cfRule>
    <cfRule type="expression" dxfId="375" priority="539">
      <formula>AND(B$9&gt;=8/24,B$9&lt;14/24)</formula>
    </cfRule>
  </conditionalFormatting>
  <conditionalFormatting sqref="AH248:AX248">
    <cfRule type="expression" dxfId="374" priority="541">
      <formula>AG$9&gt;=20/24</formula>
    </cfRule>
    <cfRule type="expression" dxfId="373" priority="542">
      <formula>AND(AG$9&gt;=14/24,AG$9&lt;20/24)</formula>
    </cfRule>
    <cfRule type="expression" dxfId="372" priority="543">
      <formula>AND(AG$9&gt;=8/24,AG$9&lt;14/24)</formula>
    </cfRule>
    <cfRule type="expression" dxfId="371" priority="544">
      <formula>AG$9&lt;8/24</formula>
    </cfRule>
  </conditionalFormatting>
  <conditionalFormatting sqref="AL4:AL6">
    <cfRule type="iconSet" priority="525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422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43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521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509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549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370" priority="550">
      <formula>AJ$9&gt;=20/24</formula>
    </cfRule>
    <cfRule type="expression" dxfId="369" priority="551">
      <formula>AND(AJ$9&gt;=14/24,AJ$9&lt;20/24)</formula>
    </cfRule>
    <cfRule type="expression" dxfId="368" priority="552">
      <formula>AND(AJ$9&gt;=8/24,AJ$9&lt;14/24)</formula>
    </cfRule>
    <cfRule type="expression" dxfId="367" priority="553">
      <formula>AJ$9&lt;8/24</formula>
    </cfRule>
  </conditionalFormatting>
  <conditionalFormatting sqref="AL80:AN80 AL86:AN86">
    <cfRule type="expression" dxfId="366" priority="352">
      <formula>AND(AL$9&gt;=8/24,AL$9&lt;14/24)</formula>
    </cfRule>
    <cfRule type="expression" dxfId="365" priority="351">
      <formula>AND(AL$9&gt;=14/24,AL$9&lt;20/24)</formula>
    </cfRule>
    <cfRule type="expression" dxfId="364" priority="350">
      <formula>AL$9&gt;=20/24</formula>
    </cfRule>
    <cfRule type="expression" dxfId="363" priority="353">
      <formula>AL$9&lt;8/24</formula>
    </cfRule>
  </conditionalFormatting>
  <conditionalFormatting sqref="AN81:AN84">
    <cfRule type="expression" dxfId="362" priority="349">
      <formula>AN$9&lt;8/24</formula>
    </cfRule>
    <cfRule type="expression" dxfId="361" priority="347">
      <formula>AND(AN$9&gt;=14/24,AN$9&lt;20/24)</formula>
    </cfRule>
    <cfRule type="expression" dxfId="360" priority="346">
      <formula>AN$9&gt;=20/24</formula>
    </cfRule>
    <cfRule type="expression" dxfId="359" priority="348">
      <formula>AND(AN$9&gt;=8/24,AN$9&lt;14/24)</formula>
    </cfRule>
  </conditionalFormatting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9072-0CFE-4E48-8C7B-7044C9306B90}">
  <dimension ref="A1:CJ281"/>
  <sheetViews>
    <sheetView zoomScale="82" zoomScaleNormal="82" workbookViewId="0">
      <pane xSplit="1" ySplit="10" topLeftCell="I65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F64" sqref="F64:AF6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6" style="1" bestFit="1" customWidth="1"/>
    <col min="12" max="13" width="6.42578125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2" width="8" style="1" customWidth="1"/>
    <col min="23" max="23" width="10" style="1" customWidth="1"/>
    <col min="24" max="24" width="6.85546875" style="1" customWidth="1"/>
    <col min="25" max="25" width="8.7109375" style="1" customWidth="1"/>
    <col min="26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2080/03/21</v>
      </c>
      <c r="C4" s="187"/>
      <c r="D4" s="187"/>
      <c r="E4" s="188" t="str">
        <f ca="1">"2079/"&amp;"12/"&amp;INT(MID(CELL("filename",G6),FIND("]",CELL("filename",G6))+1,200))</f>
        <v>2079/12/21</v>
      </c>
      <c r="F4" s="188"/>
      <c r="G4" s="188"/>
      <c r="H4" s="188" t="str">
        <f ca="1">TEXT(E4,"dddd")</f>
        <v>Thursday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51</v>
      </c>
      <c r="C5" s="30">
        <f t="shared" si="0"/>
        <v>33</v>
      </c>
      <c r="D5" s="30">
        <f t="shared" si="0"/>
        <v>0</v>
      </c>
      <c r="E5" s="30">
        <f t="shared" si="0"/>
        <v>2.5</v>
      </c>
      <c r="F5" s="30">
        <f t="shared" si="0"/>
        <v>10.9</v>
      </c>
      <c r="G5" s="30">
        <f t="shared" si="0"/>
        <v>5.0999999999999996</v>
      </c>
      <c r="H5" s="30">
        <f t="shared" si="0"/>
        <v>0</v>
      </c>
      <c r="I5" s="30">
        <f t="shared" si="0"/>
        <v>0</v>
      </c>
      <c r="J5" s="30">
        <f t="shared" si="0"/>
        <v>16.3</v>
      </c>
      <c r="K5" s="30">
        <f t="shared" si="0"/>
        <v>18.3</v>
      </c>
      <c r="L5" s="30">
        <f t="shared" si="0"/>
        <v>15.2</v>
      </c>
      <c r="M5" s="30">
        <f t="shared" si="0"/>
        <v>23.3</v>
      </c>
      <c r="N5" s="30">
        <f t="shared" si="0"/>
        <v>20</v>
      </c>
      <c r="O5" s="30">
        <f t="shared" si="0"/>
        <v>41</v>
      </c>
      <c r="P5" s="30">
        <f t="shared" si="0"/>
        <v>35</v>
      </c>
      <c r="Q5" s="30">
        <f t="shared" si="0"/>
        <v>37.200000000000003</v>
      </c>
      <c r="R5" s="30">
        <f t="shared" si="0"/>
        <v>52.1</v>
      </c>
      <c r="S5" s="30">
        <f t="shared" si="0"/>
        <v>48.5</v>
      </c>
      <c r="T5" s="30">
        <f t="shared" si="0"/>
        <v>41.4</v>
      </c>
      <c r="U5" s="30">
        <f t="shared" si="0"/>
        <v>21.8</v>
      </c>
      <c r="V5" s="30">
        <f t="shared" si="0"/>
        <v>21.8</v>
      </c>
      <c r="W5" s="30">
        <f t="shared" si="0"/>
        <v>30</v>
      </c>
      <c r="X5" s="30">
        <f t="shared" si="0"/>
        <v>36.799999999999997</v>
      </c>
      <c r="Y5" s="30">
        <f t="shared" si="0"/>
        <v>41.9</v>
      </c>
      <c r="Z5" s="30">
        <f t="shared" si="0"/>
        <v>45.9</v>
      </c>
      <c r="AA5" s="30">
        <f t="shared" si="0"/>
        <v>345.9</v>
      </c>
      <c r="AB5" s="30">
        <f t="shared" si="0"/>
        <v>360</v>
      </c>
      <c r="AC5" s="30">
        <f t="shared" si="0"/>
        <v>333.5</v>
      </c>
      <c r="AD5" s="30">
        <f t="shared" si="0"/>
        <v>50</v>
      </c>
      <c r="AE5" s="30">
        <f t="shared" si="0"/>
        <v>49.5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1972MW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3.54</v>
      </c>
      <c r="C7" s="35">
        <f t="shared" si="1"/>
        <v>1862.3400000000001</v>
      </c>
      <c r="D7" s="35">
        <f t="shared" si="1"/>
        <v>1842.8400000000001</v>
      </c>
      <c r="E7" s="35">
        <f t="shared" si="1"/>
        <v>1809.1399999999999</v>
      </c>
      <c r="F7" s="35">
        <f t="shared" si="1"/>
        <v>1817.74</v>
      </c>
      <c r="G7" s="35">
        <f t="shared" si="1"/>
        <v>1827.7400000000002</v>
      </c>
      <c r="H7" s="35">
        <f t="shared" si="1"/>
        <v>1835.24</v>
      </c>
      <c r="I7" s="35">
        <f t="shared" si="1"/>
        <v>1860.54</v>
      </c>
      <c r="J7" s="35">
        <f t="shared" si="1"/>
        <v>1868.2399999999998</v>
      </c>
      <c r="K7" s="35">
        <f t="shared" si="1"/>
        <v>1882.9399999999998</v>
      </c>
      <c r="L7" s="35">
        <f t="shared" si="1"/>
        <v>1970.84</v>
      </c>
      <c r="M7" s="35">
        <f t="shared" si="1"/>
        <v>1930.64</v>
      </c>
      <c r="N7" s="35">
        <f>N91</f>
        <v>1972.14</v>
      </c>
      <c r="O7" s="35">
        <f t="shared" si="1"/>
        <v>2048.64</v>
      </c>
      <c r="P7" s="35">
        <f t="shared" si="1"/>
        <v>2032.44</v>
      </c>
      <c r="Q7" s="35">
        <f t="shared" si="1"/>
        <v>2014.2399999999998</v>
      </c>
      <c r="R7" s="35">
        <f t="shared" si="1"/>
        <v>2028.54</v>
      </c>
      <c r="S7" s="35">
        <f t="shared" si="1"/>
        <v>1997.8400000000001</v>
      </c>
      <c r="T7" s="35">
        <f t="shared" si="1"/>
        <v>2015.8400000000001</v>
      </c>
      <c r="U7" s="35">
        <f t="shared" si="1"/>
        <v>2065.94</v>
      </c>
      <c r="V7" s="35">
        <f t="shared" si="1"/>
        <v>2009.64</v>
      </c>
      <c r="W7" s="35">
        <f t="shared" si="1"/>
        <v>1970.74</v>
      </c>
      <c r="X7" s="35">
        <f t="shared" si="1"/>
        <v>1950.3400000000001</v>
      </c>
      <c r="Y7" s="35">
        <f t="shared" si="1"/>
        <v>1957.14</v>
      </c>
      <c r="Z7" s="35">
        <f t="shared" si="1"/>
        <v>1962.3400000000001</v>
      </c>
      <c r="AA7" s="35">
        <f t="shared" si="1"/>
        <v>2017.6</v>
      </c>
      <c r="AB7" s="35">
        <f t="shared" si="1"/>
        <v>2317.64</v>
      </c>
      <c r="AC7" s="35">
        <f t="shared" si="1"/>
        <v>2357.34</v>
      </c>
      <c r="AD7" s="35">
        <f t="shared" si="1"/>
        <v>2328.04</v>
      </c>
      <c r="AE7" s="35">
        <f t="shared" si="1"/>
        <v>2027.94</v>
      </c>
      <c r="AF7" s="35">
        <f t="shared" si="1"/>
        <v>1951.94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/>
      <c r="C11" s="45">
        <v>60.8</v>
      </c>
      <c r="D11" s="45">
        <v>60.8</v>
      </c>
      <c r="E11" s="45">
        <v>60.8</v>
      </c>
      <c r="F11" s="45">
        <v>60.8</v>
      </c>
      <c r="G11" s="45">
        <v>60.8</v>
      </c>
      <c r="H11" s="45">
        <v>60.8</v>
      </c>
      <c r="I11" s="45">
        <v>60.8</v>
      </c>
      <c r="J11" s="45">
        <v>60.8</v>
      </c>
      <c r="K11" s="45">
        <v>60.8</v>
      </c>
      <c r="L11" s="45">
        <v>60.8</v>
      </c>
      <c r="M11" s="45">
        <v>60.8</v>
      </c>
      <c r="N11" s="45">
        <v>60.8</v>
      </c>
      <c r="O11" s="45">
        <v>60.8</v>
      </c>
      <c r="P11" s="45">
        <v>60.8</v>
      </c>
      <c r="Q11" s="45">
        <v>60.8</v>
      </c>
      <c r="R11" s="45">
        <v>60.8</v>
      </c>
      <c r="S11" s="45">
        <v>60.8</v>
      </c>
      <c r="T11" s="45">
        <v>60.8</v>
      </c>
      <c r="U11" s="45">
        <v>60.8</v>
      </c>
      <c r="V11" s="45">
        <v>60.8</v>
      </c>
      <c r="W11" s="45">
        <v>60.8</v>
      </c>
      <c r="X11" s="45">
        <v>60.8</v>
      </c>
      <c r="Y11" s="45">
        <v>60.8</v>
      </c>
      <c r="Z11" s="45">
        <v>60.8</v>
      </c>
      <c r="AA11" s="45">
        <v>60.8</v>
      </c>
      <c r="AB11" s="45">
        <v>60.8</v>
      </c>
      <c r="AC11" s="45">
        <v>60.2</v>
      </c>
      <c r="AD11" s="45">
        <v>60.2</v>
      </c>
      <c r="AE11" s="45">
        <v>60.2</v>
      </c>
      <c r="AF11" s="45">
        <v>60.2</v>
      </c>
      <c r="AG11" s="46">
        <v>86</v>
      </c>
      <c r="AH11" s="47">
        <f t="shared" ref="AH11:AH76" si="2">MAX(B11:AF11)</f>
        <v>60.8</v>
      </c>
      <c r="AI11" s="48">
        <f t="shared" ref="AI11:AI76" si="3">MIN(B11:AF11)</f>
        <v>60.2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/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27</v>
      </c>
      <c r="M12" s="45">
        <v>27</v>
      </c>
      <c r="N12" s="45">
        <v>27</v>
      </c>
      <c r="O12" s="45">
        <v>27</v>
      </c>
      <c r="P12" s="45">
        <v>27</v>
      </c>
      <c r="Q12" s="45">
        <v>27</v>
      </c>
      <c r="R12" s="45">
        <v>27</v>
      </c>
      <c r="S12" s="45">
        <v>27</v>
      </c>
      <c r="T12" s="45">
        <v>27</v>
      </c>
      <c r="U12" s="45">
        <v>27</v>
      </c>
      <c r="V12" s="45">
        <v>27</v>
      </c>
      <c r="W12" s="45">
        <v>27</v>
      </c>
      <c r="X12" s="45">
        <v>27</v>
      </c>
      <c r="Y12" s="45">
        <v>27</v>
      </c>
      <c r="Z12" s="45">
        <v>27</v>
      </c>
      <c r="AA12" s="45">
        <v>27</v>
      </c>
      <c r="AB12" s="45">
        <v>27</v>
      </c>
      <c r="AC12" s="45">
        <v>20</v>
      </c>
      <c r="AD12" s="45">
        <v>20</v>
      </c>
      <c r="AE12" s="45">
        <v>20</v>
      </c>
      <c r="AF12" s="45">
        <v>24</v>
      </c>
      <c r="AG12" s="49">
        <v>54</v>
      </c>
      <c r="AH12" s="47">
        <f t="shared" si="2"/>
        <v>27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/>
      <c r="C13" s="45">
        <v>54.9</v>
      </c>
      <c r="D13" s="45">
        <v>54.9</v>
      </c>
      <c r="E13" s="45">
        <v>54.9</v>
      </c>
      <c r="F13" s="45">
        <v>54.9</v>
      </c>
      <c r="G13" s="45">
        <v>54.9</v>
      </c>
      <c r="H13" s="45">
        <v>54.9</v>
      </c>
      <c r="I13" s="45">
        <v>54.9</v>
      </c>
      <c r="J13" s="45">
        <v>54.9</v>
      </c>
      <c r="K13" s="45">
        <v>54.9</v>
      </c>
      <c r="L13" s="45">
        <v>54.6</v>
      </c>
      <c r="M13" s="45">
        <v>54.6</v>
      </c>
      <c r="N13" s="45">
        <v>54.6</v>
      </c>
      <c r="O13" s="45">
        <v>54.6</v>
      </c>
      <c r="P13" s="45">
        <v>54.6</v>
      </c>
      <c r="Q13" s="45">
        <v>54.6</v>
      </c>
      <c r="R13" s="45">
        <v>54.6</v>
      </c>
      <c r="S13" s="45">
        <v>54.6</v>
      </c>
      <c r="T13" s="45">
        <v>54.6</v>
      </c>
      <c r="U13" s="45">
        <v>54.6</v>
      </c>
      <c r="V13" s="45">
        <v>54.6</v>
      </c>
      <c r="W13" s="45">
        <v>54.6</v>
      </c>
      <c r="X13" s="45">
        <v>54.6</v>
      </c>
      <c r="Y13" s="45">
        <v>54.6</v>
      </c>
      <c r="Z13" s="45">
        <v>54.6</v>
      </c>
      <c r="AA13" s="45">
        <v>54.6</v>
      </c>
      <c r="AB13" s="45">
        <v>54.6</v>
      </c>
      <c r="AC13" s="45">
        <v>54.7</v>
      </c>
      <c r="AD13" s="45">
        <v>54.6</v>
      </c>
      <c r="AE13" s="45">
        <v>54.6</v>
      </c>
      <c r="AF13" s="45">
        <v>54.6</v>
      </c>
      <c r="AG13" s="46">
        <v>52.4</v>
      </c>
      <c r="AH13" s="47">
        <f t="shared" si="2"/>
        <v>54.9</v>
      </c>
      <c r="AI13" s="48">
        <f t="shared" si="3"/>
        <v>54.6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/>
      <c r="C14" s="50">
        <v>50.5</v>
      </c>
      <c r="D14" s="50">
        <v>50.5</v>
      </c>
      <c r="E14" s="50">
        <v>50.5</v>
      </c>
      <c r="F14" s="50">
        <v>50.5</v>
      </c>
      <c r="G14" s="50">
        <v>50.5</v>
      </c>
      <c r="H14" s="50">
        <v>50.5</v>
      </c>
      <c r="I14" s="50">
        <v>50.5</v>
      </c>
      <c r="J14" s="50">
        <v>50.5</v>
      </c>
      <c r="K14" s="50">
        <v>50.5</v>
      </c>
      <c r="L14" s="50">
        <v>50.4</v>
      </c>
      <c r="M14" s="50">
        <v>50.4</v>
      </c>
      <c r="N14" s="50">
        <v>50.4</v>
      </c>
      <c r="O14" s="50">
        <v>50.4</v>
      </c>
      <c r="P14" s="50">
        <v>50.4</v>
      </c>
      <c r="Q14" s="50">
        <v>50.4</v>
      </c>
      <c r="R14" s="50">
        <v>50.4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45">
        <v>51</v>
      </c>
      <c r="AB14" s="45">
        <v>51</v>
      </c>
      <c r="AC14" s="45">
        <v>50</v>
      </c>
      <c r="AD14" s="45">
        <v>50.8</v>
      </c>
      <c r="AE14" s="45">
        <v>50.8</v>
      </c>
      <c r="AF14" s="45">
        <v>50.8</v>
      </c>
      <c r="AG14" s="49">
        <v>50</v>
      </c>
      <c r="AH14" s="47">
        <f t="shared" si="2"/>
        <v>51</v>
      </c>
      <c r="AI14" s="48">
        <f t="shared" si="3"/>
        <v>0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/>
      <c r="C15" s="45">
        <v>46</v>
      </c>
      <c r="D15" s="45">
        <v>46</v>
      </c>
      <c r="E15" s="45">
        <v>41.1</v>
      </c>
      <c r="F15" s="45">
        <v>41.1</v>
      </c>
      <c r="G15" s="45">
        <v>41.1</v>
      </c>
      <c r="H15" s="45">
        <v>41.1</v>
      </c>
      <c r="I15" s="45">
        <v>41.1</v>
      </c>
      <c r="J15" s="45">
        <v>46</v>
      </c>
      <c r="K15" s="45">
        <v>46</v>
      </c>
      <c r="L15" s="45">
        <v>45.9</v>
      </c>
      <c r="M15" s="45">
        <v>45.9</v>
      </c>
      <c r="N15" s="45">
        <v>45.9</v>
      </c>
      <c r="O15" s="45">
        <v>45.9</v>
      </c>
      <c r="P15" s="45">
        <v>45.9</v>
      </c>
      <c r="Q15" s="45">
        <v>45.9</v>
      </c>
      <c r="R15" s="45">
        <v>45.9</v>
      </c>
      <c r="S15" s="45">
        <v>45.9</v>
      </c>
      <c r="T15" s="45">
        <v>45.9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46</v>
      </c>
      <c r="AB15" s="45">
        <v>46</v>
      </c>
      <c r="AC15" s="45">
        <v>46</v>
      </c>
      <c r="AD15" s="45">
        <v>45.9</v>
      </c>
      <c r="AE15" s="45">
        <v>45.9</v>
      </c>
      <c r="AF15" s="45">
        <v>45.9</v>
      </c>
      <c r="AG15" s="49">
        <v>45</v>
      </c>
      <c r="AH15" s="47">
        <f t="shared" si="2"/>
        <v>46</v>
      </c>
      <c r="AI15" s="48">
        <f t="shared" si="3"/>
        <v>41.1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/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/>
      <c r="C17" s="45">
        <v>27</v>
      </c>
      <c r="D17" s="45">
        <v>27</v>
      </c>
      <c r="E17" s="45">
        <v>30</v>
      </c>
      <c r="F17" s="45">
        <v>40.5</v>
      </c>
      <c r="G17" s="45">
        <v>40.5</v>
      </c>
      <c r="H17" s="45">
        <v>40.5</v>
      </c>
      <c r="I17" s="45">
        <v>40.5</v>
      </c>
      <c r="J17" s="45">
        <v>42</v>
      </c>
      <c r="K17" s="45">
        <v>42</v>
      </c>
      <c r="L17" s="45">
        <v>42</v>
      </c>
      <c r="M17" s="45">
        <v>42</v>
      </c>
      <c r="N17" s="45">
        <v>42</v>
      </c>
      <c r="O17" s="45">
        <v>42</v>
      </c>
      <c r="P17" s="45">
        <v>42</v>
      </c>
      <c r="Q17" s="45">
        <v>42</v>
      </c>
      <c r="R17" s="45">
        <v>42</v>
      </c>
      <c r="S17" s="45">
        <v>42</v>
      </c>
      <c r="T17" s="45">
        <v>42</v>
      </c>
      <c r="U17" s="45">
        <v>42</v>
      </c>
      <c r="V17" s="45">
        <v>42</v>
      </c>
      <c r="W17" s="45">
        <v>42</v>
      </c>
      <c r="X17" s="45">
        <v>42</v>
      </c>
      <c r="Y17" s="45">
        <v>42</v>
      </c>
      <c r="Z17" s="45">
        <v>42</v>
      </c>
      <c r="AA17" s="45">
        <v>40.700000000000003</v>
      </c>
      <c r="AB17" s="45">
        <v>40.700000000000003</v>
      </c>
      <c r="AC17" s="45">
        <v>40.700000000000003</v>
      </c>
      <c r="AD17" s="45">
        <v>32</v>
      </c>
      <c r="AE17" s="45">
        <v>32</v>
      </c>
      <c r="AF17" s="45">
        <v>31</v>
      </c>
      <c r="AG17" s="49">
        <v>42</v>
      </c>
      <c r="AH17" s="47">
        <f t="shared" si="2"/>
        <v>42</v>
      </c>
      <c r="AI17" s="48">
        <f t="shared" si="3"/>
        <v>27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/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/>
      <c r="C19" s="45">
        <v>0</v>
      </c>
      <c r="D19" s="45">
        <v>22</v>
      </c>
      <c r="E19" s="45">
        <v>22</v>
      </c>
      <c r="F19" s="45">
        <v>22</v>
      </c>
      <c r="G19" s="45">
        <v>22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0</v>
      </c>
      <c r="AE19" s="45">
        <v>0</v>
      </c>
      <c r="AF19" s="45">
        <v>0</v>
      </c>
      <c r="AG19" s="49">
        <v>36</v>
      </c>
      <c r="AH19" s="47">
        <f t="shared" si="2"/>
        <v>36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/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15</v>
      </c>
      <c r="M20" s="45">
        <v>15</v>
      </c>
      <c r="N20" s="45">
        <v>30</v>
      </c>
      <c r="O20" s="45">
        <v>30</v>
      </c>
      <c r="P20" s="45">
        <v>30</v>
      </c>
      <c r="Q20" s="45">
        <v>30</v>
      </c>
      <c r="R20" s="45">
        <v>25</v>
      </c>
      <c r="S20" s="45">
        <v>20.5</v>
      </c>
      <c r="T20" s="45">
        <v>20.5</v>
      </c>
      <c r="U20" s="45">
        <v>30.1</v>
      </c>
      <c r="V20" s="45">
        <v>30.1</v>
      </c>
      <c r="W20" s="45">
        <v>30.1</v>
      </c>
      <c r="X20" s="45">
        <v>30.1</v>
      </c>
      <c r="Y20" s="45">
        <v>30.1</v>
      </c>
      <c r="Z20" s="45">
        <v>30.1</v>
      </c>
      <c r="AA20" s="45">
        <v>29.6</v>
      </c>
      <c r="AB20" s="45">
        <v>29.6</v>
      </c>
      <c r="AC20" s="45">
        <v>29.6</v>
      </c>
      <c r="AD20" s="45">
        <v>29.6</v>
      </c>
      <c r="AE20" s="45">
        <v>29.6</v>
      </c>
      <c r="AF20" s="45">
        <v>29.6</v>
      </c>
      <c r="AG20" s="51">
        <v>30</v>
      </c>
      <c r="AH20" s="47">
        <f t="shared" si="2"/>
        <v>30.1</v>
      </c>
      <c r="AI20" s="48">
        <f t="shared" si="3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/>
      <c r="C21" s="45">
        <v>20.399999999999999</v>
      </c>
      <c r="D21" s="45">
        <v>20.399999999999999</v>
      </c>
      <c r="E21" s="45">
        <v>20.399999999999999</v>
      </c>
      <c r="F21" s="45">
        <v>20.399999999999999</v>
      </c>
      <c r="G21" s="45">
        <v>20.399999999999999</v>
      </c>
      <c r="H21" s="45">
        <v>20.399999999999999</v>
      </c>
      <c r="I21" s="45">
        <v>20.399999999999999</v>
      </c>
      <c r="J21" s="45">
        <v>20.399999999999999</v>
      </c>
      <c r="K21" s="45">
        <v>20.399999999999999</v>
      </c>
      <c r="L21" s="45">
        <v>20.6</v>
      </c>
      <c r="M21" s="45">
        <v>20.6</v>
      </c>
      <c r="N21" s="45">
        <v>20.6</v>
      </c>
      <c r="O21" s="45">
        <v>20.6</v>
      </c>
      <c r="P21" s="45">
        <v>20.6</v>
      </c>
      <c r="Q21" s="45">
        <v>20.6</v>
      </c>
      <c r="R21" s="45">
        <v>20.6</v>
      </c>
      <c r="S21" s="45">
        <v>20.6</v>
      </c>
      <c r="T21" s="45">
        <v>20.6</v>
      </c>
      <c r="U21" s="45">
        <v>20.6</v>
      </c>
      <c r="V21" s="45">
        <v>20.6</v>
      </c>
      <c r="W21" s="45">
        <v>20.6</v>
      </c>
      <c r="X21" s="45">
        <v>20.6</v>
      </c>
      <c r="Y21" s="45">
        <v>20.6</v>
      </c>
      <c r="Z21" s="45">
        <v>20.6</v>
      </c>
      <c r="AA21" s="45">
        <v>20.8</v>
      </c>
      <c r="AB21" s="45">
        <v>20.8</v>
      </c>
      <c r="AC21" s="45">
        <v>20.8</v>
      </c>
      <c r="AD21" s="45">
        <v>20.8</v>
      </c>
      <c r="AE21" s="45">
        <v>20.8</v>
      </c>
      <c r="AF21" s="45">
        <v>20.8</v>
      </c>
      <c r="AG21" s="49">
        <v>24.2</v>
      </c>
      <c r="AH21" s="47">
        <f t="shared" si="2"/>
        <v>20.8</v>
      </c>
      <c r="AI21" s="48">
        <f t="shared" si="3"/>
        <v>20.399999999999999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/>
      <c r="C22" s="45">
        <v>20.5</v>
      </c>
      <c r="D22" s="45">
        <v>20.5</v>
      </c>
      <c r="E22" s="45">
        <v>20.5</v>
      </c>
      <c r="F22" s="45">
        <v>20.5</v>
      </c>
      <c r="G22" s="45">
        <v>20.5</v>
      </c>
      <c r="H22" s="45">
        <v>20.5</v>
      </c>
      <c r="I22" s="45">
        <v>20.5</v>
      </c>
      <c r="J22" s="45">
        <v>20.5</v>
      </c>
      <c r="K22" s="45">
        <v>20.5</v>
      </c>
      <c r="L22" s="45">
        <v>21.2</v>
      </c>
      <c r="M22" s="45">
        <v>21.2</v>
      </c>
      <c r="N22" s="45">
        <v>21.2</v>
      </c>
      <c r="O22" s="45">
        <v>21.2</v>
      </c>
      <c r="P22" s="45">
        <v>21.2</v>
      </c>
      <c r="Q22" s="45">
        <v>21.2</v>
      </c>
      <c r="R22" s="45">
        <v>21.2</v>
      </c>
      <c r="S22" s="45">
        <v>21.2</v>
      </c>
      <c r="T22" s="45">
        <v>21.2</v>
      </c>
      <c r="U22" s="45">
        <v>21.2</v>
      </c>
      <c r="V22" s="45">
        <v>21.2</v>
      </c>
      <c r="W22" s="45">
        <v>21.2</v>
      </c>
      <c r="X22" s="45">
        <v>21.2</v>
      </c>
      <c r="Y22" s="45">
        <v>21.2</v>
      </c>
      <c r="Z22" s="45">
        <v>21.2</v>
      </c>
      <c r="AA22" s="45">
        <v>21.2</v>
      </c>
      <c r="AB22" s="45">
        <v>21.2</v>
      </c>
      <c r="AC22" s="45">
        <v>21.2</v>
      </c>
      <c r="AD22" s="45">
        <v>21.2</v>
      </c>
      <c r="AE22" s="45">
        <v>21.2</v>
      </c>
      <c r="AF22" s="45">
        <v>21.2</v>
      </c>
      <c r="AG22" s="49">
        <v>28</v>
      </c>
      <c r="AH22" s="47">
        <f t="shared" si="2"/>
        <v>21.2</v>
      </c>
      <c r="AI22" s="48">
        <f t="shared" si="3"/>
        <v>20.5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/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0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/>
      <c r="C24" s="45">
        <v>24.2</v>
      </c>
      <c r="D24" s="45">
        <v>24.2</v>
      </c>
      <c r="E24" s="45">
        <v>24.2</v>
      </c>
      <c r="F24" s="45">
        <v>24.2</v>
      </c>
      <c r="G24" s="45">
        <v>24.2</v>
      </c>
      <c r="H24" s="45">
        <v>24.2</v>
      </c>
      <c r="I24" s="45">
        <v>24.2</v>
      </c>
      <c r="J24" s="45">
        <v>26</v>
      </c>
      <c r="K24" s="45">
        <v>26</v>
      </c>
      <c r="L24" s="45">
        <v>26</v>
      </c>
      <c r="M24" s="45">
        <v>26</v>
      </c>
      <c r="N24" s="45">
        <v>26</v>
      </c>
      <c r="O24" s="45">
        <v>26</v>
      </c>
      <c r="P24" s="45">
        <v>26</v>
      </c>
      <c r="Q24" s="45">
        <v>26</v>
      </c>
      <c r="R24" s="45">
        <v>26</v>
      </c>
      <c r="S24" s="45">
        <v>26</v>
      </c>
      <c r="T24" s="45">
        <v>26</v>
      </c>
      <c r="U24" s="45">
        <v>26</v>
      </c>
      <c r="V24" s="45">
        <v>26</v>
      </c>
      <c r="W24" s="45">
        <v>26</v>
      </c>
      <c r="X24" s="45">
        <v>26</v>
      </c>
      <c r="Y24" s="45">
        <v>26</v>
      </c>
      <c r="Z24" s="45">
        <v>26</v>
      </c>
      <c r="AA24" s="45">
        <v>26</v>
      </c>
      <c r="AB24" s="45">
        <v>26</v>
      </c>
      <c r="AC24" s="45">
        <v>26</v>
      </c>
      <c r="AD24" s="45">
        <v>26</v>
      </c>
      <c r="AE24" s="45">
        <v>26</v>
      </c>
      <c r="AF24" s="45">
        <v>26</v>
      </c>
      <c r="AG24" s="49">
        <v>25</v>
      </c>
      <c r="AH24" s="47">
        <f t="shared" si="2"/>
        <v>26</v>
      </c>
      <c r="AI24" s="48">
        <f t="shared" si="3"/>
        <v>24.2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/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/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/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12.5</v>
      </c>
      <c r="M27" s="45">
        <v>12.5</v>
      </c>
      <c r="N27" s="45">
        <v>25</v>
      </c>
      <c r="O27" s="45">
        <v>25</v>
      </c>
      <c r="P27" s="45">
        <v>25</v>
      </c>
      <c r="Q27" s="45">
        <v>25</v>
      </c>
      <c r="R27" s="45">
        <v>25</v>
      </c>
      <c r="S27" s="45">
        <v>25</v>
      </c>
      <c r="T27" s="45">
        <v>25</v>
      </c>
      <c r="U27" s="45">
        <v>25</v>
      </c>
      <c r="V27" s="45">
        <v>25</v>
      </c>
      <c r="W27" s="45">
        <v>25</v>
      </c>
      <c r="X27" s="45">
        <v>25</v>
      </c>
      <c r="Y27" s="45">
        <v>25</v>
      </c>
      <c r="Z27" s="45">
        <v>25</v>
      </c>
      <c r="AA27" s="45">
        <v>25</v>
      </c>
      <c r="AB27" s="45">
        <v>25</v>
      </c>
      <c r="AC27" s="45">
        <v>25</v>
      </c>
      <c r="AD27" s="45">
        <v>20</v>
      </c>
      <c r="AE27" s="45">
        <v>20</v>
      </c>
      <c r="AF27" s="45">
        <v>10.5</v>
      </c>
      <c r="AG27" s="49">
        <v>25</v>
      </c>
      <c r="AH27" s="47">
        <f t="shared" si="2"/>
        <v>25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/>
      <c r="C28" s="45">
        <v>24.5</v>
      </c>
      <c r="D28" s="45">
        <v>24.5</v>
      </c>
      <c r="E28" s="45">
        <v>24.5</v>
      </c>
      <c r="F28" s="45">
        <v>24.5</v>
      </c>
      <c r="G28" s="45">
        <v>24.5</v>
      </c>
      <c r="H28" s="45">
        <v>24.5</v>
      </c>
      <c r="I28" s="45">
        <v>24.5</v>
      </c>
      <c r="J28" s="45">
        <v>24.5</v>
      </c>
      <c r="K28" s="45">
        <v>24.5</v>
      </c>
      <c r="L28" s="45">
        <v>24.5</v>
      </c>
      <c r="M28" s="45">
        <v>24.5</v>
      </c>
      <c r="N28" s="45">
        <v>24.5</v>
      </c>
      <c r="O28" s="45">
        <v>24.5</v>
      </c>
      <c r="P28" s="45">
        <v>24.5</v>
      </c>
      <c r="Q28" s="45">
        <v>24.5</v>
      </c>
      <c r="R28" s="45">
        <v>24.5</v>
      </c>
      <c r="S28" s="45">
        <v>24.5</v>
      </c>
      <c r="T28" s="45">
        <v>24.5</v>
      </c>
      <c r="U28" s="45">
        <v>24.5</v>
      </c>
      <c r="V28" s="45">
        <v>24.5</v>
      </c>
      <c r="W28" s="45">
        <v>24.5</v>
      </c>
      <c r="X28" s="45">
        <v>24.5</v>
      </c>
      <c r="Y28" s="45">
        <v>24.5</v>
      </c>
      <c r="Z28" s="45">
        <v>24.5</v>
      </c>
      <c r="AA28" s="45">
        <v>25.5</v>
      </c>
      <c r="AB28" s="45">
        <v>25.5</v>
      </c>
      <c r="AC28" s="45">
        <v>25.5</v>
      </c>
      <c r="AD28" s="45">
        <v>25.5</v>
      </c>
      <c r="AE28" s="45">
        <v>25.5</v>
      </c>
      <c r="AF28" s="45">
        <v>25.5</v>
      </c>
      <c r="AG28" s="49">
        <v>23.5</v>
      </c>
      <c r="AH28" s="47">
        <f t="shared" si="2"/>
        <v>25.5</v>
      </c>
      <c r="AI28" s="48">
        <f t="shared" si="3"/>
        <v>24.5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/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0</v>
      </c>
      <c r="AG29" s="49">
        <v>22.2</v>
      </c>
      <c r="AH29" s="47">
        <f t="shared" si="2"/>
        <v>22</v>
      </c>
      <c r="AI29" s="48">
        <f t="shared" si="3"/>
        <v>0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/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/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/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27.3</v>
      </c>
      <c r="AB32" s="45">
        <v>27.3</v>
      </c>
      <c r="AC32" s="45">
        <v>27.3</v>
      </c>
      <c r="AD32" s="45">
        <v>27.3</v>
      </c>
      <c r="AE32" s="45">
        <v>27.3</v>
      </c>
      <c r="AF32" s="45">
        <v>27.3</v>
      </c>
      <c r="AG32" s="49">
        <v>22</v>
      </c>
      <c r="AH32" s="47">
        <f t="shared" si="2"/>
        <v>27.3</v>
      </c>
      <c r="AI32" s="48">
        <f t="shared" si="3"/>
        <v>0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/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7.1</v>
      </c>
      <c r="AF33" s="45">
        <v>7.1</v>
      </c>
      <c r="AG33" s="49">
        <v>20</v>
      </c>
      <c r="AH33" s="47">
        <f t="shared" si="2"/>
        <v>7.1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/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18</v>
      </c>
      <c r="T34" s="45">
        <v>18</v>
      </c>
      <c r="U34" s="45">
        <v>18</v>
      </c>
      <c r="V34" s="45">
        <v>18</v>
      </c>
      <c r="W34" s="45">
        <v>18</v>
      </c>
      <c r="X34" s="45">
        <v>18</v>
      </c>
      <c r="Y34" s="45">
        <v>18</v>
      </c>
      <c r="Z34" s="45">
        <v>18</v>
      </c>
      <c r="AA34" s="45">
        <v>18</v>
      </c>
      <c r="AB34" s="45">
        <v>18</v>
      </c>
      <c r="AC34" s="45">
        <v>18</v>
      </c>
      <c r="AD34" s="45">
        <v>18</v>
      </c>
      <c r="AE34" s="45">
        <v>18</v>
      </c>
      <c r="AF34" s="45">
        <v>18</v>
      </c>
      <c r="AG34" s="49">
        <v>18</v>
      </c>
      <c r="AH34" s="47">
        <f t="shared" si="2"/>
        <v>18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/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/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/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/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/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6</v>
      </c>
      <c r="N39" s="45">
        <v>12</v>
      </c>
      <c r="O39" s="45">
        <v>12</v>
      </c>
      <c r="P39" s="45">
        <v>12</v>
      </c>
      <c r="Q39" s="45">
        <v>12</v>
      </c>
      <c r="R39" s="45">
        <v>12</v>
      </c>
      <c r="S39" s="45">
        <v>12</v>
      </c>
      <c r="T39" s="45">
        <v>12</v>
      </c>
      <c r="U39" s="45">
        <v>12</v>
      </c>
      <c r="V39" s="45">
        <v>12</v>
      </c>
      <c r="W39" s="45">
        <v>12</v>
      </c>
      <c r="X39" s="45">
        <v>12</v>
      </c>
      <c r="Y39" s="45">
        <v>12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12</v>
      </c>
      <c r="AG39" s="49">
        <v>12</v>
      </c>
      <c r="AH39" s="47">
        <f t="shared" si="2"/>
        <v>12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/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/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9">
        <v>12</v>
      </c>
      <c r="AH41" s="47">
        <f t="shared" si="2"/>
        <v>0</v>
      </c>
      <c r="AI41" s="48">
        <f t="shared" si="3"/>
        <v>0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/>
      <c r="C42" s="45">
        <v>6</v>
      </c>
      <c r="D42" s="45">
        <v>6</v>
      </c>
      <c r="E42" s="45">
        <v>6</v>
      </c>
      <c r="F42" s="45">
        <v>6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6</v>
      </c>
      <c r="N42" s="45">
        <v>6</v>
      </c>
      <c r="O42" s="45">
        <v>6</v>
      </c>
      <c r="P42" s="45">
        <v>6</v>
      </c>
      <c r="Q42" s="45">
        <v>6</v>
      </c>
      <c r="R42" s="45">
        <v>6</v>
      </c>
      <c r="S42" s="45">
        <v>6</v>
      </c>
      <c r="T42" s="45">
        <v>6</v>
      </c>
      <c r="U42" s="45">
        <v>6</v>
      </c>
      <c r="V42" s="45">
        <v>6</v>
      </c>
      <c r="W42" s="45">
        <v>6</v>
      </c>
      <c r="X42" s="45">
        <v>6</v>
      </c>
      <c r="Y42" s="45">
        <v>6</v>
      </c>
      <c r="Z42" s="45">
        <v>6</v>
      </c>
      <c r="AA42" s="45">
        <v>6</v>
      </c>
      <c r="AB42" s="45">
        <v>6</v>
      </c>
      <c r="AC42" s="45">
        <v>6</v>
      </c>
      <c r="AD42" s="45">
        <v>6</v>
      </c>
      <c r="AE42" s="45">
        <v>6</v>
      </c>
      <c r="AF42" s="45">
        <v>6</v>
      </c>
      <c r="AG42" s="52">
        <v>22</v>
      </c>
      <c r="AH42" s="47">
        <f t="shared" si="2"/>
        <v>6</v>
      </c>
      <c r="AI42" s="48">
        <f t="shared" si="3"/>
        <v>6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/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/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/>
      <c r="C45" s="45">
        <v>8</v>
      </c>
      <c r="D45" s="45">
        <v>8</v>
      </c>
      <c r="E45" s="45">
        <v>8</v>
      </c>
      <c r="F45" s="45">
        <v>8</v>
      </c>
      <c r="G45" s="45">
        <v>8</v>
      </c>
      <c r="H45" s="45">
        <v>8</v>
      </c>
      <c r="I45" s="45">
        <v>8</v>
      </c>
      <c r="J45" s="45">
        <v>8</v>
      </c>
      <c r="K45" s="45">
        <v>8</v>
      </c>
      <c r="L45" s="45">
        <v>8</v>
      </c>
      <c r="M45" s="45">
        <v>8</v>
      </c>
      <c r="N45" s="45">
        <v>8</v>
      </c>
      <c r="O45" s="45">
        <v>8</v>
      </c>
      <c r="P45" s="45">
        <v>8</v>
      </c>
      <c r="Q45" s="45">
        <v>8</v>
      </c>
      <c r="R45" s="45">
        <v>8</v>
      </c>
      <c r="S45" s="45">
        <v>8</v>
      </c>
      <c r="T45" s="45">
        <v>8</v>
      </c>
      <c r="U45" s="45">
        <v>8</v>
      </c>
      <c r="V45" s="45">
        <v>8</v>
      </c>
      <c r="W45" s="45">
        <v>8</v>
      </c>
      <c r="X45" s="45">
        <v>8</v>
      </c>
      <c r="Y45" s="45">
        <v>8</v>
      </c>
      <c r="Z45" s="45">
        <v>8</v>
      </c>
      <c r="AA45" s="45">
        <v>8</v>
      </c>
      <c r="AB45" s="45">
        <v>8</v>
      </c>
      <c r="AC45" s="45">
        <v>8</v>
      </c>
      <c r="AD45" s="45">
        <v>8</v>
      </c>
      <c r="AE45" s="45">
        <v>8</v>
      </c>
      <c r="AF45" s="45">
        <v>8</v>
      </c>
      <c r="AG45" s="54">
        <v>10</v>
      </c>
      <c r="AH45" s="47">
        <f t="shared" si="2"/>
        <v>8</v>
      </c>
      <c r="AI45" s="48">
        <f t="shared" si="3"/>
        <v>8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/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/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/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AF50" si="4">SUM(B11:B48)</f>
        <v>0</v>
      </c>
      <c r="C50" s="59">
        <f t="shared" si="4"/>
        <v>868.3</v>
      </c>
      <c r="D50" s="59">
        <f t="shared" si="4"/>
        <v>890.3</v>
      </c>
      <c r="E50" s="59">
        <f t="shared" si="4"/>
        <v>888.39999999999986</v>
      </c>
      <c r="F50" s="59">
        <f t="shared" si="4"/>
        <v>898.89999999999986</v>
      </c>
      <c r="G50" s="59">
        <f t="shared" si="4"/>
        <v>898.89999999999986</v>
      </c>
      <c r="H50" s="59">
        <f t="shared" si="4"/>
        <v>912.89999999999986</v>
      </c>
      <c r="I50" s="59">
        <f t="shared" si="4"/>
        <v>912.89999999999986</v>
      </c>
      <c r="J50" s="59">
        <f t="shared" si="4"/>
        <v>921.09999999999991</v>
      </c>
      <c r="K50" s="59">
        <f t="shared" si="4"/>
        <v>921.09999999999991</v>
      </c>
      <c r="L50" s="59">
        <f t="shared" si="4"/>
        <v>1007</v>
      </c>
      <c r="M50" s="59">
        <f t="shared" si="4"/>
        <v>1013</v>
      </c>
      <c r="N50" s="59">
        <f t="shared" si="4"/>
        <v>1046.5</v>
      </c>
      <c r="O50" s="59">
        <f t="shared" si="4"/>
        <v>1046.5</v>
      </c>
      <c r="P50" s="59">
        <f t="shared" si="4"/>
        <v>1046.5</v>
      </c>
      <c r="Q50" s="59">
        <f t="shared" si="4"/>
        <v>1046.5</v>
      </c>
      <c r="R50" s="59">
        <f t="shared" si="4"/>
        <v>1041.5</v>
      </c>
      <c r="S50" s="59">
        <f t="shared" si="4"/>
        <v>1004.6</v>
      </c>
      <c r="T50" s="59">
        <f t="shared" si="4"/>
        <v>1004.6</v>
      </c>
      <c r="U50" s="59">
        <f t="shared" si="4"/>
        <v>1014.3</v>
      </c>
      <c r="V50" s="59">
        <f t="shared" si="4"/>
        <v>1014.3</v>
      </c>
      <c r="W50" s="59">
        <f t="shared" si="4"/>
        <v>1014.3</v>
      </c>
      <c r="X50" s="59">
        <f t="shared" si="4"/>
        <v>1014.3</v>
      </c>
      <c r="Y50" s="59">
        <f t="shared" si="4"/>
        <v>1014.3</v>
      </c>
      <c r="Z50" s="59">
        <f t="shared" si="4"/>
        <v>1014.3</v>
      </c>
      <c r="AA50" s="59">
        <f>SUM(AA11:AA48)</f>
        <v>1070</v>
      </c>
      <c r="AB50" s="59">
        <f t="shared" si="4"/>
        <v>1070</v>
      </c>
      <c r="AC50" s="59">
        <f t="shared" si="4"/>
        <v>1061.5</v>
      </c>
      <c r="AD50" s="59">
        <f t="shared" si="4"/>
        <v>1003.4</v>
      </c>
      <c r="AE50" s="59">
        <f t="shared" si="4"/>
        <v>1019.5</v>
      </c>
      <c r="AF50" s="59">
        <f t="shared" si="4"/>
        <v>991</v>
      </c>
      <c r="AG50" s="60">
        <f>SUM(AG13:AG48)</f>
        <v>922.14</v>
      </c>
      <c r="AH50" s="47">
        <f t="shared" si="2"/>
        <v>1070</v>
      </c>
      <c r="AI50" s="48">
        <f t="shared" si="3"/>
        <v>0</v>
      </c>
      <c r="AK50" s="74"/>
    </row>
    <row r="51" spans="1:41" x14ac:dyDescent="0.25">
      <c r="A51" s="61" t="s">
        <v>67</v>
      </c>
      <c r="B51" s="45"/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74"/>
    </row>
    <row r="52" spans="1:41" x14ac:dyDescent="0.25">
      <c r="A52" s="63" t="s">
        <v>68</v>
      </c>
      <c r="B52" s="64"/>
      <c r="C52" s="64">
        <v>50</v>
      </c>
      <c r="D52" s="64">
        <v>50</v>
      </c>
      <c r="E52" s="64">
        <v>50</v>
      </c>
      <c r="F52" s="64">
        <v>54</v>
      </c>
      <c r="G52" s="64">
        <v>54</v>
      </c>
      <c r="H52" s="64">
        <v>54</v>
      </c>
      <c r="I52" s="64">
        <v>54</v>
      </c>
      <c r="J52" s="64">
        <v>54</v>
      </c>
      <c r="K52" s="64">
        <v>54</v>
      </c>
      <c r="L52" s="64">
        <v>54</v>
      </c>
      <c r="M52" s="64">
        <v>54</v>
      </c>
      <c r="N52" s="64">
        <v>54</v>
      </c>
      <c r="O52" s="64">
        <v>54</v>
      </c>
      <c r="P52" s="64">
        <v>54</v>
      </c>
      <c r="Q52" s="64">
        <v>54</v>
      </c>
      <c r="R52" s="64">
        <v>54</v>
      </c>
      <c r="S52" s="64">
        <v>54</v>
      </c>
      <c r="T52" s="64">
        <v>54</v>
      </c>
      <c r="U52" s="64">
        <v>54</v>
      </c>
      <c r="V52" s="64">
        <v>54</v>
      </c>
      <c r="W52" s="64">
        <v>54</v>
      </c>
      <c r="X52" s="64">
        <v>54</v>
      </c>
      <c r="Y52" s="64">
        <v>54</v>
      </c>
      <c r="Z52" s="64">
        <v>54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50</v>
      </c>
      <c r="AK52" s="74"/>
    </row>
    <row r="53" spans="1:41" ht="15.75" thickBot="1" x14ac:dyDescent="0.3">
      <c r="A53" s="65" t="s">
        <v>69</v>
      </c>
      <c r="B53" s="66"/>
      <c r="C53" s="66">
        <v>22.1</v>
      </c>
      <c r="D53" s="66">
        <v>22.1</v>
      </c>
      <c r="E53" s="66">
        <v>22.1</v>
      </c>
      <c r="F53" s="66">
        <v>22.1</v>
      </c>
      <c r="G53" s="66">
        <v>22.1</v>
      </c>
      <c r="H53" s="66">
        <v>22.1</v>
      </c>
      <c r="I53" s="66">
        <v>22.1</v>
      </c>
      <c r="J53" s="66">
        <v>22.1</v>
      </c>
      <c r="K53" s="66">
        <v>22.1</v>
      </c>
      <c r="L53" s="66">
        <v>22.1</v>
      </c>
      <c r="M53" s="66">
        <v>22.1</v>
      </c>
      <c r="N53" s="66">
        <v>22.1</v>
      </c>
      <c r="O53" s="66">
        <v>22.1</v>
      </c>
      <c r="P53" s="66">
        <v>22.1</v>
      </c>
      <c r="Q53" s="66">
        <v>22.1</v>
      </c>
      <c r="R53" s="66">
        <v>22.1</v>
      </c>
      <c r="S53" s="66">
        <v>22.1</v>
      </c>
      <c r="T53" s="66">
        <v>22.1</v>
      </c>
      <c r="U53" s="66">
        <v>22.1</v>
      </c>
      <c r="V53" s="66">
        <v>22.1</v>
      </c>
      <c r="W53" s="66">
        <v>22.1</v>
      </c>
      <c r="X53" s="66">
        <v>22.1</v>
      </c>
      <c r="Y53" s="66">
        <v>22.1</v>
      </c>
      <c r="Z53" s="66">
        <v>22.1</v>
      </c>
      <c r="AA53" s="66">
        <v>22.1</v>
      </c>
      <c r="AB53" s="66">
        <v>22.1</v>
      </c>
      <c r="AC53" s="66">
        <v>22.1</v>
      </c>
      <c r="AD53" s="66">
        <v>22.1</v>
      </c>
      <c r="AE53" s="66">
        <v>22.1</v>
      </c>
      <c r="AF53" s="66">
        <v>22.1</v>
      </c>
      <c r="AG53" s="67">
        <v>22.1</v>
      </c>
      <c r="AH53" s="47">
        <f t="shared" si="2"/>
        <v>22.1</v>
      </c>
      <c r="AI53" s="48">
        <f t="shared" si="3"/>
        <v>22.1</v>
      </c>
      <c r="AK53" s="74"/>
    </row>
    <row r="54" spans="1:41" ht="15.75" thickBot="1" x14ac:dyDescent="0.3">
      <c r="A54" s="68" t="s">
        <v>70</v>
      </c>
      <c r="B54" s="59">
        <f t="shared" ref="B54:AG54" si="5">SUM(B51:B53)</f>
        <v>0</v>
      </c>
      <c r="C54" s="59">
        <f t="shared" si="5"/>
        <v>528.1</v>
      </c>
      <c r="D54" s="59">
        <f t="shared" si="5"/>
        <v>528.1</v>
      </c>
      <c r="E54" s="59">
        <f t="shared" si="5"/>
        <v>528.1</v>
      </c>
      <c r="F54" s="59">
        <f t="shared" si="5"/>
        <v>532.1</v>
      </c>
      <c r="G54" s="59">
        <f t="shared" si="5"/>
        <v>532.1</v>
      </c>
      <c r="H54" s="59">
        <f t="shared" si="5"/>
        <v>532.1</v>
      </c>
      <c r="I54" s="59">
        <f t="shared" si="5"/>
        <v>532.1</v>
      </c>
      <c r="J54" s="59">
        <f t="shared" si="5"/>
        <v>532.1</v>
      </c>
      <c r="K54" s="59">
        <f t="shared" si="5"/>
        <v>532.1</v>
      </c>
      <c r="L54" s="59">
        <f t="shared" si="5"/>
        <v>532.1</v>
      </c>
      <c r="M54" s="59">
        <f t="shared" si="5"/>
        <v>532.1</v>
      </c>
      <c r="N54" s="59">
        <f t="shared" si="5"/>
        <v>532.1</v>
      </c>
      <c r="O54" s="59">
        <f t="shared" si="5"/>
        <v>532.1</v>
      </c>
      <c r="P54" s="59">
        <f t="shared" si="5"/>
        <v>532.1</v>
      </c>
      <c r="Q54" s="59">
        <f t="shared" si="5"/>
        <v>532.1</v>
      </c>
      <c r="R54" s="59">
        <f t="shared" si="5"/>
        <v>532.1</v>
      </c>
      <c r="S54" s="59">
        <f t="shared" si="5"/>
        <v>532.1</v>
      </c>
      <c r="T54" s="59">
        <f t="shared" si="5"/>
        <v>532.1</v>
      </c>
      <c r="U54" s="59">
        <f t="shared" si="5"/>
        <v>532.1</v>
      </c>
      <c r="V54" s="59">
        <f t="shared" si="5"/>
        <v>532.1</v>
      </c>
      <c r="W54" s="59">
        <f t="shared" si="5"/>
        <v>532.1</v>
      </c>
      <c r="X54" s="59">
        <f t="shared" si="5"/>
        <v>532.1</v>
      </c>
      <c r="Y54" s="59">
        <f t="shared" si="5"/>
        <v>532.1</v>
      </c>
      <c r="Z54" s="59">
        <f t="shared" si="5"/>
        <v>532.1</v>
      </c>
      <c r="AA54" s="59">
        <f>SUM(AA51:AA53)</f>
        <v>533.1</v>
      </c>
      <c r="AB54" s="59">
        <f t="shared" si="5"/>
        <v>533.1</v>
      </c>
      <c r="AC54" s="59">
        <f t="shared" si="5"/>
        <v>533.1</v>
      </c>
      <c r="AD54" s="59">
        <f t="shared" si="5"/>
        <v>533.1</v>
      </c>
      <c r="AE54" s="59">
        <f t="shared" si="5"/>
        <v>533.1</v>
      </c>
      <c r="AF54" s="59">
        <f t="shared" si="5"/>
        <v>533.1</v>
      </c>
      <c r="AG54" s="60">
        <f t="shared" si="5"/>
        <v>538.1</v>
      </c>
      <c r="AH54" s="47">
        <f t="shared" si="2"/>
        <v>533.1</v>
      </c>
      <c r="AI54" s="48">
        <f t="shared" si="3"/>
        <v>0</v>
      </c>
      <c r="AK54" s="74"/>
    </row>
    <row r="55" spans="1:41" x14ac:dyDescent="0.25">
      <c r="A55" s="44" t="s">
        <v>71</v>
      </c>
      <c r="B55" s="45"/>
      <c r="C55" s="45">
        <v>94.7</v>
      </c>
      <c r="D55" s="45">
        <v>91</v>
      </c>
      <c r="E55" s="45">
        <v>95</v>
      </c>
      <c r="F55" s="45">
        <v>95</v>
      </c>
      <c r="G55" s="45">
        <v>94.9</v>
      </c>
      <c r="H55" s="45">
        <v>94.9</v>
      </c>
      <c r="I55" s="45">
        <v>95.6</v>
      </c>
      <c r="J55" s="45">
        <v>95.8</v>
      </c>
      <c r="K55" s="45">
        <v>95.8</v>
      </c>
      <c r="L55" s="45">
        <v>95.8</v>
      </c>
      <c r="M55" s="45">
        <v>95.8</v>
      </c>
      <c r="N55" s="45">
        <v>95.7</v>
      </c>
      <c r="O55" s="45">
        <v>95.7</v>
      </c>
      <c r="P55" s="45">
        <v>95.7</v>
      </c>
      <c r="Q55" s="45">
        <v>95.7</v>
      </c>
      <c r="R55" s="45">
        <v>95.5</v>
      </c>
      <c r="S55" s="45">
        <v>95.5</v>
      </c>
      <c r="T55" s="45">
        <v>95.5</v>
      </c>
      <c r="U55" s="45">
        <v>96</v>
      </c>
      <c r="V55" s="45">
        <v>91.2</v>
      </c>
      <c r="W55" s="45">
        <v>91.2</v>
      </c>
      <c r="X55" s="45">
        <v>91.2</v>
      </c>
      <c r="Y55" s="45">
        <v>91.2</v>
      </c>
      <c r="Z55" s="45">
        <v>96</v>
      </c>
      <c r="AA55" s="45">
        <v>90.9</v>
      </c>
      <c r="AB55" s="45">
        <v>90.9</v>
      </c>
      <c r="AC55" s="45">
        <v>40</v>
      </c>
      <c r="AD55" s="45">
        <v>90.9</v>
      </c>
      <c r="AE55" s="45">
        <v>96.2</v>
      </c>
      <c r="AF55" s="45">
        <v>96.2</v>
      </c>
      <c r="AG55" s="51">
        <v>144</v>
      </c>
      <c r="AH55" s="47">
        <f t="shared" si="2"/>
        <v>96.2</v>
      </c>
      <c r="AI55" s="48">
        <f t="shared" si="3"/>
        <v>40</v>
      </c>
      <c r="AK55" s="74"/>
    </row>
    <row r="56" spans="1:41" x14ac:dyDescent="0.25">
      <c r="A56" s="53" t="s">
        <v>72</v>
      </c>
      <c r="B56" s="64"/>
      <c r="C56" s="64">
        <v>71.900000000000006</v>
      </c>
      <c r="D56" s="64">
        <v>49</v>
      </c>
      <c r="E56" s="64">
        <v>49</v>
      </c>
      <c r="F56" s="64">
        <v>49.8</v>
      </c>
      <c r="G56" s="64">
        <v>49.5</v>
      </c>
      <c r="H56" s="64">
        <v>49.2</v>
      </c>
      <c r="I56" s="64">
        <v>60</v>
      </c>
      <c r="J56" s="64">
        <v>60</v>
      </c>
      <c r="K56" s="64">
        <v>70.7</v>
      </c>
      <c r="L56" s="64">
        <v>70.7</v>
      </c>
      <c r="M56" s="64">
        <v>70.7</v>
      </c>
      <c r="N56" s="64">
        <v>70.7</v>
      </c>
      <c r="O56" s="64">
        <v>70.7</v>
      </c>
      <c r="P56" s="64">
        <v>70.7</v>
      </c>
      <c r="Q56" s="64">
        <v>70.7</v>
      </c>
      <c r="R56" s="64">
        <v>72</v>
      </c>
      <c r="S56" s="64">
        <v>71.099999999999994</v>
      </c>
      <c r="T56" s="45">
        <v>64.099999999999994</v>
      </c>
      <c r="U56" s="45">
        <v>72</v>
      </c>
      <c r="V56" s="45">
        <v>72</v>
      </c>
      <c r="W56" s="45">
        <v>72</v>
      </c>
      <c r="X56" s="45">
        <v>72</v>
      </c>
      <c r="Y56" s="45">
        <v>72</v>
      </c>
      <c r="Z56" s="45">
        <v>70.2</v>
      </c>
      <c r="AA56" s="45">
        <v>69.5</v>
      </c>
      <c r="AB56" s="45">
        <v>69.5</v>
      </c>
      <c r="AC56" s="45">
        <v>69.5</v>
      </c>
      <c r="AD56" s="45">
        <v>70</v>
      </c>
      <c r="AE56" s="45">
        <v>70</v>
      </c>
      <c r="AF56" s="45">
        <v>70</v>
      </c>
      <c r="AG56" s="54">
        <v>70</v>
      </c>
      <c r="AH56" s="47">
        <f t="shared" si="2"/>
        <v>72</v>
      </c>
      <c r="AI56" s="48">
        <f t="shared" si="3"/>
        <v>49</v>
      </c>
      <c r="AK56" s="74"/>
    </row>
    <row r="57" spans="1:41" x14ac:dyDescent="0.25">
      <c r="A57" s="53" t="s">
        <v>73</v>
      </c>
      <c r="B57" s="64"/>
      <c r="C57" s="64">
        <v>63.4</v>
      </c>
      <c r="D57" s="64">
        <v>63.4</v>
      </c>
      <c r="E57" s="64">
        <v>63.4</v>
      </c>
      <c r="F57" s="64">
        <v>54.1</v>
      </c>
      <c r="G57" s="64">
        <v>54.3</v>
      </c>
      <c r="H57" s="64">
        <v>53.9</v>
      </c>
      <c r="I57" s="64">
        <v>63.8</v>
      </c>
      <c r="J57" s="64">
        <v>63.6</v>
      </c>
      <c r="K57" s="64">
        <v>64.2</v>
      </c>
      <c r="L57" s="64">
        <v>64.2</v>
      </c>
      <c r="M57" s="64">
        <v>64.2</v>
      </c>
      <c r="N57" s="64">
        <v>64.2</v>
      </c>
      <c r="O57" s="64">
        <v>64.2</v>
      </c>
      <c r="P57" s="64">
        <v>45</v>
      </c>
      <c r="Q57" s="64">
        <v>45</v>
      </c>
      <c r="R57" s="64">
        <v>45</v>
      </c>
      <c r="S57" s="64">
        <v>64</v>
      </c>
      <c r="T57" s="45">
        <v>64.3</v>
      </c>
      <c r="U57" s="45">
        <v>64</v>
      </c>
      <c r="V57" s="45">
        <v>64</v>
      </c>
      <c r="W57" s="45">
        <v>64</v>
      </c>
      <c r="X57" s="45">
        <v>64</v>
      </c>
      <c r="Y57" s="45">
        <v>64</v>
      </c>
      <c r="Z57" s="45">
        <v>64</v>
      </c>
      <c r="AA57" s="45">
        <v>64.099999999999994</v>
      </c>
      <c r="AB57" s="45">
        <v>64.099999999999994</v>
      </c>
      <c r="AC57" s="45">
        <v>64.099999999999994</v>
      </c>
      <c r="AD57" s="45">
        <v>68</v>
      </c>
      <c r="AE57" s="45">
        <v>68</v>
      </c>
      <c r="AF57" s="45">
        <v>68</v>
      </c>
      <c r="AG57" s="54">
        <v>69</v>
      </c>
      <c r="AH57" s="47">
        <f t="shared" si="2"/>
        <v>68</v>
      </c>
      <c r="AI57" s="48">
        <f t="shared" si="3"/>
        <v>45</v>
      </c>
      <c r="AK57" s="74"/>
    </row>
    <row r="58" spans="1:41" x14ac:dyDescent="0.25">
      <c r="A58" s="53" t="s">
        <v>74</v>
      </c>
      <c r="B58" s="64"/>
      <c r="C58" s="64">
        <v>60.4</v>
      </c>
      <c r="D58" s="64">
        <v>56</v>
      </c>
      <c r="E58" s="64">
        <v>51</v>
      </c>
      <c r="F58" s="56">
        <v>51.1</v>
      </c>
      <c r="G58" s="56">
        <v>52.9</v>
      </c>
      <c r="H58" s="56">
        <v>52.9</v>
      </c>
      <c r="I58" s="56">
        <v>60.9</v>
      </c>
      <c r="J58" s="56">
        <v>61.4</v>
      </c>
      <c r="K58" s="56">
        <v>40</v>
      </c>
      <c r="L58" s="56">
        <v>40</v>
      </c>
      <c r="M58" s="56">
        <v>40</v>
      </c>
      <c r="N58" s="56">
        <v>40</v>
      </c>
      <c r="O58" s="56">
        <v>40</v>
      </c>
      <c r="P58" s="56">
        <v>40</v>
      </c>
      <c r="Q58" s="56">
        <v>40</v>
      </c>
      <c r="R58" s="56">
        <v>40</v>
      </c>
      <c r="S58" s="56">
        <v>40</v>
      </c>
      <c r="T58" s="45">
        <v>60</v>
      </c>
      <c r="U58" s="45">
        <v>60</v>
      </c>
      <c r="V58" s="45">
        <v>60</v>
      </c>
      <c r="W58" s="45">
        <v>60</v>
      </c>
      <c r="X58" s="45">
        <v>60</v>
      </c>
      <c r="Y58" s="45">
        <v>60</v>
      </c>
      <c r="Z58" s="45">
        <v>61.4</v>
      </c>
      <c r="AA58" s="45">
        <v>61.7</v>
      </c>
      <c r="AB58" s="45">
        <v>61.7</v>
      </c>
      <c r="AC58" s="45">
        <v>61.7</v>
      </c>
      <c r="AD58" s="45">
        <v>61.7</v>
      </c>
      <c r="AE58" s="45">
        <v>61.7</v>
      </c>
      <c r="AF58" s="45">
        <v>61.7</v>
      </c>
      <c r="AG58" s="54">
        <v>60</v>
      </c>
      <c r="AH58" s="47">
        <f t="shared" si="2"/>
        <v>61.7</v>
      </c>
      <c r="AI58" s="48">
        <f t="shared" si="3"/>
        <v>40</v>
      </c>
      <c r="AK58" s="74"/>
    </row>
    <row r="59" spans="1:41" x14ac:dyDescent="0.25">
      <c r="A59" s="53" t="s">
        <v>75</v>
      </c>
      <c r="B59" s="64"/>
      <c r="C59" s="64">
        <v>30</v>
      </c>
      <c r="D59" s="64">
        <v>30</v>
      </c>
      <c r="E59" s="64">
        <v>30</v>
      </c>
      <c r="F59" s="56">
        <v>30</v>
      </c>
      <c r="G59" s="56">
        <v>30</v>
      </c>
      <c r="H59" s="56">
        <v>30</v>
      </c>
      <c r="I59" s="56">
        <v>30</v>
      </c>
      <c r="J59" s="56">
        <v>30</v>
      </c>
      <c r="K59" s="56">
        <v>30</v>
      </c>
      <c r="L59" s="56">
        <v>30</v>
      </c>
      <c r="M59" s="56">
        <v>30</v>
      </c>
      <c r="N59" s="56">
        <v>30</v>
      </c>
      <c r="O59" s="56">
        <v>30</v>
      </c>
      <c r="P59" s="56">
        <v>30</v>
      </c>
      <c r="Q59" s="56">
        <v>30</v>
      </c>
      <c r="R59" s="56">
        <v>30</v>
      </c>
      <c r="S59" s="56">
        <v>30</v>
      </c>
      <c r="T59" s="45">
        <v>30</v>
      </c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30</v>
      </c>
      <c r="AK59" s="74"/>
    </row>
    <row r="60" spans="1:41" x14ac:dyDescent="0.25">
      <c r="A60" s="53" t="s">
        <v>76</v>
      </c>
      <c r="B60" s="64"/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45">
        <v>10.8</v>
      </c>
      <c r="U60" s="45">
        <v>8.1999999999999993</v>
      </c>
      <c r="V60" s="45">
        <v>4.3</v>
      </c>
      <c r="W60" s="45">
        <v>4.3</v>
      </c>
      <c r="X60" s="45">
        <v>4.3</v>
      </c>
      <c r="Y60" s="45">
        <v>4.3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10.8</v>
      </c>
      <c r="AI60" s="48">
        <f t="shared" si="3"/>
        <v>0</v>
      </c>
      <c r="AK60" s="74"/>
    </row>
    <row r="61" spans="1:41" x14ac:dyDescent="0.25">
      <c r="A61" s="53" t="s">
        <v>77</v>
      </c>
      <c r="B61" s="64"/>
      <c r="C61" s="64">
        <v>14</v>
      </c>
      <c r="D61" s="64">
        <v>14</v>
      </c>
      <c r="E61" s="64">
        <v>14</v>
      </c>
      <c r="F61" s="64">
        <v>14</v>
      </c>
      <c r="G61" s="64">
        <v>14</v>
      </c>
      <c r="H61" s="64">
        <v>14</v>
      </c>
      <c r="I61" s="64">
        <v>15</v>
      </c>
      <c r="J61" s="64">
        <v>14</v>
      </c>
      <c r="K61" s="64">
        <v>14</v>
      </c>
      <c r="L61" s="64">
        <v>14</v>
      </c>
      <c r="M61" s="64">
        <v>14</v>
      </c>
      <c r="N61" s="64">
        <v>14</v>
      </c>
      <c r="O61" s="64">
        <v>14</v>
      </c>
      <c r="P61" s="64">
        <v>14</v>
      </c>
      <c r="Q61" s="64">
        <v>14</v>
      </c>
      <c r="R61" s="64">
        <v>14</v>
      </c>
      <c r="S61" s="64">
        <v>14</v>
      </c>
      <c r="T61" s="64">
        <v>14</v>
      </c>
      <c r="U61" s="64">
        <v>14</v>
      </c>
      <c r="V61" s="64">
        <v>14</v>
      </c>
      <c r="W61" s="64">
        <v>14</v>
      </c>
      <c r="X61" s="64">
        <v>14</v>
      </c>
      <c r="Y61" s="64">
        <v>14</v>
      </c>
      <c r="Z61" s="64">
        <v>14</v>
      </c>
      <c r="AA61" s="64">
        <v>14</v>
      </c>
      <c r="AB61" s="64">
        <v>14</v>
      </c>
      <c r="AC61" s="64">
        <v>14</v>
      </c>
      <c r="AD61" s="64">
        <v>14</v>
      </c>
      <c r="AE61" s="64">
        <v>14</v>
      </c>
      <c r="AF61" s="64">
        <v>14</v>
      </c>
      <c r="AG61" s="54">
        <v>24</v>
      </c>
      <c r="AH61" s="47">
        <f t="shared" si="2"/>
        <v>15</v>
      </c>
      <c r="AI61" s="48">
        <f t="shared" si="3"/>
        <v>14</v>
      </c>
      <c r="AK61" s="74"/>
    </row>
    <row r="62" spans="1:41" x14ac:dyDescent="0.25">
      <c r="A62" s="53" t="s">
        <v>78</v>
      </c>
      <c r="B62" s="64"/>
      <c r="C62" s="64">
        <v>3</v>
      </c>
      <c r="D62" s="64">
        <v>3</v>
      </c>
      <c r="E62" s="64">
        <v>3</v>
      </c>
      <c r="F62" s="64">
        <v>3</v>
      </c>
      <c r="G62" s="64">
        <v>3</v>
      </c>
      <c r="H62" s="64">
        <v>3</v>
      </c>
      <c r="I62" s="64">
        <v>3</v>
      </c>
      <c r="J62" s="64">
        <v>3</v>
      </c>
      <c r="K62" s="64">
        <v>3</v>
      </c>
      <c r="L62" s="64">
        <v>3</v>
      </c>
      <c r="M62" s="64">
        <v>3</v>
      </c>
      <c r="N62" s="64">
        <v>3</v>
      </c>
      <c r="O62" s="64">
        <v>3</v>
      </c>
      <c r="P62" s="64">
        <v>3</v>
      </c>
      <c r="Q62" s="64">
        <v>3</v>
      </c>
      <c r="R62" s="64">
        <v>3</v>
      </c>
      <c r="S62" s="64">
        <v>3</v>
      </c>
      <c r="T62" s="64">
        <v>3</v>
      </c>
      <c r="U62" s="64">
        <v>3</v>
      </c>
      <c r="V62" s="64">
        <v>3</v>
      </c>
      <c r="W62" s="64">
        <v>3</v>
      </c>
      <c r="X62" s="64">
        <v>3</v>
      </c>
      <c r="Y62" s="64">
        <v>3</v>
      </c>
      <c r="Z62" s="64">
        <v>3</v>
      </c>
      <c r="AA62" s="64">
        <v>3</v>
      </c>
      <c r="AB62" s="64">
        <v>3</v>
      </c>
      <c r="AC62" s="64">
        <v>3</v>
      </c>
      <c r="AD62" s="64">
        <v>3</v>
      </c>
      <c r="AE62" s="64">
        <v>3</v>
      </c>
      <c r="AF62" s="64">
        <v>3</v>
      </c>
      <c r="AG62" s="54">
        <v>15</v>
      </c>
      <c r="AH62" s="47">
        <f t="shared" si="2"/>
        <v>3</v>
      </c>
      <c r="AI62" s="48">
        <f t="shared" si="3"/>
        <v>3</v>
      </c>
      <c r="AK62" s="74"/>
      <c r="AL62" s="69"/>
      <c r="AO62" s="69"/>
    </row>
    <row r="63" spans="1:41" s="69" customFormat="1" x14ac:dyDescent="0.25">
      <c r="A63" s="53" t="s">
        <v>79</v>
      </c>
      <c r="B63" s="64"/>
      <c r="C63" s="64">
        <v>9.1</v>
      </c>
      <c r="D63" s="64">
        <v>9.1</v>
      </c>
      <c r="E63" s="64">
        <v>9.1</v>
      </c>
      <c r="F63" s="64">
        <v>9.1</v>
      </c>
      <c r="G63" s="64">
        <v>9.1</v>
      </c>
      <c r="H63" s="64">
        <v>9.1</v>
      </c>
      <c r="I63" s="64">
        <v>9.1</v>
      </c>
      <c r="J63" s="64">
        <v>9.1</v>
      </c>
      <c r="K63" s="64">
        <v>9.1</v>
      </c>
      <c r="L63" s="64">
        <v>9.1</v>
      </c>
      <c r="M63" s="64">
        <v>9.1</v>
      </c>
      <c r="N63" s="64">
        <v>9.1</v>
      </c>
      <c r="O63" s="64">
        <v>9.1</v>
      </c>
      <c r="P63" s="64">
        <v>9.1</v>
      </c>
      <c r="Q63" s="64">
        <v>9.1</v>
      </c>
      <c r="R63" s="64">
        <v>9.1</v>
      </c>
      <c r="S63" s="64">
        <v>9.1</v>
      </c>
      <c r="T63" s="64">
        <v>9.1</v>
      </c>
      <c r="U63" s="64">
        <v>9.1</v>
      </c>
      <c r="V63" s="64">
        <v>9.1</v>
      </c>
      <c r="W63" s="64">
        <v>9.1</v>
      </c>
      <c r="X63" s="64">
        <v>9.1</v>
      </c>
      <c r="Y63" s="64">
        <v>9.1</v>
      </c>
      <c r="Z63" s="64">
        <v>9.1</v>
      </c>
      <c r="AA63" s="64">
        <v>9.1</v>
      </c>
      <c r="AB63" s="64">
        <v>9.1</v>
      </c>
      <c r="AC63" s="64">
        <v>9.1</v>
      </c>
      <c r="AD63" s="64">
        <v>9.1</v>
      </c>
      <c r="AE63" s="64">
        <v>9.1</v>
      </c>
      <c r="AF63" s="64">
        <v>9.1</v>
      </c>
      <c r="AG63" s="54">
        <v>14.1</v>
      </c>
      <c r="AH63" s="47">
        <f t="shared" si="2"/>
        <v>9.1</v>
      </c>
      <c r="AI63" s="48">
        <f t="shared" si="3"/>
        <v>9.1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/>
      <c r="C64" s="64">
        <v>7.1</v>
      </c>
      <c r="D64" s="64">
        <v>7.1</v>
      </c>
      <c r="E64" s="64">
        <v>7.1</v>
      </c>
      <c r="F64" s="64">
        <v>7.1</v>
      </c>
      <c r="G64" s="64">
        <v>7.1</v>
      </c>
      <c r="H64" s="64">
        <v>7.1</v>
      </c>
      <c r="I64" s="64">
        <v>7.1</v>
      </c>
      <c r="J64" s="64">
        <v>7.1</v>
      </c>
      <c r="K64" s="64">
        <v>7.1</v>
      </c>
      <c r="L64" s="64">
        <v>7.1</v>
      </c>
      <c r="M64" s="64">
        <v>7.1</v>
      </c>
      <c r="N64" s="64">
        <v>7.1</v>
      </c>
      <c r="O64" s="64">
        <v>7.1</v>
      </c>
      <c r="P64" s="64">
        <v>7.1</v>
      </c>
      <c r="Q64" s="64">
        <v>7.1</v>
      </c>
      <c r="R64" s="64">
        <v>7.1</v>
      </c>
      <c r="S64" s="64">
        <v>7.1</v>
      </c>
      <c r="T64" s="64">
        <v>7.1</v>
      </c>
      <c r="U64" s="64">
        <v>7.1</v>
      </c>
      <c r="V64" s="64">
        <v>7.1</v>
      </c>
      <c r="W64" s="64">
        <v>7.1</v>
      </c>
      <c r="X64" s="64">
        <v>7.1</v>
      </c>
      <c r="Y64" s="64">
        <v>7.1</v>
      </c>
      <c r="Z64" s="64">
        <v>7.1</v>
      </c>
      <c r="AA64" s="64">
        <v>7.1</v>
      </c>
      <c r="AB64" s="64">
        <v>7.1</v>
      </c>
      <c r="AC64" s="64">
        <v>7.1</v>
      </c>
      <c r="AD64" s="64">
        <v>7.1</v>
      </c>
      <c r="AE64" s="64">
        <v>7.1</v>
      </c>
      <c r="AF64" s="64">
        <v>7.1</v>
      </c>
      <c r="AG64" s="54">
        <v>14</v>
      </c>
      <c r="AH64" s="47">
        <f t="shared" si="2"/>
        <v>7.1</v>
      </c>
      <c r="AI64" s="48">
        <f t="shared" si="3"/>
        <v>7.1</v>
      </c>
      <c r="AK64" s="74"/>
    </row>
    <row r="65" spans="1:40" x14ac:dyDescent="0.25">
      <c r="A65" s="53" t="s">
        <v>81</v>
      </c>
      <c r="B65" s="64"/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74"/>
    </row>
    <row r="66" spans="1:40" x14ac:dyDescent="0.25">
      <c r="A66" s="53" t="s">
        <v>82</v>
      </c>
      <c r="B66" s="64"/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</v>
      </c>
      <c r="AK67" s="74"/>
    </row>
    <row r="68" spans="1:40" ht="15.75" thickBot="1" x14ac:dyDescent="0.3">
      <c r="A68" s="73" t="s">
        <v>84</v>
      </c>
      <c r="B68" s="59">
        <f t="shared" ref="B68:AG68" si="6">SUM(B55:B67)</f>
        <v>3.54</v>
      </c>
      <c r="C68" s="59">
        <f t="shared" si="6"/>
        <v>372.84000000000009</v>
      </c>
      <c r="D68" s="59">
        <f t="shared" si="6"/>
        <v>341.84000000000003</v>
      </c>
      <c r="E68" s="59">
        <f t="shared" si="6"/>
        <v>340.84000000000003</v>
      </c>
      <c r="F68" s="59">
        <f t="shared" si="6"/>
        <v>332.44000000000005</v>
      </c>
      <c r="G68" s="59">
        <f t="shared" si="6"/>
        <v>334.04000000000008</v>
      </c>
      <c r="H68" s="59">
        <f t="shared" si="6"/>
        <v>333.34000000000009</v>
      </c>
      <c r="I68" s="59">
        <f t="shared" si="6"/>
        <v>363.74</v>
      </c>
      <c r="J68" s="59">
        <f t="shared" si="6"/>
        <v>363.24000000000007</v>
      </c>
      <c r="K68" s="59">
        <f t="shared" si="6"/>
        <v>353.14000000000004</v>
      </c>
      <c r="L68" s="59">
        <f t="shared" si="6"/>
        <v>353.14000000000004</v>
      </c>
      <c r="M68" s="59">
        <f t="shared" si="6"/>
        <v>353.14000000000004</v>
      </c>
      <c r="N68" s="59">
        <f t="shared" si="6"/>
        <v>353.04000000000008</v>
      </c>
      <c r="O68" s="59">
        <f t="shared" si="6"/>
        <v>353.04000000000008</v>
      </c>
      <c r="P68" s="59">
        <f t="shared" si="6"/>
        <v>333.84000000000003</v>
      </c>
      <c r="Q68" s="59">
        <f t="shared" si="6"/>
        <v>333.84000000000003</v>
      </c>
      <c r="R68" s="59">
        <f t="shared" si="6"/>
        <v>334.94000000000005</v>
      </c>
      <c r="S68" s="59">
        <f t="shared" si="6"/>
        <v>353.04000000000008</v>
      </c>
      <c r="T68" s="59">
        <f t="shared" si="6"/>
        <v>377.14000000000004</v>
      </c>
      <c r="U68" s="59">
        <f t="shared" si="6"/>
        <v>382.64000000000004</v>
      </c>
      <c r="V68" s="59">
        <f t="shared" si="6"/>
        <v>373.94000000000005</v>
      </c>
      <c r="W68" s="59">
        <f t="shared" si="6"/>
        <v>373.94000000000005</v>
      </c>
      <c r="X68" s="59">
        <f t="shared" si="6"/>
        <v>373.94000000000005</v>
      </c>
      <c r="Y68" s="59">
        <f t="shared" si="6"/>
        <v>373.94000000000005</v>
      </c>
      <c r="Z68" s="59">
        <f t="shared" si="6"/>
        <v>374.04</v>
      </c>
      <c r="AA68" s="59">
        <f>SUM(AA55:AA67)</f>
        <v>368.6</v>
      </c>
      <c r="AB68" s="59">
        <f t="shared" si="6"/>
        <v>368.64000000000004</v>
      </c>
      <c r="AC68" s="59">
        <f t="shared" si="6"/>
        <v>317.74000000000007</v>
      </c>
      <c r="AD68" s="59">
        <f t="shared" si="6"/>
        <v>373.04000000000008</v>
      </c>
      <c r="AE68" s="59">
        <f t="shared" si="6"/>
        <v>378.34000000000003</v>
      </c>
      <c r="AF68" s="59">
        <f t="shared" si="6"/>
        <v>378.34000000000003</v>
      </c>
      <c r="AG68" s="60">
        <f t="shared" si="6"/>
        <v>489.91</v>
      </c>
      <c r="AH68" s="47">
        <f t="shared" si="2"/>
        <v>382.64000000000004</v>
      </c>
      <c r="AI68" s="48">
        <f t="shared" si="3"/>
        <v>3.54</v>
      </c>
      <c r="AK68" s="74"/>
    </row>
    <row r="69" spans="1:40" x14ac:dyDescent="0.25">
      <c r="A69" s="44" t="s">
        <v>85</v>
      </c>
      <c r="B69" s="45"/>
      <c r="C69" s="45">
        <v>29</v>
      </c>
      <c r="D69" s="45">
        <v>29.5</v>
      </c>
      <c r="E69" s="45">
        <v>29.4</v>
      </c>
      <c r="F69" s="45">
        <v>29.4</v>
      </c>
      <c r="G69" s="45">
        <v>29.4</v>
      </c>
      <c r="H69" s="45">
        <v>29.4</v>
      </c>
      <c r="I69" s="45">
        <v>29.4</v>
      </c>
      <c r="J69" s="45">
        <v>29.4</v>
      </c>
      <c r="K69" s="45">
        <v>33.799999999999997</v>
      </c>
      <c r="L69" s="45">
        <v>33.799999999999997</v>
      </c>
      <c r="M69" s="45">
        <v>11.2</v>
      </c>
      <c r="N69" s="45">
        <v>11.2</v>
      </c>
      <c r="O69" s="45">
        <v>60</v>
      </c>
      <c r="P69" s="45">
        <v>50</v>
      </c>
      <c r="Q69" s="45">
        <v>40</v>
      </c>
      <c r="R69" s="45">
        <v>50</v>
      </c>
      <c r="S69" s="45">
        <v>35</v>
      </c>
      <c r="T69" s="45">
        <v>34.299999999999997</v>
      </c>
      <c r="U69" s="45">
        <v>55.5</v>
      </c>
      <c r="V69" s="45">
        <v>46.2</v>
      </c>
      <c r="W69" s="45">
        <v>14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50</v>
      </c>
      <c r="AD69" s="45">
        <v>50</v>
      </c>
      <c r="AE69" s="45">
        <v>30</v>
      </c>
      <c r="AF69" s="45">
        <v>0</v>
      </c>
      <c r="AG69" s="51">
        <v>60</v>
      </c>
      <c r="AH69" s="47">
        <f t="shared" si="2"/>
        <v>60</v>
      </c>
      <c r="AI69" s="48">
        <f t="shared" si="3"/>
        <v>0</v>
      </c>
      <c r="AK69" s="74"/>
    </row>
    <row r="70" spans="1:40" x14ac:dyDescent="0.25">
      <c r="A70" s="53" t="s">
        <v>86</v>
      </c>
      <c r="B70" s="45"/>
      <c r="C70" s="45">
        <v>9.6</v>
      </c>
      <c r="D70" s="64">
        <v>14.7</v>
      </c>
      <c r="E70" s="64">
        <v>16.399999999999999</v>
      </c>
      <c r="F70" s="64">
        <v>16.399999999999999</v>
      </c>
      <c r="G70" s="64">
        <v>16.399999999999999</v>
      </c>
      <c r="H70" s="64">
        <v>16.399999999999999</v>
      </c>
      <c r="I70" s="64">
        <v>16.399999999999999</v>
      </c>
      <c r="J70" s="64">
        <v>16.399999999999999</v>
      </c>
      <c r="K70" s="64">
        <v>19.399999999999999</v>
      </c>
      <c r="L70" s="64">
        <v>19.399999999999999</v>
      </c>
      <c r="M70" s="64">
        <v>4.4000000000000004</v>
      </c>
      <c r="N70" s="64">
        <v>4.4000000000000004</v>
      </c>
      <c r="O70" s="64">
        <v>27</v>
      </c>
      <c r="P70" s="64">
        <v>21</v>
      </c>
      <c r="Q70" s="64">
        <v>19.600000000000001</v>
      </c>
      <c r="R70" s="64">
        <v>24</v>
      </c>
      <c r="S70" s="64">
        <v>15.4</v>
      </c>
      <c r="T70" s="64">
        <v>14.1</v>
      </c>
      <c r="U70" s="64">
        <v>29.3</v>
      </c>
      <c r="V70" s="64">
        <v>14.8</v>
      </c>
      <c r="W70" s="64">
        <v>10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25</v>
      </c>
      <c r="AD70" s="64">
        <v>25</v>
      </c>
      <c r="AE70" s="64">
        <v>12</v>
      </c>
      <c r="AF70" s="64">
        <v>0</v>
      </c>
      <c r="AG70" s="54">
        <v>32</v>
      </c>
      <c r="AH70" s="47">
        <f t="shared" si="2"/>
        <v>29.3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/>
      <c r="C71" s="45">
        <v>3.5</v>
      </c>
      <c r="D71" s="66">
        <v>5.4</v>
      </c>
      <c r="E71" s="66">
        <v>6</v>
      </c>
      <c r="F71" s="66">
        <v>6</v>
      </c>
      <c r="G71" s="66">
        <v>6</v>
      </c>
      <c r="H71" s="66">
        <v>6</v>
      </c>
      <c r="I71" s="66">
        <v>6</v>
      </c>
      <c r="J71" s="66">
        <v>6</v>
      </c>
      <c r="K71" s="66">
        <v>7.1</v>
      </c>
      <c r="L71" s="66">
        <v>7.1</v>
      </c>
      <c r="M71" s="66">
        <v>1.6</v>
      </c>
      <c r="N71" s="66">
        <v>1.6</v>
      </c>
      <c r="O71" s="66">
        <v>10</v>
      </c>
      <c r="P71" s="66">
        <v>8</v>
      </c>
      <c r="Q71" s="66">
        <v>7.2</v>
      </c>
      <c r="R71" s="66">
        <v>8.8000000000000007</v>
      </c>
      <c r="S71" s="66">
        <v>5.6</v>
      </c>
      <c r="T71" s="66">
        <v>5.0999999999999996</v>
      </c>
      <c r="U71" s="66">
        <v>10.7</v>
      </c>
      <c r="V71" s="66">
        <v>6.5</v>
      </c>
      <c r="W71" s="66">
        <v>4.5999999999999996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10</v>
      </c>
      <c r="AD71" s="66">
        <v>10</v>
      </c>
      <c r="AE71" s="66">
        <v>5</v>
      </c>
      <c r="AF71" s="66">
        <v>0</v>
      </c>
      <c r="AG71" s="67">
        <v>14</v>
      </c>
      <c r="AH71" s="47">
        <f t="shared" si="2"/>
        <v>10.7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>B69+B70+B71</f>
        <v>0</v>
      </c>
      <c r="C72" s="59">
        <f t="shared" ref="C72:K72" si="7">C69+C70+C71</f>
        <v>42.1</v>
      </c>
      <c r="D72" s="59">
        <f t="shared" si="7"/>
        <v>49.6</v>
      </c>
      <c r="E72" s="59">
        <f t="shared" si="7"/>
        <v>51.8</v>
      </c>
      <c r="F72" s="59">
        <f t="shared" si="7"/>
        <v>51.8</v>
      </c>
      <c r="G72" s="59">
        <f t="shared" si="7"/>
        <v>51.8</v>
      </c>
      <c r="H72" s="59">
        <f t="shared" si="7"/>
        <v>51.8</v>
      </c>
      <c r="I72" s="59">
        <f t="shared" si="7"/>
        <v>51.8</v>
      </c>
      <c r="J72" s="59">
        <f t="shared" si="7"/>
        <v>51.8</v>
      </c>
      <c r="K72" s="59">
        <f t="shared" si="7"/>
        <v>60.3</v>
      </c>
      <c r="L72" s="59">
        <f>L69+L70+L71</f>
        <v>60.3</v>
      </c>
      <c r="M72" s="59">
        <f t="shared" ref="M72:AF72" si="8">M69+M70+M71</f>
        <v>17.2</v>
      </c>
      <c r="N72" s="59">
        <f t="shared" si="8"/>
        <v>17.2</v>
      </c>
      <c r="O72" s="59">
        <f t="shared" si="8"/>
        <v>97</v>
      </c>
      <c r="P72" s="59">
        <f t="shared" si="8"/>
        <v>79</v>
      </c>
      <c r="Q72" s="59">
        <f t="shared" si="8"/>
        <v>66.8</v>
      </c>
      <c r="R72" s="59">
        <f t="shared" si="8"/>
        <v>82.8</v>
      </c>
      <c r="S72" s="59">
        <f t="shared" si="8"/>
        <v>56</v>
      </c>
      <c r="T72" s="59">
        <f t="shared" si="8"/>
        <v>53.5</v>
      </c>
      <c r="U72" s="59">
        <f t="shared" si="8"/>
        <v>95.5</v>
      </c>
      <c r="V72" s="59">
        <f t="shared" si="8"/>
        <v>67.5</v>
      </c>
      <c r="W72" s="59">
        <f t="shared" si="8"/>
        <v>28.6</v>
      </c>
      <c r="X72" s="59">
        <f t="shared" si="8"/>
        <v>0</v>
      </c>
      <c r="Y72" s="59">
        <f t="shared" si="8"/>
        <v>0</v>
      </c>
      <c r="Z72" s="59">
        <f t="shared" si="8"/>
        <v>0</v>
      </c>
      <c r="AA72" s="59">
        <f>SUM(AA69:AA71)</f>
        <v>0</v>
      </c>
      <c r="AB72" s="59">
        <f t="shared" si="8"/>
        <v>0</v>
      </c>
      <c r="AC72" s="59">
        <f t="shared" si="8"/>
        <v>85</v>
      </c>
      <c r="AD72" s="59">
        <f t="shared" si="8"/>
        <v>85</v>
      </c>
      <c r="AE72" s="59">
        <f t="shared" si="8"/>
        <v>47</v>
      </c>
      <c r="AF72" s="59">
        <f t="shared" si="8"/>
        <v>0</v>
      </c>
      <c r="AG72" s="60">
        <f>SUM(AG69:AG71)</f>
        <v>106</v>
      </c>
      <c r="AH72" s="47">
        <f t="shared" si="2"/>
        <v>97</v>
      </c>
      <c r="AI72" s="48">
        <f t="shared" si="3"/>
        <v>0</v>
      </c>
      <c r="AK72" s="74"/>
    </row>
    <row r="73" spans="1:40" x14ac:dyDescent="0.25">
      <c r="A73" s="44" t="s">
        <v>89</v>
      </c>
      <c r="B73" s="45"/>
      <c r="C73" s="45">
        <v>51</v>
      </c>
      <c r="D73" s="45">
        <v>33</v>
      </c>
      <c r="E73" s="45">
        <v>-3</v>
      </c>
      <c r="F73" s="45">
        <v>2.5</v>
      </c>
      <c r="G73" s="45">
        <v>10.9</v>
      </c>
      <c r="H73" s="45">
        <v>5.0999999999999996</v>
      </c>
      <c r="I73" s="45">
        <v>0</v>
      </c>
      <c r="J73" s="45">
        <v>-1</v>
      </c>
      <c r="K73" s="45">
        <v>16.3</v>
      </c>
      <c r="L73" s="45">
        <v>18.3</v>
      </c>
      <c r="M73" s="45">
        <v>15.2</v>
      </c>
      <c r="N73" s="45">
        <v>23.3</v>
      </c>
      <c r="O73" s="45">
        <v>20</v>
      </c>
      <c r="P73" s="45">
        <v>41</v>
      </c>
      <c r="Q73" s="45">
        <v>35</v>
      </c>
      <c r="R73" s="45">
        <v>37.200000000000003</v>
      </c>
      <c r="S73" s="45">
        <v>52.1</v>
      </c>
      <c r="T73" s="45">
        <v>48.5</v>
      </c>
      <c r="U73" s="45">
        <v>41.4</v>
      </c>
      <c r="V73" s="45">
        <v>21.8</v>
      </c>
      <c r="W73" s="45">
        <v>21.8</v>
      </c>
      <c r="X73" s="45">
        <v>30</v>
      </c>
      <c r="Y73" s="45">
        <v>36.799999999999997</v>
      </c>
      <c r="Z73" s="45">
        <v>41.9</v>
      </c>
      <c r="AA73" s="45">
        <v>45.9</v>
      </c>
      <c r="AB73" s="45">
        <v>45.9</v>
      </c>
      <c r="AC73" s="45">
        <v>60</v>
      </c>
      <c r="AD73" s="45">
        <v>23.5</v>
      </c>
      <c r="AE73" s="45">
        <v>30</v>
      </c>
      <c r="AF73" s="45">
        <v>29.5</v>
      </c>
      <c r="AG73" s="51"/>
      <c r="AH73" s="47">
        <f t="shared" si="2"/>
        <v>60</v>
      </c>
      <c r="AI73" s="48">
        <f t="shared" si="3"/>
        <v>-3</v>
      </c>
      <c r="AK73" s="74"/>
    </row>
    <row r="74" spans="1:40" x14ac:dyDescent="0.25">
      <c r="A74" s="53" t="s">
        <v>90</v>
      </c>
      <c r="B74" s="64"/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/>
      <c r="C75" s="64">
        <v>-303</v>
      </c>
      <c r="D75" s="64">
        <v>-336</v>
      </c>
      <c r="E75" s="64">
        <v>-330</v>
      </c>
      <c r="F75" s="64">
        <v>-318</v>
      </c>
      <c r="G75" s="64">
        <v>-352</v>
      </c>
      <c r="H75" s="64">
        <v>-376</v>
      </c>
      <c r="I75" s="64">
        <v>-386</v>
      </c>
      <c r="J75" s="64">
        <v>-301</v>
      </c>
      <c r="K75" s="64">
        <v>-397</v>
      </c>
      <c r="L75" s="64">
        <v>-406.5</v>
      </c>
      <c r="M75" s="64">
        <v>-407</v>
      </c>
      <c r="N75" s="64">
        <v>-244</v>
      </c>
      <c r="O75" s="64">
        <v>-327</v>
      </c>
      <c r="P75" s="64">
        <v>-307</v>
      </c>
      <c r="Q75" s="64">
        <v>-317</v>
      </c>
      <c r="R75" s="64">
        <v>-360</v>
      </c>
      <c r="S75" s="64">
        <v>-290</v>
      </c>
      <c r="T75" s="64">
        <v>-291.8</v>
      </c>
      <c r="U75" s="64">
        <v>-356</v>
      </c>
      <c r="V75" s="64">
        <v>-396.3</v>
      </c>
      <c r="W75" s="64">
        <v>-410</v>
      </c>
      <c r="X75" s="64">
        <v>-410</v>
      </c>
      <c r="Y75" s="64">
        <v>-400</v>
      </c>
      <c r="Z75" s="64">
        <v>-376.1</v>
      </c>
      <c r="AA75" s="64">
        <v>-288.89999999999998</v>
      </c>
      <c r="AB75" s="64">
        <v>300</v>
      </c>
      <c r="AC75" s="64">
        <v>300</v>
      </c>
      <c r="AD75" s="64">
        <v>310</v>
      </c>
      <c r="AE75" s="64">
        <v>-330</v>
      </c>
      <c r="AF75" s="64">
        <v>-267</v>
      </c>
      <c r="AG75" s="75"/>
      <c r="AH75" s="47">
        <f t="shared" si="2"/>
        <v>310</v>
      </c>
      <c r="AI75" s="48">
        <f t="shared" si="3"/>
        <v>-410</v>
      </c>
      <c r="AK75" s="74"/>
    </row>
    <row r="76" spans="1:40" x14ac:dyDescent="0.25">
      <c r="A76" s="53" t="s">
        <v>92</v>
      </c>
      <c r="B76" s="64"/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20</v>
      </c>
      <c r="AF76" s="76">
        <v>20</v>
      </c>
      <c r="AG76" s="75"/>
      <c r="AH76" s="47">
        <f t="shared" si="2"/>
        <v>20</v>
      </c>
      <c r="AI76" s="48">
        <f t="shared" si="3"/>
        <v>0</v>
      </c>
      <c r="AK76" s="74"/>
    </row>
    <row r="77" spans="1:40" x14ac:dyDescent="0.25">
      <c r="A77" s="53" t="s">
        <v>93</v>
      </c>
      <c r="B77" s="45"/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9">MAX(B77:AF77)</f>
        <v>0</v>
      </c>
      <c r="AI77" s="48">
        <f t="shared" ref="AI77:AI120" si="10">MIN(B77:AF77)</f>
        <v>0</v>
      </c>
      <c r="AK77" s="74"/>
    </row>
    <row r="78" spans="1:40" x14ac:dyDescent="0.25">
      <c r="A78" s="53" t="s">
        <v>94</v>
      </c>
      <c r="B78" s="45"/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9"/>
        <v>0</v>
      </c>
      <c r="AI78" s="48">
        <f t="shared" si="10"/>
        <v>0</v>
      </c>
      <c r="AK78" s="74"/>
    </row>
    <row r="79" spans="1:40" ht="15.75" thickBot="1" x14ac:dyDescent="0.3">
      <c r="A79" s="53" t="s">
        <v>95</v>
      </c>
      <c r="B79" s="45"/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9"/>
        <v>0</v>
      </c>
      <c r="AI79" s="48">
        <f t="shared" si="10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/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9"/>
        <v>0</v>
      </c>
      <c r="AI80" s="48">
        <f t="shared" si="10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/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9"/>
        <v>0</v>
      </c>
      <c r="AI81" s="48">
        <f t="shared" si="10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/>
      <c r="C82" s="77">
        <v>0</v>
      </c>
      <c r="D82" s="77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9"/>
        <v>0</v>
      </c>
      <c r="AI82" s="48">
        <f t="shared" si="10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/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9"/>
        <v>0</v>
      </c>
      <c r="AI83" s="48">
        <f t="shared" si="10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1">SUMIF(B73:B83,"&gt;0")</f>
        <v>0</v>
      </c>
      <c r="C84" s="59">
        <f t="shared" si="11"/>
        <v>51</v>
      </c>
      <c r="D84" s="59">
        <f t="shared" si="11"/>
        <v>33</v>
      </c>
      <c r="E84" s="59">
        <f t="shared" si="11"/>
        <v>0</v>
      </c>
      <c r="F84" s="59">
        <f t="shared" si="11"/>
        <v>2.5</v>
      </c>
      <c r="G84" s="59">
        <f t="shared" si="11"/>
        <v>10.9</v>
      </c>
      <c r="H84" s="59">
        <f t="shared" si="11"/>
        <v>5.0999999999999996</v>
      </c>
      <c r="I84" s="59">
        <f t="shared" si="11"/>
        <v>0</v>
      </c>
      <c r="J84" s="59">
        <f t="shared" si="11"/>
        <v>0</v>
      </c>
      <c r="K84" s="59">
        <f t="shared" si="11"/>
        <v>16.3</v>
      </c>
      <c r="L84" s="59">
        <f t="shared" si="11"/>
        <v>18.3</v>
      </c>
      <c r="M84" s="59">
        <f t="shared" si="11"/>
        <v>15.2</v>
      </c>
      <c r="N84" s="59">
        <f t="shared" si="11"/>
        <v>23.3</v>
      </c>
      <c r="O84" s="59">
        <f t="shared" si="11"/>
        <v>20</v>
      </c>
      <c r="P84" s="59">
        <f t="shared" si="11"/>
        <v>41</v>
      </c>
      <c r="Q84" s="59">
        <f t="shared" si="11"/>
        <v>35</v>
      </c>
      <c r="R84" s="59">
        <f t="shared" si="11"/>
        <v>37.200000000000003</v>
      </c>
      <c r="S84" s="59">
        <f t="shared" si="11"/>
        <v>52.1</v>
      </c>
      <c r="T84" s="59">
        <f t="shared" si="11"/>
        <v>48.5</v>
      </c>
      <c r="U84" s="59">
        <f t="shared" si="11"/>
        <v>41.4</v>
      </c>
      <c r="V84" s="59">
        <f t="shared" si="11"/>
        <v>21.8</v>
      </c>
      <c r="W84" s="59">
        <f t="shared" si="11"/>
        <v>21.8</v>
      </c>
      <c r="X84" s="59">
        <f t="shared" si="11"/>
        <v>30</v>
      </c>
      <c r="Y84" s="59">
        <f t="shared" si="11"/>
        <v>36.799999999999997</v>
      </c>
      <c r="Z84" s="59">
        <f t="shared" si="11"/>
        <v>41.9</v>
      </c>
      <c r="AA84" s="59">
        <f>SUMIF(AA73:AA83,"&gt;0")</f>
        <v>45.9</v>
      </c>
      <c r="AB84" s="59">
        <f t="shared" si="11"/>
        <v>345.9</v>
      </c>
      <c r="AC84" s="59">
        <f t="shared" si="11"/>
        <v>360</v>
      </c>
      <c r="AD84" s="59">
        <f t="shared" si="11"/>
        <v>333.5</v>
      </c>
      <c r="AE84" s="59">
        <f t="shared" si="11"/>
        <v>50</v>
      </c>
      <c r="AF84" s="59">
        <f t="shared" si="11"/>
        <v>49.5</v>
      </c>
      <c r="AG84" s="88">
        <f>SUM(AG73:AG83)</f>
        <v>0</v>
      </c>
      <c r="AH84" s="47">
        <f t="shared" si="9"/>
        <v>360</v>
      </c>
      <c r="AI84" s="48">
        <f t="shared" si="10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9"/>
        <v>0</v>
      </c>
      <c r="AI85" s="48">
        <f t="shared" si="10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9"/>
        <v>0</v>
      </c>
      <c r="AI86" s="48">
        <f t="shared" si="10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9"/>
        <v>0</v>
      </c>
      <c r="AI87" s="48">
        <f t="shared" si="10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>
        <f>SUM(AA85:AA87)</f>
        <v>0</v>
      </c>
      <c r="AB88" s="59"/>
      <c r="AC88" s="59"/>
      <c r="AD88" s="59"/>
      <c r="AE88" s="59"/>
      <c r="AF88" s="59"/>
      <c r="AG88" s="88">
        <f>SUM(AG85:AG87)</f>
        <v>55.4</v>
      </c>
      <c r="AH88" s="47">
        <f t="shared" si="9"/>
        <v>0</v>
      </c>
      <c r="AI88" s="48">
        <f t="shared" si="10"/>
        <v>0</v>
      </c>
    </row>
    <row r="89" spans="1:40" ht="15.75" thickBot="1" x14ac:dyDescent="0.3">
      <c r="A89" s="73" t="s">
        <v>108</v>
      </c>
      <c r="B89" s="95">
        <f t="shared" ref="B89:AG89" si="12">B50+B54+B72+B68+B84+B88</f>
        <v>3.54</v>
      </c>
      <c r="C89" s="95">
        <f t="shared" si="12"/>
        <v>1862.3400000000001</v>
      </c>
      <c r="D89" s="95">
        <f t="shared" si="12"/>
        <v>1842.8400000000001</v>
      </c>
      <c r="E89" s="95">
        <f t="shared" si="12"/>
        <v>1809.1399999999999</v>
      </c>
      <c r="F89" s="95">
        <f t="shared" si="12"/>
        <v>1817.74</v>
      </c>
      <c r="G89" s="95">
        <f t="shared" si="12"/>
        <v>1827.7400000000002</v>
      </c>
      <c r="H89" s="95">
        <f t="shared" si="12"/>
        <v>1835.24</v>
      </c>
      <c r="I89" s="95">
        <f t="shared" si="12"/>
        <v>1860.54</v>
      </c>
      <c r="J89" s="95">
        <f t="shared" si="12"/>
        <v>1868.2399999999998</v>
      </c>
      <c r="K89" s="95">
        <f t="shared" si="12"/>
        <v>1882.9399999999998</v>
      </c>
      <c r="L89" s="95">
        <f t="shared" si="12"/>
        <v>1970.84</v>
      </c>
      <c r="M89" s="95">
        <f t="shared" si="12"/>
        <v>1930.64</v>
      </c>
      <c r="N89" s="95">
        <f t="shared" si="12"/>
        <v>1972.14</v>
      </c>
      <c r="O89" s="95">
        <f t="shared" si="12"/>
        <v>2048.64</v>
      </c>
      <c r="P89" s="95">
        <f t="shared" si="12"/>
        <v>2032.44</v>
      </c>
      <c r="Q89" s="95">
        <f t="shared" si="12"/>
        <v>2014.2399999999998</v>
      </c>
      <c r="R89" s="95">
        <f t="shared" si="12"/>
        <v>2028.54</v>
      </c>
      <c r="S89" s="95">
        <f t="shared" si="12"/>
        <v>1997.8400000000001</v>
      </c>
      <c r="T89" s="95">
        <f t="shared" si="12"/>
        <v>2015.8400000000001</v>
      </c>
      <c r="U89" s="95">
        <f t="shared" si="12"/>
        <v>2065.94</v>
      </c>
      <c r="V89" s="95">
        <f t="shared" si="12"/>
        <v>2009.64</v>
      </c>
      <c r="W89" s="95">
        <f t="shared" si="12"/>
        <v>1970.74</v>
      </c>
      <c r="X89" s="95">
        <f t="shared" si="12"/>
        <v>1950.3400000000001</v>
      </c>
      <c r="Y89" s="95">
        <f t="shared" si="12"/>
        <v>1957.14</v>
      </c>
      <c r="Z89" s="95">
        <f t="shared" si="12"/>
        <v>1962.3400000000001</v>
      </c>
      <c r="AA89" s="95">
        <f>SUM(AA50,AA54,AA68,AA72,AA84,AA88)</f>
        <v>2017.6</v>
      </c>
      <c r="AB89" s="95">
        <f t="shared" si="12"/>
        <v>2317.64</v>
      </c>
      <c r="AC89" s="95">
        <f t="shared" si="12"/>
        <v>2357.34</v>
      </c>
      <c r="AD89" s="95">
        <f t="shared" si="12"/>
        <v>2328.04</v>
      </c>
      <c r="AE89" s="95">
        <f t="shared" si="12"/>
        <v>2027.94</v>
      </c>
      <c r="AF89" s="95">
        <f t="shared" si="12"/>
        <v>1951.94</v>
      </c>
      <c r="AG89" s="60">
        <f t="shared" si="12"/>
        <v>2111.5500000000002</v>
      </c>
      <c r="AH89" s="47">
        <f t="shared" si="9"/>
        <v>2357.34</v>
      </c>
      <c r="AI89" s="48">
        <f t="shared" si="10"/>
        <v>3.54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9"/>
        <v>0</v>
      </c>
      <c r="AI90" s="48">
        <f t="shared" si="10"/>
        <v>0</v>
      </c>
    </row>
    <row r="91" spans="1:40" ht="15.75" thickBot="1" x14ac:dyDescent="0.3">
      <c r="A91" s="73" t="s">
        <v>110</v>
      </c>
      <c r="B91" s="95">
        <f t="shared" ref="B91:AF91" si="13">B89+B90</f>
        <v>3.54</v>
      </c>
      <c r="C91" s="95">
        <f t="shared" si="13"/>
        <v>1862.3400000000001</v>
      </c>
      <c r="D91" s="95">
        <f t="shared" si="13"/>
        <v>1842.8400000000001</v>
      </c>
      <c r="E91" s="95">
        <f t="shared" si="13"/>
        <v>1809.1399999999999</v>
      </c>
      <c r="F91" s="95">
        <f t="shared" si="13"/>
        <v>1817.74</v>
      </c>
      <c r="G91" s="95">
        <f t="shared" si="13"/>
        <v>1827.7400000000002</v>
      </c>
      <c r="H91" s="95">
        <f t="shared" si="13"/>
        <v>1835.24</v>
      </c>
      <c r="I91" s="95">
        <f t="shared" si="13"/>
        <v>1860.54</v>
      </c>
      <c r="J91" s="95">
        <f t="shared" si="13"/>
        <v>1868.2399999999998</v>
      </c>
      <c r="K91" s="95">
        <f t="shared" si="13"/>
        <v>1882.9399999999998</v>
      </c>
      <c r="L91" s="95">
        <f t="shared" si="13"/>
        <v>1970.84</v>
      </c>
      <c r="M91" s="95">
        <f t="shared" si="13"/>
        <v>1930.64</v>
      </c>
      <c r="N91" s="95">
        <f t="shared" si="13"/>
        <v>1972.14</v>
      </c>
      <c r="O91" s="95">
        <f t="shared" si="13"/>
        <v>2048.64</v>
      </c>
      <c r="P91" s="95">
        <f t="shared" si="13"/>
        <v>2032.44</v>
      </c>
      <c r="Q91" s="95">
        <f t="shared" si="13"/>
        <v>2014.2399999999998</v>
      </c>
      <c r="R91" s="95">
        <f t="shared" si="13"/>
        <v>2028.54</v>
      </c>
      <c r="S91" s="95">
        <f t="shared" si="13"/>
        <v>1997.8400000000001</v>
      </c>
      <c r="T91" s="95">
        <f t="shared" si="13"/>
        <v>2015.8400000000001</v>
      </c>
      <c r="U91" s="95">
        <f t="shared" si="13"/>
        <v>2065.94</v>
      </c>
      <c r="V91" s="95">
        <f t="shared" si="13"/>
        <v>2009.64</v>
      </c>
      <c r="W91" s="95">
        <f t="shared" si="13"/>
        <v>1970.74</v>
      </c>
      <c r="X91" s="95">
        <f t="shared" si="13"/>
        <v>1950.3400000000001</v>
      </c>
      <c r="Y91" s="95">
        <f t="shared" si="13"/>
        <v>1957.14</v>
      </c>
      <c r="Z91" s="95">
        <f t="shared" si="13"/>
        <v>1962.3400000000001</v>
      </c>
      <c r="AA91" s="95">
        <f>SUM(AA89+AA90)</f>
        <v>2017.6</v>
      </c>
      <c r="AB91" s="95">
        <f t="shared" si="13"/>
        <v>2317.64</v>
      </c>
      <c r="AC91" s="95">
        <f t="shared" si="13"/>
        <v>2357.34</v>
      </c>
      <c r="AD91" s="95">
        <f t="shared" si="13"/>
        <v>2328.04</v>
      </c>
      <c r="AE91" s="95">
        <f t="shared" si="13"/>
        <v>2027.94</v>
      </c>
      <c r="AF91" s="95">
        <f t="shared" si="13"/>
        <v>1951.94</v>
      </c>
      <c r="AG91" s="88">
        <f>AG88+AG84+AG72+AG68+AG50+AG90</f>
        <v>1573.45</v>
      </c>
      <c r="AH91" s="47">
        <f t="shared" si="9"/>
        <v>2357.34</v>
      </c>
      <c r="AI91" s="48">
        <f t="shared" si="10"/>
        <v>3.54</v>
      </c>
    </row>
    <row r="92" spans="1:40" ht="15.75" thickBot="1" x14ac:dyDescent="0.3">
      <c r="A92" s="73" t="s">
        <v>111</v>
      </c>
      <c r="B92" s="95">
        <f t="shared" ref="B92:AF92" si="14">B91-B99</f>
        <v>3.54</v>
      </c>
      <c r="C92" s="95">
        <f t="shared" si="14"/>
        <v>1862.3400000000001</v>
      </c>
      <c r="D92" s="95">
        <f t="shared" si="14"/>
        <v>1842.8400000000001</v>
      </c>
      <c r="E92" s="95">
        <f t="shared" si="14"/>
        <v>1809.1399999999999</v>
      </c>
      <c r="F92" s="95">
        <f t="shared" si="14"/>
        <v>1817.74</v>
      </c>
      <c r="G92" s="95">
        <f t="shared" si="14"/>
        <v>1827.7400000000002</v>
      </c>
      <c r="H92" s="95">
        <f t="shared" si="14"/>
        <v>1835.24</v>
      </c>
      <c r="I92" s="95">
        <f t="shared" si="14"/>
        <v>1860.54</v>
      </c>
      <c r="J92" s="95">
        <f t="shared" si="14"/>
        <v>1868.2399999999998</v>
      </c>
      <c r="K92" s="95">
        <f t="shared" si="14"/>
        <v>1882.9399999999998</v>
      </c>
      <c r="L92" s="95">
        <f t="shared" si="14"/>
        <v>1970.84</v>
      </c>
      <c r="M92" s="95">
        <f t="shared" si="14"/>
        <v>1930.64</v>
      </c>
      <c r="N92" s="95">
        <f t="shared" si="14"/>
        <v>1972.14</v>
      </c>
      <c r="O92" s="95">
        <f t="shared" si="14"/>
        <v>2048.64</v>
      </c>
      <c r="P92" s="95">
        <f t="shared" si="14"/>
        <v>2032.44</v>
      </c>
      <c r="Q92" s="95">
        <f t="shared" si="14"/>
        <v>2014.2399999999998</v>
      </c>
      <c r="R92" s="95">
        <f t="shared" si="14"/>
        <v>2028.54</v>
      </c>
      <c r="S92" s="95">
        <f t="shared" si="14"/>
        <v>1997.8400000000001</v>
      </c>
      <c r="T92" s="95">
        <f t="shared" si="14"/>
        <v>2015.8400000000001</v>
      </c>
      <c r="U92" s="95">
        <f t="shared" si="14"/>
        <v>2065.94</v>
      </c>
      <c r="V92" s="95">
        <f t="shared" si="14"/>
        <v>2009.64</v>
      </c>
      <c r="W92" s="95">
        <f t="shared" si="14"/>
        <v>1970.74</v>
      </c>
      <c r="X92" s="95">
        <f t="shared" si="14"/>
        <v>1950.3400000000001</v>
      </c>
      <c r="Y92" s="95">
        <f t="shared" si="14"/>
        <v>1957.14</v>
      </c>
      <c r="Z92" s="95">
        <f t="shared" si="14"/>
        <v>1962.3400000000001</v>
      </c>
      <c r="AA92" s="95">
        <f>AA91-AA99</f>
        <v>2017.6</v>
      </c>
      <c r="AB92" s="95">
        <f t="shared" si="14"/>
        <v>2317.64</v>
      </c>
      <c r="AC92" s="95">
        <f t="shared" si="14"/>
        <v>2357.34</v>
      </c>
      <c r="AD92" s="95">
        <f t="shared" si="14"/>
        <v>2328.04</v>
      </c>
      <c r="AE92" s="95">
        <f t="shared" si="14"/>
        <v>2027.94</v>
      </c>
      <c r="AF92" s="95">
        <f t="shared" si="14"/>
        <v>1951.94</v>
      </c>
      <c r="AG92" s="88"/>
      <c r="AH92" s="47">
        <f t="shared" si="9"/>
        <v>2357.34</v>
      </c>
      <c r="AI92" s="48">
        <f t="shared" si="10"/>
        <v>3.54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9"/>
        <v>0</v>
      </c>
      <c r="AI93" s="48">
        <f t="shared" si="10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9"/>
        <v>0</v>
      </c>
      <c r="AI94" s="48">
        <f t="shared" si="10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9"/>
        <v>0</v>
      </c>
      <c r="AI95" s="48">
        <f t="shared" si="10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9"/>
        <v>0</v>
      </c>
      <c r="AI96" s="48">
        <f t="shared" si="10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9"/>
        <v>0</v>
      </c>
      <c r="AI97" s="48">
        <f t="shared" si="10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9"/>
        <v>0</v>
      </c>
      <c r="AI98" s="48">
        <f t="shared" si="10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>
        <f>SUM(AA93:AA98)</f>
        <v>0</v>
      </c>
      <c r="AB99" s="59"/>
      <c r="AC99" s="59"/>
      <c r="AD99" s="59"/>
      <c r="AE99" s="59"/>
      <c r="AF99" s="59"/>
      <c r="AG99" s="88"/>
      <c r="AH99" s="47">
        <f t="shared" si="9"/>
        <v>0</v>
      </c>
      <c r="AI99" s="48">
        <f t="shared" si="10"/>
        <v>0</v>
      </c>
      <c r="AK99" s="74"/>
    </row>
    <row r="100" spans="1:37" ht="15.75" thickBot="1" x14ac:dyDescent="0.3">
      <c r="A100" s="73" t="s">
        <v>116</v>
      </c>
      <c r="B100" s="59">
        <f t="shared" ref="B100:AF100" si="15">B84-B99</f>
        <v>0</v>
      </c>
      <c r="C100" s="59">
        <f t="shared" si="15"/>
        <v>51</v>
      </c>
      <c r="D100" s="59">
        <f t="shared" si="15"/>
        <v>33</v>
      </c>
      <c r="E100" s="59">
        <f t="shared" si="15"/>
        <v>0</v>
      </c>
      <c r="F100" s="59">
        <f t="shared" si="15"/>
        <v>2.5</v>
      </c>
      <c r="G100" s="59">
        <f t="shared" si="15"/>
        <v>10.9</v>
      </c>
      <c r="H100" s="59">
        <f t="shared" si="15"/>
        <v>5.0999999999999996</v>
      </c>
      <c r="I100" s="59">
        <f t="shared" si="15"/>
        <v>0</v>
      </c>
      <c r="J100" s="59">
        <f t="shared" si="15"/>
        <v>0</v>
      </c>
      <c r="K100" s="59">
        <f t="shared" si="15"/>
        <v>16.3</v>
      </c>
      <c r="L100" s="59">
        <f t="shared" si="15"/>
        <v>18.3</v>
      </c>
      <c r="M100" s="59">
        <f t="shared" si="15"/>
        <v>15.2</v>
      </c>
      <c r="N100" s="59">
        <f t="shared" si="15"/>
        <v>23.3</v>
      </c>
      <c r="O100" s="59">
        <f t="shared" si="15"/>
        <v>20</v>
      </c>
      <c r="P100" s="59">
        <f t="shared" si="15"/>
        <v>41</v>
      </c>
      <c r="Q100" s="59">
        <f t="shared" si="15"/>
        <v>35</v>
      </c>
      <c r="R100" s="59">
        <f t="shared" si="15"/>
        <v>37.200000000000003</v>
      </c>
      <c r="S100" s="59">
        <f t="shared" si="15"/>
        <v>52.1</v>
      </c>
      <c r="T100" s="59">
        <f t="shared" si="15"/>
        <v>48.5</v>
      </c>
      <c r="U100" s="59">
        <f t="shared" si="15"/>
        <v>41.4</v>
      </c>
      <c r="V100" s="59">
        <f t="shared" si="15"/>
        <v>21.8</v>
      </c>
      <c r="W100" s="59">
        <f t="shared" si="15"/>
        <v>21.8</v>
      </c>
      <c r="X100" s="59">
        <f t="shared" si="15"/>
        <v>30</v>
      </c>
      <c r="Y100" s="59">
        <f t="shared" si="15"/>
        <v>36.799999999999997</v>
      </c>
      <c r="Z100" s="59">
        <f t="shared" si="15"/>
        <v>41.9</v>
      </c>
      <c r="AA100" s="59">
        <f>AA84-AA99</f>
        <v>45.9</v>
      </c>
      <c r="AB100" s="59">
        <f t="shared" si="15"/>
        <v>345.9</v>
      </c>
      <c r="AC100" s="59">
        <f t="shared" si="15"/>
        <v>360</v>
      </c>
      <c r="AD100" s="59">
        <f t="shared" si="15"/>
        <v>333.5</v>
      </c>
      <c r="AE100" s="59">
        <f t="shared" si="15"/>
        <v>50</v>
      </c>
      <c r="AF100" s="59">
        <f t="shared" si="15"/>
        <v>49.5</v>
      </c>
      <c r="AG100" s="88"/>
      <c r="AH100" s="47">
        <f t="shared" si="9"/>
        <v>360</v>
      </c>
      <c r="AI100" s="48">
        <f t="shared" si="10"/>
        <v>0</v>
      </c>
    </row>
    <row r="101" spans="1:37" x14ac:dyDescent="0.25">
      <c r="A101" s="100" t="s">
        <v>117</v>
      </c>
      <c r="B101" s="101"/>
      <c r="C101" s="101">
        <v>50.048000000000002</v>
      </c>
      <c r="D101" s="101">
        <v>50.014000000000003</v>
      </c>
      <c r="E101" s="101">
        <v>49.987000000000002</v>
      </c>
      <c r="F101" s="101">
        <v>49.988999999999997</v>
      </c>
      <c r="G101" s="101">
        <v>50.033000000000001</v>
      </c>
      <c r="H101" s="101">
        <v>50.078000000000003</v>
      </c>
      <c r="I101" s="101">
        <v>49.954999999999998</v>
      </c>
      <c r="J101" s="101">
        <v>49.970999999999997</v>
      </c>
      <c r="K101" s="101">
        <v>49.982999999999997</v>
      </c>
      <c r="L101" s="101">
        <v>49.883000000000003</v>
      </c>
      <c r="M101" s="101">
        <v>49.994</v>
      </c>
      <c r="N101" s="101">
        <v>49.954000000000001</v>
      </c>
      <c r="O101" s="101">
        <v>50.052999999999997</v>
      </c>
      <c r="P101" s="101">
        <v>49.997999999999998</v>
      </c>
      <c r="Q101" s="101">
        <v>49.942999999999998</v>
      </c>
      <c r="R101" s="101">
        <v>50.024000000000001</v>
      </c>
      <c r="S101" s="101">
        <v>50.09</v>
      </c>
      <c r="T101" s="101">
        <v>50.02</v>
      </c>
      <c r="U101" s="101">
        <v>49.9</v>
      </c>
      <c r="V101" s="101">
        <v>49.84</v>
      </c>
      <c r="W101" s="101">
        <v>50.03</v>
      </c>
      <c r="X101" s="101">
        <v>50.1</v>
      </c>
      <c r="Y101" s="101">
        <v>50.03</v>
      </c>
      <c r="Z101" s="101">
        <v>50.02</v>
      </c>
      <c r="AA101" s="101">
        <v>50.131999999999998</v>
      </c>
      <c r="AB101" s="101">
        <v>50.131999999999998</v>
      </c>
      <c r="AC101" s="101">
        <v>50.131999999999998</v>
      </c>
      <c r="AD101" s="101">
        <v>49.933999999999997</v>
      </c>
      <c r="AE101" s="101">
        <v>49.994999999999997</v>
      </c>
      <c r="AF101" s="101">
        <v>50.06</v>
      </c>
      <c r="AG101" s="102"/>
      <c r="AH101" s="47">
        <f t="shared" si="9"/>
        <v>50.131999999999998</v>
      </c>
      <c r="AI101" s="48">
        <f t="shared" si="10"/>
        <v>49.84</v>
      </c>
    </row>
    <row r="102" spans="1:37" x14ac:dyDescent="0.25">
      <c r="A102" s="103" t="s">
        <v>118</v>
      </c>
      <c r="B102" s="64"/>
      <c r="C102" s="64">
        <v>0</v>
      </c>
      <c r="D102" s="64">
        <v>0</v>
      </c>
      <c r="E102" s="64">
        <v>0</v>
      </c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4"/>
      <c r="AH102" s="47">
        <f t="shared" si="9"/>
        <v>0</v>
      </c>
      <c r="AI102" s="48">
        <f t="shared" si="10"/>
        <v>0</v>
      </c>
    </row>
    <row r="103" spans="1:37" x14ac:dyDescent="0.25">
      <c r="A103" s="103" t="s">
        <v>119</v>
      </c>
      <c r="B103" s="64"/>
      <c r="C103" s="64">
        <v>130.30000000000001</v>
      </c>
      <c r="D103" s="64">
        <v>130.19999999999999</v>
      </c>
      <c r="E103" s="64">
        <v>130.19999999999999</v>
      </c>
      <c r="F103" s="64">
        <v>130.69999999999999</v>
      </c>
      <c r="G103" s="64">
        <v>130.19999999999999</v>
      </c>
      <c r="H103" s="64">
        <v>128.5</v>
      </c>
      <c r="I103" s="64">
        <v>129.69999999999999</v>
      </c>
      <c r="J103" s="64">
        <v>127.7</v>
      </c>
      <c r="K103" s="64">
        <v>127.2</v>
      </c>
      <c r="L103" s="64">
        <v>127.2</v>
      </c>
      <c r="M103" s="64">
        <v>125.2</v>
      </c>
      <c r="N103" s="64">
        <v>123.4</v>
      </c>
      <c r="O103" s="64">
        <v>126.3</v>
      </c>
      <c r="P103" s="64">
        <v>124.4</v>
      </c>
      <c r="Q103" s="64">
        <v>124.2</v>
      </c>
      <c r="R103" s="64">
        <v>126.4</v>
      </c>
      <c r="S103" s="64">
        <v>125.6</v>
      </c>
      <c r="T103" s="64">
        <v>126.7</v>
      </c>
      <c r="U103" s="64">
        <v>126.8</v>
      </c>
      <c r="V103" s="64">
        <v>127</v>
      </c>
      <c r="W103" s="64">
        <v>126.8</v>
      </c>
      <c r="X103" s="64">
        <v>127.8</v>
      </c>
      <c r="Y103" s="64">
        <v>126.8</v>
      </c>
      <c r="Z103" s="64">
        <v>125.7</v>
      </c>
      <c r="AA103" s="64">
        <v>125.4</v>
      </c>
      <c r="AB103" s="64">
        <v>125.4</v>
      </c>
      <c r="AC103" s="64">
        <v>125.4</v>
      </c>
      <c r="AD103" s="64">
        <v>129</v>
      </c>
      <c r="AE103" s="64">
        <v>129</v>
      </c>
      <c r="AF103" s="64">
        <v>129</v>
      </c>
      <c r="AG103" s="104"/>
      <c r="AH103" s="47">
        <f t="shared" si="9"/>
        <v>130.69999999999999</v>
      </c>
      <c r="AI103" s="48">
        <f t="shared" si="10"/>
        <v>123.4</v>
      </c>
    </row>
    <row r="104" spans="1:37" x14ac:dyDescent="0.25">
      <c r="A104" s="103" t="s">
        <v>120</v>
      </c>
      <c r="B104" s="64"/>
      <c r="C104" s="64">
        <v>127.7</v>
      </c>
      <c r="D104" s="64">
        <v>130</v>
      </c>
      <c r="E104" s="64">
        <v>130</v>
      </c>
      <c r="F104" s="64">
        <v>128.5</v>
      </c>
      <c r="G104" s="64">
        <v>130.9</v>
      </c>
      <c r="H104" s="64">
        <v>128.19999999999999</v>
      </c>
      <c r="I104" s="64">
        <v>130.19999999999999</v>
      </c>
      <c r="J104" s="64">
        <v>124.1</v>
      </c>
      <c r="K104" s="64">
        <v>128.19999999999999</v>
      </c>
      <c r="L104" s="64">
        <v>129.5</v>
      </c>
      <c r="M104" s="64">
        <v>128.4</v>
      </c>
      <c r="N104" s="64">
        <v>124.2</v>
      </c>
      <c r="O104" s="64">
        <v>129.1</v>
      </c>
      <c r="P104" s="64">
        <v>127.7</v>
      </c>
      <c r="Q104" s="64">
        <v>124.4</v>
      </c>
      <c r="R104" s="64">
        <v>1274.7</v>
      </c>
      <c r="S104" s="64">
        <v>125.9</v>
      </c>
      <c r="T104" s="64">
        <v>129</v>
      </c>
      <c r="U104" s="64">
        <v>129.9</v>
      </c>
      <c r="V104" s="64">
        <v>129.4</v>
      </c>
      <c r="W104" s="64">
        <v>129.4</v>
      </c>
      <c r="X104" s="64">
        <v>131.4</v>
      </c>
      <c r="Y104" s="64">
        <v>126.5</v>
      </c>
      <c r="Z104" s="64">
        <v>124.1</v>
      </c>
      <c r="AA104" s="64">
        <v>123.9</v>
      </c>
      <c r="AB104" s="64">
        <v>123.9</v>
      </c>
      <c r="AC104" s="64">
        <v>123.9</v>
      </c>
      <c r="AD104" s="64">
        <v>123.9</v>
      </c>
      <c r="AE104" s="64">
        <v>123.9</v>
      </c>
      <c r="AF104" s="64">
        <v>123.9</v>
      </c>
      <c r="AG104" s="104"/>
      <c r="AH104" s="47">
        <f t="shared" si="9"/>
        <v>1274.7</v>
      </c>
      <c r="AI104" s="48">
        <f t="shared" si="10"/>
        <v>123.9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9"/>
        <v>0</v>
      </c>
      <c r="AI105" s="48">
        <f t="shared" si="10"/>
        <v>0</v>
      </c>
    </row>
    <row r="106" spans="1:37" x14ac:dyDescent="0.25">
      <c r="A106" s="105" t="s">
        <v>122</v>
      </c>
      <c r="B106" s="106"/>
      <c r="C106" s="106">
        <v>132.4</v>
      </c>
      <c r="D106" s="106">
        <v>132.5</v>
      </c>
      <c r="E106" s="106">
        <v>129.1</v>
      </c>
      <c r="F106" s="106">
        <v>133.30000000000001</v>
      </c>
      <c r="G106" s="106">
        <v>130.6</v>
      </c>
      <c r="H106" s="106">
        <v>128.4</v>
      </c>
      <c r="I106" s="106">
        <v>132</v>
      </c>
      <c r="J106" s="106">
        <v>129.69999999999999</v>
      </c>
      <c r="K106" s="106">
        <v>131.80000000000001</v>
      </c>
      <c r="L106" s="106">
        <v>131.19999999999999</v>
      </c>
      <c r="M106" s="106">
        <v>131.19999999999999</v>
      </c>
      <c r="N106" s="106">
        <v>129.19999999999999</v>
      </c>
      <c r="O106" s="106">
        <v>130.9</v>
      </c>
      <c r="P106" s="106">
        <v>127.5</v>
      </c>
      <c r="Q106" s="106">
        <v>131.6</v>
      </c>
      <c r="R106" s="106">
        <v>132</v>
      </c>
      <c r="S106" s="106">
        <v>127.5</v>
      </c>
      <c r="T106" s="106">
        <v>132.1</v>
      </c>
      <c r="U106" s="106">
        <v>126.8</v>
      </c>
      <c r="V106" s="106">
        <v>130.1</v>
      </c>
      <c r="W106" s="106">
        <v>134.6</v>
      </c>
      <c r="X106" s="106">
        <v>134.6</v>
      </c>
      <c r="Y106" s="106">
        <v>133.80000000000001</v>
      </c>
      <c r="Z106" s="106">
        <v>133</v>
      </c>
      <c r="AA106" s="106">
        <v>131.30000000000001</v>
      </c>
      <c r="AB106" s="106">
        <v>131.30000000000001</v>
      </c>
      <c r="AC106" s="106">
        <v>131.30000000000001</v>
      </c>
      <c r="AD106" s="106">
        <v>131.30000000000001</v>
      </c>
      <c r="AE106" s="106">
        <v>131.30000000000001</v>
      </c>
      <c r="AF106" s="106">
        <v>131.30000000000001</v>
      </c>
      <c r="AG106" s="107"/>
      <c r="AH106" s="47">
        <f t="shared" si="9"/>
        <v>134.6</v>
      </c>
      <c r="AI106" s="48">
        <f t="shared" si="10"/>
        <v>126.8</v>
      </c>
    </row>
    <row r="107" spans="1:37" x14ac:dyDescent="0.25">
      <c r="A107" s="103" t="s">
        <v>123</v>
      </c>
      <c r="B107" s="64"/>
      <c r="C107" s="64">
        <v>126.6</v>
      </c>
      <c r="D107" s="64">
        <v>128.4</v>
      </c>
      <c r="E107" s="64">
        <v>129</v>
      </c>
      <c r="F107" s="64">
        <v>129.4</v>
      </c>
      <c r="G107" s="64">
        <v>130.5</v>
      </c>
      <c r="H107" s="64">
        <v>127.4</v>
      </c>
      <c r="I107" s="64">
        <v>131.9</v>
      </c>
      <c r="J107" s="64">
        <v>131.69999999999999</v>
      </c>
      <c r="K107" s="64">
        <v>125.6</v>
      </c>
      <c r="L107" s="64">
        <v>130</v>
      </c>
      <c r="M107" s="64">
        <v>127.7</v>
      </c>
      <c r="N107" s="64">
        <v>128.19999999999999</v>
      </c>
      <c r="O107" s="64">
        <v>127</v>
      </c>
      <c r="P107" s="64">
        <v>126.8</v>
      </c>
      <c r="Q107" s="64">
        <v>126.8</v>
      </c>
      <c r="R107" s="64">
        <v>127.8</v>
      </c>
      <c r="S107" s="64">
        <v>126.6</v>
      </c>
      <c r="T107" s="64">
        <v>130.6</v>
      </c>
      <c r="U107" s="64">
        <v>127.4</v>
      </c>
      <c r="V107" s="64">
        <v>128.30000000000001</v>
      </c>
      <c r="W107" s="64">
        <v>126.7</v>
      </c>
      <c r="X107" s="64">
        <v>130.6</v>
      </c>
      <c r="Y107" s="64">
        <v>130.80000000000001</v>
      </c>
      <c r="Z107" s="64">
        <v>126.5</v>
      </c>
      <c r="AA107" s="64">
        <v>127.2</v>
      </c>
      <c r="AB107" s="64">
        <v>127.2</v>
      </c>
      <c r="AC107" s="64">
        <v>127.2</v>
      </c>
      <c r="AD107" s="64">
        <v>127.2</v>
      </c>
      <c r="AE107" s="64">
        <v>127.2</v>
      </c>
      <c r="AF107" s="64">
        <v>127.2</v>
      </c>
      <c r="AG107" s="104"/>
      <c r="AH107" s="47">
        <f t="shared" si="9"/>
        <v>131.9</v>
      </c>
      <c r="AI107" s="48">
        <f t="shared" si="10"/>
        <v>125.6</v>
      </c>
    </row>
    <row r="108" spans="1:37" ht="15.75" thickBot="1" x14ac:dyDescent="0.3">
      <c r="A108" s="103" t="s">
        <v>124</v>
      </c>
      <c r="B108" s="92"/>
      <c r="C108" s="92">
        <v>65.3</v>
      </c>
      <c r="D108" s="92">
        <v>65.2</v>
      </c>
      <c r="E108" s="92">
        <v>65.3</v>
      </c>
      <c r="F108" s="92">
        <v>65.5</v>
      </c>
      <c r="G108" s="92">
        <v>65.2</v>
      </c>
      <c r="H108" s="92">
        <v>64.2</v>
      </c>
      <c r="I108" s="92">
        <v>64.8</v>
      </c>
      <c r="J108" s="92">
        <v>64.099999999999994</v>
      </c>
      <c r="K108" s="92">
        <v>63.7</v>
      </c>
      <c r="L108" s="92">
        <v>63.6</v>
      </c>
      <c r="M108" s="92">
        <v>62.6</v>
      </c>
      <c r="N108" s="92">
        <v>61.7</v>
      </c>
      <c r="O108" s="92">
        <v>63.1</v>
      </c>
      <c r="P108" s="92">
        <v>62.2</v>
      </c>
      <c r="Q108" s="92">
        <v>62.3</v>
      </c>
      <c r="R108" s="92">
        <v>63.3</v>
      </c>
      <c r="S108" s="92">
        <v>64.3</v>
      </c>
      <c r="T108" s="92">
        <v>63.1</v>
      </c>
      <c r="U108" s="92">
        <v>63.6</v>
      </c>
      <c r="V108" s="92">
        <v>63.4</v>
      </c>
      <c r="W108" s="92">
        <v>63.7</v>
      </c>
      <c r="X108" s="92">
        <v>63.6</v>
      </c>
      <c r="Y108" s="92">
        <v>63.6</v>
      </c>
      <c r="Z108" s="92">
        <v>62.9</v>
      </c>
      <c r="AA108" s="92">
        <v>62.7</v>
      </c>
      <c r="AB108" s="92">
        <v>62.7</v>
      </c>
      <c r="AC108" s="92">
        <v>62.7</v>
      </c>
      <c r="AD108" s="92">
        <v>62.7</v>
      </c>
      <c r="AE108" s="92">
        <v>62.7</v>
      </c>
      <c r="AF108" s="92">
        <v>62.7</v>
      </c>
      <c r="AG108" s="108"/>
      <c r="AH108" s="47">
        <f t="shared" si="9"/>
        <v>65.5</v>
      </c>
      <c r="AI108" s="48">
        <f t="shared" si="10"/>
        <v>61.7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 t="str">
        <f>IF(AA92=MAX($B$93:$H$93),"PN","")</f>
        <v/>
      </c>
      <c r="AB109" s="92"/>
      <c r="AC109" s="92"/>
      <c r="AD109" s="92"/>
      <c r="AE109" s="92"/>
      <c r="AF109" s="92"/>
      <c r="AG109" s="108"/>
      <c r="AH109" s="47">
        <f t="shared" si="9"/>
        <v>0</v>
      </c>
      <c r="AI109" s="48">
        <f t="shared" si="10"/>
        <v>0</v>
      </c>
    </row>
    <row r="110" spans="1:37" ht="15.75" thickBot="1" x14ac:dyDescent="0.3">
      <c r="A110" s="110" t="s">
        <v>126</v>
      </c>
      <c r="B110" s="111">
        <f t="shared" ref="B110:O110" si="16">SUM(B20,B26,B29:B30,B58,B60:B61,B63,B65,B111:B115,B138,B144,B150,B159,B161,B173,B180,B183:B184,B191,B193,B195,B199:B201,B203:B205,B210,B216:B217,B219:B221,B229,B234)</f>
        <v>0</v>
      </c>
      <c r="C110" s="111">
        <f t="shared" si="16"/>
        <v>83.94</v>
      </c>
      <c r="D110" s="111">
        <f t="shared" si="16"/>
        <v>49.44</v>
      </c>
      <c r="E110" s="111">
        <f t="shared" si="16"/>
        <v>25.539999999999996</v>
      </c>
      <c r="F110" s="111">
        <f t="shared" si="16"/>
        <v>25.040000000000003</v>
      </c>
      <c r="G110" s="111">
        <f t="shared" si="16"/>
        <v>40.240000000000009</v>
      </c>
      <c r="H110" s="111">
        <f t="shared" si="16"/>
        <v>49.639999999999993</v>
      </c>
      <c r="I110" s="111">
        <f t="shared" si="16"/>
        <v>88.84</v>
      </c>
      <c r="J110" s="111">
        <f t="shared" si="16"/>
        <v>129.64000000000001</v>
      </c>
      <c r="K110" s="111">
        <f t="shared" si="16"/>
        <v>90.839999999999989</v>
      </c>
      <c r="L110" s="111">
        <f t="shared" si="16"/>
        <v>126.73999999999995</v>
      </c>
      <c r="M110" s="111">
        <f t="shared" si="16"/>
        <v>277.03999999999996</v>
      </c>
      <c r="N110" s="111">
        <f t="shared" si="16"/>
        <v>159.24</v>
      </c>
      <c r="O110" s="111">
        <f t="shared" si="16"/>
        <v>221.43999999999994</v>
      </c>
      <c r="P110" s="111">
        <v>42</v>
      </c>
      <c r="Q110" s="111">
        <f t="shared" ref="Q110:AF110" si="17">SUM(Q20,Q26,Q29:Q30,Q58,Q60:Q61,Q63,Q65,Q111:Q115,Q138,Q144,Q150,Q159,Q161,Q173,Q180,Q183:Q184,Q191,Q193,Q195,Q199:Q201,Q203:Q205,Q210,Q216:Q217,Q219:Q221,Q229,Q234)</f>
        <v>167.3</v>
      </c>
      <c r="R110" s="111">
        <f t="shared" si="17"/>
        <v>134.79999999999998</v>
      </c>
      <c r="S110" s="111">
        <f t="shared" si="17"/>
        <v>354.90000000000003</v>
      </c>
      <c r="T110" s="111">
        <f t="shared" si="17"/>
        <v>408.6</v>
      </c>
      <c r="U110" s="111">
        <f t="shared" si="17"/>
        <v>538.5</v>
      </c>
      <c r="V110" s="111">
        <f t="shared" si="17"/>
        <v>434.8</v>
      </c>
      <c r="W110" s="111">
        <f t="shared" si="17"/>
        <v>474.2</v>
      </c>
      <c r="X110" s="111">
        <f t="shared" si="17"/>
        <v>428.3</v>
      </c>
      <c r="Y110" s="111">
        <f t="shared" si="17"/>
        <v>426.7</v>
      </c>
      <c r="Z110" s="111">
        <f t="shared" si="17"/>
        <v>513.40000000000009</v>
      </c>
      <c r="AA110" s="111">
        <f>SUM(AA155,AA111:AA115,AA14,AA23,AA29,AA37,AA40,AA58,AA60:AA61,AA63,AA65)</f>
        <v>440.6</v>
      </c>
      <c r="AB110" s="111">
        <f t="shared" si="17"/>
        <v>418.20000000000005</v>
      </c>
      <c r="AC110" s="111">
        <f t="shared" si="17"/>
        <v>418.20000000000005</v>
      </c>
      <c r="AD110" s="111">
        <f t="shared" si="17"/>
        <v>418.20000000000005</v>
      </c>
      <c r="AE110" s="111">
        <f t="shared" si="17"/>
        <v>418.20000000000005</v>
      </c>
      <c r="AF110" s="111">
        <f t="shared" si="17"/>
        <v>89</v>
      </c>
      <c r="AG110" s="112"/>
      <c r="AH110" s="47">
        <f t="shared" si="9"/>
        <v>538.5</v>
      </c>
      <c r="AI110" s="48">
        <f t="shared" si="10"/>
        <v>0</v>
      </c>
    </row>
    <row r="111" spans="1:37" x14ac:dyDescent="0.25">
      <c r="A111" s="100" t="s">
        <v>127</v>
      </c>
      <c r="B111" s="113"/>
      <c r="C111" s="113">
        <v>15</v>
      </c>
      <c r="D111" s="113">
        <v>-1.4</v>
      </c>
      <c r="E111" s="113">
        <v>-8</v>
      </c>
      <c r="F111" s="113">
        <v>-8.3000000000000007</v>
      </c>
      <c r="G111" s="113">
        <v>-6.3</v>
      </c>
      <c r="H111" s="113">
        <v>-3.9</v>
      </c>
      <c r="I111" s="113">
        <v>2.8</v>
      </c>
      <c r="J111" s="113">
        <v>9.4</v>
      </c>
      <c r="K111" s="113">
        <v>46.3</v>
      </c>
      <c r="L111" s="113">
        <v>48.6</v>
      </c>
      <c r="M111" s="113">
        <v>55.3</v>
      </c>
      <c r="N111" s="113">
        <v>64.400000000000006</v>
      </c>
      <c r="O111" s="113">
        <v>67.3</v>
      </c>
      <c r="P111" s="113">
        <v>57</v>
      </c>
      <c r="Q111" s="113">
        <v>56.6</v>
      </c>
      <c r="R111" s="113">
        <v>37.1</v>
      </c>
      <c r="S111" s="113">
        <v>32.700000000000003</v>
      </c>
      <c r="T111" s="113">
        <v>39.1</v>
      </c>
      <c r="U111" s="113">
        <v>46.8</v>
      </c>
      <c r="V111" s="113">
        <v>46</v>
      </c>
      <c r="W111" s="113">
        <v>61.1</v>
      </c>
      <c r="X111" s="113">
        <v>56.3</v>
      </c>
      <c r="Y111" s="113">
        <v>58.4</v>
      </c>
      <c r="Z111" s="113">
        <v>76.2</v>
      </c>
      <c r="AA111" s="113">
        <v>58.7</v>
      </c>
      <c r="AB111" s="113">
        <v>58.7</v>
      </c>
      <c r="AC111" s="113">
        <v>58.7</v>
      </c>
      <c r="AD111" s="113">
        <v>58.7</v>
      </c>
      <c r="AE111" s="113">
        <v>58.7</v>
      </c>
      <c r="AF111" s="113">
        <v>29</v>
      </c>
      <c r="AG111" s="114">
        <v>75</v>
      </c>
      <c r="AH111" s="47">
        <f t="shared" si="9"/>
        <v>76.2</v>
      </c>
      <c r="AI111" s="48">
        <f t="shared" si="10"/>
        <v>-8.3000000000000007</v>
      </c>
    </row>
    <row r="112" spans="1:37" x14ac:dyDescent="0.25">
      <c r="A112" s="103" t="s">
        <v>128</v>
      </c>
      <c r="B112" s="115"/>
      <c r="C112" s="115">
        <v>24</v>
      </c>
      <c r="D112" s="115">
        <v>5.3</v>
      </c>
      <c r="E112" s="115">
        <v>-2</v>
      </c>
      <c r="F112" s="115">
        <v>-3.6</v>
      </c>
      <c r="G112" s="115">
        <v>0</v>
      </c>
      <c r="H112" s="115">
        <v>1.4</v>
      </c>
      <c r="I112" s="115">
        <v>11.1</v>
      </c>
      <c r="J112" s="115">
        <v>22.5</v>
      </c>
      <c r="K112" s="115">
        <v>72.900000000000006</v>
      </c>
      <c r="L112" s="115">
        <v>76.099999999999994</v>
      </c>
      <c r="M112" s="115">
        <v>86</v>
      </c>
      <c r="N112" s="115">
        <v>99.6</v>
      </c>
      <c r="O112" s="115">
        <v>103.9</v>
      </c>
      <c r="P112" s="115">
        <v>89.4</v>
      </c>
      <c r="Q112" s="115">
        <v>87.9</v>
      </c>
      <c r="R112" s="115">
        <v>57</v>
      </c>
      <c r="S112" s="115">
        <v>49.7</v>
      </c>
      <c r="T112" s="115">
        <v>56.7</v>
      </c>
      <c r="U112" s="115">
        <v>71.3</v>
      </c>
      <c r="V112" s="115">
        <v>67.099999999999994</v>
      </c>
      <c r="W112" s="115">
        <v>90.1</v>
      </c>
      <c r="X112" s="115">
        <v>80</v>
      </c>
      <c r="Y112" s="115">
        <v>61.7</v>
      </c>
      <c r="Z112" s="115">
        <v>112.3</v>
      </c>
      <c r="AA112" s="115">
        <v>85.6</v>
      </c>
      <c r="AB112" s="115">
        <v>85.6</v>
      </c>
      <c r="AC112" s="115">
        <v>85.6</v>
      </c>
      <c r="AD112" s="115">
        <v>85.6</v>
      </c>
      <c r="AE112" s="115">
        <v>85.6</v>
      </c>
      <c r="AF112" s="115">
        <v>53.5</v>
      </c>
      <c r="AG112" s="114">
        <v>240</v>
      </c>
      <c r="AH112" s="47">
        <f t="shared" si="9"/>
        <v>112.3</v>
      </c>
      <c r="AI112" s="48">
        <f t="shared" si="10"/>
        <v>-3.6</v>
      </c>
    </row>
    <row r="113" spans="1:37" x14ac:dyDescent="0.25">
      <c r="A113" s="103" t="s">
        <v>129</v>
      </c>
      <c r="B113" s="115"/>
      <c r="C113" s="115">
        <v>-90</v>
      </c>
      <c r="D113" s="115">
        <v>-95</v>
      </c>
      <c r="E113" s="115">
        <v>-99</v>
      </c>
      <c r="F113" s="115">
        <v>-97.8</v>
      </c>
      <c r="G113" s="115">
        <v>-91.1</v>
      </c>
      <c r="H113" s="115">
        <v>-87.2</v>
      </c>
      <c r="I113" s="115">
        <v>-77.599999999999994</v>
      </c>
      <c r="J113" s="115">
        <v>-66.099999999999994</v>
      </c>
      <c r="K113" s="115">
        <f>-90.6-74</f>
        <v>-164.6</v>
      </c>
      <c r="L113" s="115">
        <f>-69.5-77.9</f>
        <v>-147.4</v>
      </c>
      <c r="M113" s="115">
        <v>-3</v>
      </c>
      <c r="N113" s="115">
        <v>-155</v>
      </c>
      <c r="O113" s="115">
        <v>-130</v>
      </c>
      <c r="P113" s="115">
        <v>-120</v>
      </c>
      <c r="Q113" s="115">
        <v>-150</v>
      </c>
      <c r="R113" s="115">
        <v>-130</v>
      </c>
      <c r="S113" s="115">
        <f>51.9+59.2</f>
        <v>111.1</v>
      </c>
      <c r="T113" s="115">
        <v>121.4</v>
      </c>
      <c r="U113" s="115">
        <v>90</v>
      </c>
      <c r="V113" s="115">
        <v>135</v>
      </c>
      <c r="W113" s="115">
        <f>74.7+74.3</f>
        <v>149</v>
      </c>
      <c r="X113" s="115">
        <f>53.7+57.6</f>
        <v>111.30000000000001</v>
      </c>
      <c r="Y113" s="115">
        <f>61.9+66.8</f>
        <v>128.69999999999999</v>
      </c>
      <c r="Z113" s="115">
        <v>151.1</v>
      </c>
      <c r="AA113" s="115">
        <v>96.4</v>
      </c>
      <c r="AB113" s="115">
        <v>96.4</v>
      </c>
      <c r="AC113" s="115">
        <v>96.4</v>
      </c>
      <c r="AD113" s="115">
        <v>96.4</v>
      </c>
      <c r="AE113" s="115">
        <v>96.4</v>
      </c>
      <c r="AF113" s="115">
        <v>-153</v>
      </c>
      <c r="AG113" s="114">
        <v>240</v>
      </c>
      <c r="AH113" s="47">
        <f t="shared" si="9"/>
        <v>151.1</v>
      </c>
      <c r="AI113" s="48">
        <f t="shared" si="10"/>
        <v>-164.6</v>
      </c>
    </row>
    <row r="114" spans="1:37" x14ac:dyDescent="0.25">
      <c r="A114" s="103" t="s">
        <v>130</v>
      </c>
      <c r="B114" s="115"/>
      <c r="C114" s="115">
        <v>-6</v>
      </c>
      <c r="D114" s="115">
        <v>4</v>
      </c>
      <c r="E114" s="115">
        <v>3</v>
      </c>
      <c r="F114" s="115">
        <v>3.1</v>
      </c>
      <c r="G114" s="115">
        <v>4.2</v>
      </c>
      <c r="H114" s="115">
        <v>5.9</v>
      </c>
      <c r="I114" s="115">
        <v>10.1</v>
      </c>
      <c r="J114" s="115">
        <v>21.9</v>
      </c>
      <c r="K114" s="115">
        <v>15.7</v>
      </c>
      <c r="L114" s="115">
        <v>13.9</v>
      </c>
      <c r="M114" s="115">
        <v>3.2</v>
      </c>
      <c r="N114" s="115">
        <v>-0.3</v>
      </c>
      <c r="O114" s="115">
        <v>29.7</v>
      </c>
      <c r="P114" s="115">
        <v>26.9</v>
      </c>
      <c r="Q114" s="115">
        <v>23.2</v>
      </c>
      <c r="R114" s="115">
        <v>26.1</v>
      </c>
      <c r="S114" s="115">
        <v>21.3</v>
      </c>
      <c r="T114" s="115">
        <v>20.5</v>
      </c>
      <c r="U114" s="115">
        <f>90+62.5</f>
        <v>152.5</v>
      </c>
      <c r="V114" s="115">
        <v>12.7</v>
      </c>
      <c r="W114" s="115">
        <v>0</v>
      </c>
      <c r="X114" s="115">
        <v>6.7</v>
      </c>
      <c r="Y114" s="115">
        <v>3.9</v>
      </c>
      <c r="Z114" s="115">
        <v>2.7</v>
      </c>
      <c r="AA114" s="115">
        <v>6.6</v>
      </c>
      <c r="AB114" s="115">
        <v>6.6</v>
      </c>
      <c r="AC114" s="115">
        <v>6.6</v>
      </c>
      <c r="AD114" s="115">
        <v>6.6</v>
      </c>
      <c r="AE114" s="115">
        <v>6.6</v>
      </c>
      <c r="AF114" s="115">
        <v>-13.4</v>
      </c>
      <c r="AG114" s="114">
        <v>60</v>
      </c>
      <c r="AH114" s="47">
        <f t="shared" si="9"/>
        <v>152.5</v>
      </c>
      <c r="AI114" s="48">
        <f t="shared" si="10"/>
        <v>-13.4</v>
      </c>
    </row>
    <row r="115" spans="1:37" x14ac:dyDescent="0.25">
      <c r="A115" s="116" t="s">
        <v>131</v>
      </c>
      <c r="B115" s="117"/>
      <c r="C115" s="117">
        <v>0</v>
      </c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>
        <v>24</v>
      </c>
      <c r="AG115" s="118">
        <v>120</v>
      </c>
      <c r="AH115" s="47">
        <f t="shared" si="9"/>
        <v>24</v>
      </c>
      <c r="AI115" s="48">
        <f t="shared" si="10"/>
        <v>0</v>
      </c>
    </row>
    <row r="116" spans="1:37" x14ac:dyDescent="0.25">
      <c r="A116" s="116" t="s">
        <v>132</v>
      </c>
      <c r="B116" s="117"/>
      <c r="C116" s="117">
        <v>59</v>
      </c>
      <c r="D116" s="117">
        <v>55</v>
      </c>
      <c r="E116" s="117">
        <v>53</v>
      </c>
      <c r="F116" s="117">
        <v>61.7</v>
      </c>
      <c r="G116" s="117">
        <v>62.7</v>
      </c>
      <c r="H116" s="117">
        <v>59.1</v>
      </c>
      <c r="I116" s="117">
        <v>70.099999999999994</v>
      </c>
      <c r="J116" s="117">
        <v>70.099999999999994</v>
      </c>
      <c r="K116" s="117">
        <v>35.700000000000003</v>
      </c>
      <c r="L116" s="117">
        <v>36.200000000000003</v>
      </c>
      <c r="M116" s="117">
        <v>46.4</v>
      </c>
      <c r="N116" s="117">
        <v>63.6</v>
      </c>
      <c r="O116" s="117">
        <v>46.7</v>
      </c>
      <c r="P116" s="117">
        <v>63.7</v>
      </c>
      <c r="Q116" s="117">
        <v>51.6</v>
      </c>
      <c r="R116" s="117">
        <v>47.2</v>
      </c>
      <c r="S116" s="117">
        <v>73</v>
      </c>
      <c r="T116" s="117">
        <v>61.4</v>
      </c>
      <c r="U116" s="117">
        <v>45.4</v>
      </c>
      <c r="V116" s="117">
        <v>32.5</v>
      </c>
      <c r="W116" s="117">
        <v>47.7</v>
      </c>
      <c r="X116" s="117">
        <v>66.8</v>
      </c>
      <c r="Y116" s="117">
        <v>47.6</v>
      </c>
      <c r="Z116" s="117">
        <v>40.4</v>
      </c>
      <c r="AA116" s="117">
        <v>71.599999999999994</v>
      </c>
      <c r="AB116" s="117">
        <v>71.599999999999994</v>
      </c>
      <c r="AC116" s="117">
        <v>71.599999999999994</v>
      </c>
      <c r="AD116" s="117">
        <v>71.599999999999994</v>
      </c>
      <c r="AE116" s="117">
        <v>71.599999999999994</v>
      </c>
      <c r="AF116" s="117">
        <v>66.3</v>
      </c>
      <c r="AG116" s="118"/>
      <c r="AH116" s="47">
        <f t="shared" si="9"/>
        <v>73</v>
      </c>
      <c r="AI116" s="48">
        <f t="shared" si="10"/>
        <v>32.5</v>
      </c>
    </row>
    <row r="117" spans="1:37" x14ac:dyDescent="0.25">
      <c r="A117" s="116" t="s">
        <v>133</v>
      </c>
      <c r="B117" s="117"/>
      <c r="C117" s="117">
        <v>14</v>
      </c>
      <c r="D117" s="117">
        <v>36</v>
      </c>
      <c r="E117" s="117">
        <v>51</v>
      </c>
      <c r="F117" s="117">
        <v>48.6</v>
      </c>
      <c r="G117" s="117">
        <v>43.8</v>
      </c>
      <c r="H117" s="117">
        <v>43.8</v>
      </c>
      <c r="I117" s="117">
        <v>40</v>
      </c>
      <c r="J117" s="117">
        <v>40</v>
      </c>
      <c r="K117" s="117">
        <v>20.7</v>
      </c>
      <c r="L117" s="117">
        <v>15.7</v>
      </c>
      <c r="M117" s="117">
        <v>14.4</v>
      </c>
      <c r="N117" s="117">
        <v>17.2</v>
      </c>
      <c r="O117" s="117">
        <v>17.399999999999999</v>
      </c>
      <c r="P117" s="117">
        <v>24</v>
      </c>
      <c r="Q117" s="117">
        <v>13.5</v>
      </c>
      <c r="R117" s="117">
        <v>21.2</v>
      </c>
      <c r="S117" s="117">
        <v>77.400000000000006</v>
      </c>
      <c r="T117" s="117">
        <v>25.9</v>
      </c>
      <c r="U117" s="117">
        <v>45.3</v>
      </c>
      <c r="V117" s="117">
        <v>21.9</v>
      </c>
      <c r="W117" s="117">
        <v>16.3</v>
      </c>
      <c r="X117" s="117">
        <v>9.4</v>
      </c>
      <c r="Y117" s="117">
        <v>7.6</v>
      </c>
      <c r="Z117" s="117">
        <v>8.6</v>
      </c>
      <c r="AA117" s="117">
        <v>27.9</v>
      </c>
      <c r="AB117" s="117">
        <v>27.9</v>
      </c>
      <c r="AC117" s="117">
        <v>27.9</v>
      </c>
      <c r="AD117" s="117">
        <v>27.9</v>
      </c>
      <c r="AE117" s="117">
        <v>27.9</v>
      </c>
      <c r="AF117" s="117">
        <v>50.8</v>
      </c>
      <c r="AG117" s="119"/>
      <c r="AH117" s="47">
        <f t="shared" si="9"/>
        <v>77.400000000000006</v>
      </c>
      <c r="AI117" s="48">
        <f t="shared" si="10"/>
        <v>7.6</v>
      </c>
    </row>
    <row r="118" spans="1:37" x14ac:dyDescent="0.25">
      <c r="A118" s="120" t="s">
        <v>134</v>
      </c>
      <c r="B118" s="106"/>
      <c r="C118" s="106">
        <v>38</v>
      </c>
      <c r="D118" s="106">
        <v>39</v>
      </c>
      <c r="E118" s="106">
        <v>45</v>
      </c>
      <c r="F118" s="106">
        <v>43.8</v>
      </c>
      <c r="G118" s="106">
        <v>45</v>
      </c>
      <c r="H118" s="106">
        <v>44.4</v>
      </c>
      <c r="I118" s="106">
        <v>41.6</v>
      </c>
      <c r="J118" s="106">
        <v>41.6</v>
      </c>
      <c r="K118" s="106">
        <v>33.5</v>
      </c>
      <c r="L118" s="106">
        <v>32.700000000000003</v>
      </c>
      <c r="M118" s="106">
        <v>28.2</v>
      </c>
      <c r="N118" s="106">
        <v>31.3</v>
      </c>
      <c r="O118" s="106">
        <v>23.2</v>
      </c>
      <c r="P118" s="106">
        <v>24.2</v>
      </c>
      <c r="Q118" s="106">
        <v>35</v>
      </c>
      <c r="R118" s="106">
        <v>38.9</v>
      </c>
      <c r="S118" s="106">
        <v>26.6</v>
      </c>
      <c r="T118" s="106">
        <v>24.9</v>
      </c>
      <c r="U118" s="106">
        <v>25.1</v>
      </c>
      <c r="V118" s="106">
        <v>26.5</v>
      </c>
      <c r="W118" s="106">
        <v>31.1</v>
      </c>
      <c r="X118" s="106">
        <v>27.8</v>
      </c>
      <c r="Y118" s="106">
        <v>26</v>
      </c>
      <c r="Z118" s="106">
        <v>23.9</v>
      </c>
      <c r="AA118" s="106">
        <v>27.4</v>
      </c>
      <c r="AB118" s="106">
        <v>27.4</v>
      </c>
      <c r="AC118" s="106">
        <v>27.4</v>
      </c>
      <c r="AD118" s="106">
        <v>27.4</v>
      </c>
      <c r="AE118" s="106">
        <v>27.4</v>
      </c>
      <c r="AF118" s="106">
        <v>9.1999999999999993</v>
      </c>
      <c r="AG118" s="119"/>
      <c r="AH118" s="47">
        <f t="shared" si="9"/>
        <v>45</v>
      </c>
      <c r="AI118" s="48">
        <f t="shared" si="10"/>
        <v>9.1999999999999993</v>
      </c>
    </row>
    <row r="119" spans="1:37" x14ac:dyDescent="0.25">
      <c r="A119" s="121" t="s">
        <v>135</v>
      </c>
      <c r="B119" s="106"/>
      <c r="C119" s="106">
        <v>67</v>
      </c>
      <c r="D119" s="106">
        <v>73</v>
      </c>
      <c r="E119" s="106">
        <v>71</v>
      </c>
      <c r="F119" s="106">
        <v>73.400000000000006</v>
      </c>
      <c r="G119" s="106">
        <v>68.900000000000006</v>
      </c>
      <c r="H119" s="106">
        <v>65.400000000000006</v>
      </c>
      <c r="I119" s="106">
        <v>64</v>
      </c>
      <c r="J119" s="106">
        <v>64</v>
      </c>
      <c r="K119" s="106">
        <v>89.5</v>
      </c>
      <c r="L119" s="106">
        <v>88.7</v>
      </c>
      <c r="M119" s="106">
        <v>84.6</v>
      </c>
      <c r="N119" s="106">
        <v>74.5</v>
      </c>
      <c r="O119" s="106">
        <v>91.2</v>
      </c>
      <c r="P119" s="106">
        <v>83.4</v>
      </c>
      <c r="Q119" s="106">
        <v>92.5</v>
      </c>
      <c r="R119" s="106">
        <v>87.5</v>
      </c>
      <c r="S119" s="106">
        <v>66.900000000000006</v>
      </c>
      <c r="T119" s="106">
        <v>71.599999999999994</v>
      </c>
      <c r="U119" s="106">
        <v>76.900000000000006</v>
      </c>
      <c r="V119" s="106">
        <v>83.4</v>
      </c>
      <c r="W119" s="106">
        <v>60.3</v>
      </c>
      <c r="X119" s="106">
        <v>52.4</v>
      </c>
      <c r="Y119" s="106">
        <v>63.8</v>
      </c>
      <c r="Z119" s="106">
        <v>69.3</v>
      </c>
      <c r="AA119" s="106">
        <v>40.4</v>
      </c>
      <c r="AB119" s="106">
        <v>40.4</v>
      </c>
      <c r="AC119" s="106">
        <v>40.4</v>
      </c>
      <c r="AD119" s="106">
        <v>40.4</v>
      </c>
      <c r="AE119" s="106">
        <v>40.4</v>
      </c>
      <c r="AF119" s="106">
        <v>77</v>
      </c>
      <c r="AG119" s="119"/>
      <c r="AH119" s="47">
        <f t="shared" si="9"/>
        <v>92.5</v>
      </c>
      <c r="AI119" s="48">
        <f t="shared" si="10"/>
        <v>40.4</v>
      </c>
    </row>
    <row r="120" spans="1:37" ht="15.75" thickBot="1" x14ac:dyDescent="0.3">
      <c r="A120" s="120" t="s">
        <v>136</v>
      </c>
      <c r="B120" s="106"/>
      <c r="C120" s="106">
        <v>39</v>
      </c>
      <c r="D120" s="106">
        <v>29</v>
      </c>
      <c r="E120" s="106">
        <v>30</v>
      </c>
      <c r="F120" s="106">
        <v>29.5</v>
      </c>
      <c r="G120" s="106">
        <v>25.2</v>
      </c>
      <c r="H120" s="106">
        <v>11.2</v>
      </c>
      <c r="I120" s="106">
        <v>7.7</v>
      </c>
      <c r="J120" s="106">
        <v>7.7</v>
      </c>
      <c r="K120" s="106">
        <v>31.2</v>
      </c>
      <c r="L120" s="106">
        <v>24.4</v>
      </c>
      <c r="M120" s="106">
        <v>23.3</v>
      </c>
      <c r="N120" s="106">
        <v>82.2</v>
      </c>
      <c r="O120" s="106">
        <v>47.4</v>
      </c>
      <c r="P120" s="106">
        <v>43.8</v>
      </c>
      <c r="Q120" s="106">
        <v>44.2</v>
      </c>
      <c r="R120" s="106">
        <v>28.8</v>
      </c>
      <c r="S120" s="106">
        <v>41.6</v>
      </c>
      <c r="T120" s="106">
        <v>52</v>
      </c>
      <c r="U120" s="106">
        <v>31.4</v>
      </c>
      <c r="V120" s="106">
        <v>36.799999999999997</v>
      </c>
      <c r="W120" s="106">
        <v>8.5</v>
      </c>
      <c r="X120" s="106">
        <v>13.5</v>
      </c>
      <c r="Y120" s="106">
        <v>21.4</v>
      </c>
      <c r="Z120" s="106">
        <v>34.9</v>
      </c>
      <c r="AA120" s="106">
        <v>37.799999999999997</v>
      </c>
      <c r="AB120" s="106">
        <v>37.799999999999997</v>
      </c>
      <c r="AC120" s="106">
        <v>37.799999999999997</v>
      </c>
      <c r="AD120" s="106">
        <v>37.799999999999997</v>
      </c>
      <c r="AE120" s="106">
        <v>37.799999999999997</v>
      </c>
      <c r="AF120" s="106">
        <v>57.9</v>
      </c>
      <c r="AG120" s="119"/>
      <c r="AH120" s="47">
        <f t="shared" si="9"/>
        <v>82.2</v>
      </c>
      <c r="AI120" s="48">
        <f t="shared" si="10"/>
        <v>7.7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18">SUM(B122:B226)</f>
        <v>0</v>
      </c>
      <c r="C227" s="137">
        <f t="shared" si="18"/>
        <v>0</v>
      </c>
      <c r="D227" s="137">
        <f t="shared" si="18"/>
        <v>0</v>
      </c>
      <c r="E227" s="137">
        <f t="shared" si="18"/>
        <v>0</v>
      </c>
      <c r="F227" s="137">
        <f t="shared" si="18"/>
        <v>0</v>
      </c>
      <c r="G227" s="137">
        <f t="shared" si="18"/>
        <v>0</v>
      </c>
      <c r="H227" s="137">
        <f t="shared" si="18"/>
        <v>0</v>
      </c>
      <c r="I227" s="137">
        <f t="shared" si="18"/>
        <v>0</v>
      </c>
      <c r="J227" s="137">
        <f t="shared" si="18"/>
        <v>0</v>
      </c>
      <c r="K227" s="137">
        <f t="shared" si="18"/>
        <v>0</v>
      </c>
      <c r="L227" s="137">
        <f t="shared" si="18"/>
        <v>0</v>
      </c>
      <c r="M227" s="137">
        <f t="shared" si="18"/>
        <v>0</v>
      </c>
      <c r="N227" s="137">
        <f t="shared" si="18"/>
        <v>0</v>
      </c>
      <c r="O227" s="137">
        <f t="shared" si="18"/>
        <v>0</v>
      </c>
      <c r="P227" s="137">
        <f t="shared" si="18"/>
        <v>0</v>
      </c>
      <c r="Q227" s="137">
        <f t="shared" si="18"/>
        <v>0</v>
      </c>
      <c r="R227" s="137">
        <f t="shared" si="18"/>
        <v>0</v>
      </c>
      <c r="S227" s="137">
        <f t="shared" si="18"/>
        <v>0</v>
      </c>
      <c r="T227" s="137">
        <f t="shared" si="18"/>
        <v>0</v>
      </c>
      <c r="U227" s="137">
        <f t="shared" si="18"/>
        <v>0</v>
      </c>
      <c r="V227" s="137">
        <f t="shared" si="18"/>
        <v>0</v>
      </c>
      <c r="W227" s="137">
        <f t="shared" si="18"/>
        <v>0</v>
      </c>
      <c r="X227" s="137">
        <f t="shared" si="18"/>
        <v>0</v>
      </c>
      <c r="Y227" s="137">
        <f t="shared" si="18"/>
        <v>0</v>
      </c>
      <c r="Z227" s="137">
        <f t="shared" si="18"/>
        <v>0</v>
      </c>
      <c r="AA227" s="137">
        <f t="shared" si="18"/>
        <v>0</v>
      </c>
      <c r="AB227" s="137">
        <f t="shared" si="18"/>
        <v>0</v>
      </c>
      <c r="AC227" s="137">
        <f t="shared" si="18"/>
        <v>0</v>
      </c>
      <c r="AD227" s="137">
        <f t="shared" si="18"/>
        <v>0</v>
      </c>
      <c r="AE227" s="137">
        <f t="shared" si="18"/>
        <v>0</v>
      </c>
      <c r="AF227" s="138">
        <f t="shared" si="18"/>
        <v>0</v>
      </c>
      <c r="AG227" s="139">
        <f t="shared" si="18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19">AF229</f>
        <v>0</v>
      </c>
      <c r="C229" s="141">
        <v>0.3</v>
      </c>
      <c r="D229" s="141">
        <f t="shared" ref="D229:P234" si="20">C229</f>
        <v>0.3</v>
      </c>
      <c r="E229" s="141">
        <f t="shared" si="20"/>
        <v>0.3</v>
      </c>
      <c r="F229" s="141">
        <f t="shared" si="20"/>
        <v>0.3</v>
      </c>
      <c r="G229" s="141">
        <f t="shared" si="20"/>
        <v>0.3</v>
      </c>
      <c r="H229" s="141">
        <f t="shared" si="20"/>
        <v>0.3</v>
      </c>
      <c r="I229" s="141">
        <f t="shared" si="20"/>
        <v>0.3</v>
      </c>
      <c r="J229" s="141">
        <f t="shared" si="20"/>
        <v>0.3</v>
      </c>
      <c r="K229" s="141">
        <f t="shared" si="20"/>
        <v>0.3</v>
      </c>
      <c r="L229" s="141">
        <f t="shared" si="20"/>
        <v>0.3</v>
      </c>
      <c r="M229" s="141">
        <f t="shared" si="20"/>
        <v>0.3</v>
      </c>
      <c r="N229" s="141">
        <f t="shared" si="20"/>
        <v>0.3</v>
      </c>
      <c r="O229" s="141">
        <f t="shared" si="20"/>
        <v>0.3</v>
      </c>
      <c r="P229" s="141">
        <f t="shared" si="20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19"/>
        <v>0</v>
      </c>
      <c r="C230" s="129">
        <v>0.4</v>
      </c>
      <c r="D230" s="129">
        <f t="shared" si="20"/>
        <v>0.4</v>
      </c>
      <c r="E230" s="129">
        <f t="shared" si="20"/>
        <v>0.4</v>
      </c>
      <c r="F230" s="129">
        <f t="shared" si="20"/>
        <v>0.4</v>
      </c>
      <c r="G230" s="129">
        <f t="shared" si="20"/>
        <v>0.4</v>
      </c>
      <c r="H230" s="129">
        <f t="shared" si="20"/>
        <v>0.4</v>
      </c>
      <c r="I230" s="129">
        <f t="shared" si="20"/>
        <v>0.4</v>
      </c>
      <c r="J230" s="129">
        <f t="shared" si="20"/>
        <v>0.4</v>
      </c>
      <c r="K230" s="129">
        <f t="shared" si="20"/>
        <v>0.4</v>
      </c>
      <c r="L230" s="129">
        <f t="shared" si="20"/>
        <v>0.4</v>
      </c>
      <c r="M230" s="129">
        <f t="shared" si="20"/>
        <v>0.4</v>
      </c>
      <c r="N230" s="129">
        <f t="shared" si="20"/>
        <v>0.4</v>
      </c>
      <c r="O230" s="129">
        <f t="shared" si="20"/>
        <v>0.4</v>
      </c>
      <c r="P230" s="129">
        <f t="shared" si="20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19"/>
        <v>0</v>
      </c>
      <c r="C231" s="129">
        <v>1.5</v>
      </c>
      <c r="D231" s="129">
        <f t="shared" si="20"/>
        <v>1.5</v>
      </c>
      <c r="E231" s="129">
        <f t="shared" si="20"/>
        <v>1.5</v>
      </c>
      <c r="F231" s="129">
        <f t="shared" si="20"/>
        <v>1.5</v>
      </c>
      <c r="G231" s="129">
        <f t="shared" si="20"/>
        <v>1.5</v>
      </c>
      <c r="H231" s="129">
        <f t="shared" si="20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20"/>
        <v>123.21900000000009</v>
      </c>
      <c r="K231" s="129">
        <f t="shared" ca="1" si="20"/>
        <v>123.21900000000009</v>
      </c>
      <c r="L231" s="129">
        <f t="shared" ca="1" si="20"/>
        <v>123.21900000000009</v>
      </c>
      <c r="M231" s="129">
        <f t="shared" ca="1" si="20"/>
        <v>119.19900000000008</v>
      </c>
      <c r="N231" s="129">
        <f t="shared" ca="1" si="20"/>
        <v>119.19900000000008</v>
      </c>
      <c r="O231" s="129">
        <f t="shared" ca="1" si="20"/>
        <v>119.19900000000008</v>
      </c>
      <c r="P231" s="129">
        <f t="shared" ca="1" si="20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19"/>
        <v>0</v>
      </c>
      <c r="C232" s="129">
        <v>0.3</v>
      </c>
      <c r="D232" s="129">
        <f t="shared" si="20"/>
        <v>0.3</v>
      </c>
      <c r="E232" s="129">
        <f t="shared" si="20"/>
        <v>0.3</v>
      </c>
      <c r="F232" s="129">
        <f t="shared" si="20"/>
        <v>0.3</v>
      </c>
      <c r="G232" s="129">
        <f t="shared" si="20"/>
        <v>0.3</v>
      </c>
      <c r="H232" s="129">
        <f t="shared" si="20"/>
        <v>0.3</v>
      </c>
      <c r="I232" s="129">
        <f t="shared" si="20"/>
        <v>0.3</v>
      </c>
      <c r="J232" s="129">
        <f t="shared" si="20"/>
        <v>0.3</v>
      </c>
      <c r="K232" s="129">
        <f t="shared" si="20"/>
        <v>0.3</v>
      </c>
      <c r="L232" s="129">
        <f t="shared" si="20"/>
        <v>0.3</v>
      </c>
      <c r="M232" s="129">
        <f t="shared" si="20"/>
        <v>0.3</v>
      </c>
      <c r="N232" s="129">
        <f t="shared" si="20"/>
        <v>0.3</v>
      </c>
      <c r="O232" s="129">
        <f t="shared" si="20"/>
        <v>0.3</v>
      </c>
      <c r="P232" s="129">
        <f t="shared" si="20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19"/>
        <v>0</v>
      </c>
      <c r="C233" s="129">
        <v>0.4</v>
      </c>
      <c r="D233" s="129">
        <f t="shared" si="20"/>
        <v>0.4</v>
      </c>
      <c r="E233" s="129">
        <f t="shared" si="20"/>
        <v>0.4</v>
      </c>
      <c r="F233" s="129">
        <f t="shared" si="20"/>
        <v>0.4</v>
      </c>
      <c r="G233" s="129">
        <f t="shared" si="20"/>
        <v>0.4</v>
      </c>
      <c r="H233" s="129">
        <f t="shared" si="20"/>
        <v>0.4</v>
      </c>
      <c r="I233" s="129">
        <f t="shared" si="20"/>
        <v>0.4</v>
      </c>
      <c r="J233" s="129">
        <f t="shared" si="20"/>
        <v>0.4</v>
      </c>
      <c r="K233" s="129">
        <f t="shared" si="20"/>
        <v>0.4</v>
      </c>
      <c r="L233" s="129">
        <f t="shared" si="20"/>
        <v>0.4</v>
      </c>
      <c r="M233" s="129">
        <f t="shared" si="20"/>
        <v>0.4</v>
      </c>
      <c r="N233" s="129">
        <f t="shared" si="20"/>
        <v>0.4</v>
      </c>
      <c r="O233" s="129">
        <f t="shared" si="20"/>
        <v>0.4</v>
      </c>
      <c r="P233" s="129">
        <f t="shared" si="20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19"/>
        <v>0</v>
      </c>
      <c r="C234" s="133">
        <v>0.64</v>
      </c>
      <c r="D234" s="133">
        <f t="shared" si="20"/>
        <v>0.64</v>
      </c>
      <c r="E234" s="133">
        <f t="shared" si="20"/>
        <v>0.64</v>
      </c>
      <c r="F234" s="133">
        <f t="shared" si="20"/>
        <v>0.64</v>
      </c>
      <c r="G234" s="133">
        <f t="shared" si="20"/>
        <v>0.64</v>
      </c>
      <c r="H234" s="133">
        <f t="shared" si="20"/>
        <v>0.64</v>
      </c>
      <c r="I234" s="133">
        <f t="shared" si="20"/>
        <v>0.64</v>
      </c>
      <c r="J234" s="133">
        <f t="shared" si="20"/>
        <v>0.64</v>
      </c>
      <c r="K234" s="133">
        <f t="shared" si="20"/>
        <v>0.64</v>
      </c>
      <c r="L234" s="133">
        <f t="shared" si="20"/>
        <v>0.64</v>
      </c>
      <c r="M234" s="133">
        <f t="shared" si="20"/>
        <v>0.64</v>
      </c>
      <c r="N234" s="133">
        <f t="shared" si="20"/>
        <v>0.64</v>
      </c>
      <c r="O234" s="133">
        <f t="shared" si="20"/>
        <v>0.64</v>
      </c>
      <c r="P234" s="133">
        <f t="shared" si="20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1">SUM(B229:B234)</f>
        <v>0</v>
      </c>
      <c r="C235" s="137">
        <f t="shared" si="21"/>
        <v>3.54</v>
      </c>
      <c r="D235" s="137">
        <f t="shared" si="21"/>
        <v>3.54</v>
      </c>
      <c r="E235" s="137">
        <f t="shared" si="21"/>
        <v>3.54</v>
      </c>
      <c r="F235" s="137">
        <f t="shared" si="21"/>
        <v>3.54</v>
      </c>
      <c r="G235" s="137">
        <f t="shared" si="21"/>
        <v>3.54</v>
      </c>
      <c r="H235" s="137">
        <f t="shared" si="21"/>
        <v>3.54</v>
      </c>
      <c r="I235" s="137">
        <f t="shared" ca="1" si="21"/>
        <v>121.23900000000009</v>
      </c>
      <c r="J235" s="137">
        <f t="shared" ca="1" si="21"/>
        <v>121.23900000000009</v>
      </c>
      <c r="K235" s="137">
        <f t="shared" ca="1" si="21"/>
        <v>121.23900000000009</v>
      </c>
      <c r="L235" s="137">
        <f t="shared" ca="1" si="21"/>
        <v>125.2590000000001</v>
      </c>
      <c r="M235" s="137">
        <f t="shared" ca="1" si="21"/>
        <v>121.23900000000009</v>
      </c>
      <c r="N235" s="137">
        <f t="shared" ca="1" si="21"/>
        <v>121.23900000000009</v>
      </c>
      <c r="O235" s="137">
        <f t="shared" ca="1" si="21"/>
        <v>121.23900000000009</v>
      </c>
      <c r="P235" s="137">
        <f t="shared" ca="1" si="21"/>
        <v>121.23900000000009</v>
      </c>
      <c r="Q235" s="137">
        <f t="shared" si="21"/>
        <v>0</v>
      </c>
      <c r="R235" s="137">
        <f t="shared" si="21"/>
        <v>0</v>
      </c>
      <c r="S235" s="137">
        <f t="shared" si="21"/>
        <v>0</v>
      </c>
      <c r="T235" s="137">
        <f t="shared" si="21"/>
        <v>0</v>
      </c>
      <c r="U235" s="137">
        <f t="shared" si="21"/>
        <v>0</v>
      </c>
      <c r="V235" s="137">
        <f t="shared" si="21"/>
        <v>0</v>
      </c>
      <c r="W235" s="137">
        <f t="shared" si="21"/>
        <v>0</v>
      </c>
      <c r="X235" s="137">
        <f t="shared" si="21"/>
        <v>0</v>
      </c>
      <c r="Y235" s="137">
        <f t="shared" si="21"/>
        <v>0</v>
      </c>
      <c r="Z235" s="137">
        <f t="shared" si="21"/>
        <v>0</v>
      </c>
      <c r="AA235" s="137">
        <f t="shared" si="21"/>
        <v>0</v>
      </c>
      <c r="AB235" s="137">
        <f t="shared" si="21"/>
        <v>0</v>
      </c>
      <c r="AC235" s="137">
        <f t="shared" si="21"/>
        <v>0</v>
      </c>
      <c r="AD235" s="137">
        <f t="shared" si="21"/>
        <v>0</v>
      </c>
      <c r="AE235" s="137">
        <f t="shared" si="21"/>
        <v>0</v>
      </c>
      <c r="AF235" s="137">
        <f t="shared" si="21"/>
        <v>0</v>
      </c>
      <c r="AG235" s="146">
        <f t="shared" si="21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1972.14</v>
      </c>
      <c r="C244" s="162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21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2080/03/21)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2080/03/21)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2">B91</f>
        <v>3.54</v>
      </c>
      <c r="U249" s="171">
        <f t="shared" si="22"/>
        <v>1862.3400000000001</v>
      </c>
      <c r="V249" s="171">
        <f t="shared" si="22"/>
        <v>1842.8400000000001</v>
      </c>
      <c r="W249" s="171">
        <f t="shared" si="22"/>
        <v>1809.1399999999999</v>
      </c>
      <c r="X249" s="171">
        <f t="shared" si="22"/>
        <v>1817.74</v>
      </c>
      <c r="Y249" s="171">
        <f t="shared" si="22"/>
        <v>1827.7400000000002</v>
      </c>
      <c r="Z249" s="171">
        <f t="shared" si="22"/>
        <v>1835.24</v>
      </c>
      <c r="AA249" s="171">
        <f t="shared" si="22"/>
        <v>1860.54</v>
      </c>
      <c r="AB249" s="171">
        <f t="shared" si="22"/>
        <v>1868.2399999999998</v>
      </c>
      <c r="AC249" s="171">
        <f t="shared" si="22"/>
        <v>1882.9399999999998</v>
      </c>
      <c r="AD249" s="171">
        <f t="shared" si="22"/>
        <v>1970.84</v>
      </c>
      <c r="AE249" s="171">
        <f t="shared" si="22"/>
        <v>1930.64</v>
      </c>
      <c r="AF249" s="171">
        <f t="shared" si="22"/>
        <v>1972.14</v>
      </c>
      <c r="AG249" s="171">
        <f t="shared" si="22"/>
        <v>2048.64</v>
      </c>
      <c r="AH249" s="171">
        <f t="shared" si="22"/>
        <v>2032.44</v>
      </c>
      <c r="AI249" s="171">
        <f t="shared" si="22"/>
        <v>2014.2399999999998</v>
      </c>
      <c r="AJ249" s="171">
        <f t="shared" si="22"/>
        <v>2028.54</v>
      </c>
      <c r="AK249" s="171">
        <f t="shared" si="22"/>
        <v>1997.8400000000001</v>
      </c>
      <c r="AL249" s="171">
        <f t="shared" si="22"/>
        <v>2015.8400000000001</v>
      </c>
      <c r="AM249" s="171">
        <f t="shared" si="22"/>
        <v>2065.94</v>
      </c>
      <c r="AN249" s="171">
        <f t="shared" si="22"/>
        <v>2009.64</v>
      </c>
      <c r="AO249" s="171">
        <f t="shared" si="22"/>
        <v>1970.74</v>
      </c>
      <c r="AP249" s="171">
        <f t="shared" si="22"/>
        <v>1950.3400000000001</v>
      </c>
      <c r="AQ249" s="171">
        <f t="shared" si="22"/>
        <v>1957.14</v>
      </c>
      <c r="AR249" s="171">
        <f t="shared" si="22"/>
        <v>1962.3400000000001</v>
      </c>
      <c r="AS249" s="171">
        <f t="shared" si="22"/>
        <v>2017.6</v>
      </c>
      <c r="AT249" s="171">
        <f t="shared" si="22"/>
        <v>2317.64</v>
      </c>
      <c r="AU249" s="171">
        <f t="shared" si="22"/>
        <v>2357.34</v>
      </c>
      <c r="AV249" s="171">
        <f t="shared" si="22"/>
        <v>2328.04</v>
      </c>
      <c r="AW249" s="171">
        <f t="shared" si="22"/>
        <v>2027.94</v>
      </c>
      <c r="AX249" s="171">
        <f t="shared" si="22"/>
        <v>1951.94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23">C234</f>
        <v>0.64</v>
      </c>
      <c r="C270" s="174">
        <f t="shared" si="23"/>
        <v>0.64</v>
      </c>
      <c r="D270" s="174">
        <f t="shared" si="23"/>
        <v>0.64</v>
      </c>
      <c r="E270" s="174">
        <f t="shared" si="23"/>
        <v>0.64</v>
      </c>
      <c r="F270" s="174">
        <f t="shared" si="23"/>
        <v>0.64</v>
      </c>
      <c r="G270" s="174">
        <f t="shared" si="23"/>
        <v>0.64</v>
      </c>
      <c r="H270" s="174">
        <f t="shared" si="23"/>
        <v>0.64</v>
      </c>
      <c r="I270" s="174">
        <f t="shared" si="23"/>
        <v>0.64</v>
      </c>
      <c r="J270" s="174">
        <f t="shared" si="23"/>
        <v>0.64</v>
      </c>
      <c r="K270" s="174">
        <f t="shared" si="23"/>
        <v>0.64</v>
      </c>
      <c r="L270" s="174">
        <f t="shared" si="23"/>
        <v>0.64</v>
      </c>
      <c r="M270" s="174">
        <f t="shared" si="23"/>
        <v>0.64</v>
      </c>
      <c r="N270" s="174">
        <f t="shared" si="23"/>
        <v>0.64</v>
      </c>
      <c r="O270" s="174">
        <f t="shared" si="23"/>
        <v>0.64</v>
      </c>
      <c r="P270" s="174">
        <f t="shared" si="23"/>
        <v>0</v>
      </c>
      <c r="Q270" s="174">
        <f t="shared" si="23"/>
        <v>0</v>
      </c>
      <c r="R270" s="174">
        <f t="shared" si="23"/>
        <v>0</v>
      </c>
      <c r="S270" s="174">
        <f t="shared" si="23"/>
        <v>0</v>
      </c>
      <c r="T270" s="174">
        <f t="shared" si="23"/>
        <v>0</v>
      </c>
      <c r="U270" s="174">
        <f t="shared" si="23"/>
        <v>0</v>
      </c>
      <c r="V270" s="174">
        <f t="shared" si="23"/>
        <v>0</v>
      </c>
      <c r="W270" s="174">
        <f t="shared" si="23"/>
        <v>0</v>
      </c>
      <c r="X270" s="174">
        <f t="shared" si="23"/>
        <v>0</v>
      </c>
      <c r="Y270" s="174">
        <f t="shared" si="23"/>
        <v>0</v>
      </c>
      <c r="Z270" s="174">
        <f t="shared" si="23"/>
        <v>0</v>
      </c>
      <c r="AA270" s="174">
        <f t="shared" si="23"/>
        <v>0</v>
      </c>
      <c r="AB270" s="174">
        <f t="shared" si="23"/>
        <v>0</v>
      </c>
      <c r="AC270" s="174">
        <f t="shared" si="23"/>
        <v>0</v>
      </c>
      <c r="AD270" s="174">
        <f t="shared" si="23"/>
        <v>0</v>
      </c>
      <c r="AE270" s="174">
        <f t="shared" si="23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24">IF(B238&lt;100,"",B238-520)</f>
        <v/>
      </c>
      <c r="C271" s="175" t="str">
        <f t="shared" si="24"/>
        <v/>
      </c>
      <c r="D271" s="175" t="str">
        <f t="shared" si="24"/>
        <v/>
      </c>
      <c r="E271" s="175" t="str">
        <f t="shared" si="24"/>
        <v/>
      </c>
      <c r="F271" s="175" t="str">
        <f t="shared" si="24"/>
        <v/>
      </c>
      <c r="G271" s="175" t="str">
        <f t="shared" si="24"/>
        <v/>
      </c>
      <c r="H271" s="175" t="str">
        <f t="shared" si="24"/>
        <v/>
      </c>
      <c r="I271" s="175" t="str">
        <f t="shared" si="24"/>
        <v/>
      </c>
      <c r="J271" s="175" t="str">
        <f t="shared" si="24"/>
        <v/>
      </c>
      <c r="K271" s="175" t="str">
        <f t="shared" si="24"/>
        <v/>
      </c>
      <c r="L271" s="175" t="str">
        <f t="shared" si="24"/>
        <v/>
      </c>
      <c r="M271" s="175" t="str">
        <f t="shared" si="24"/>
        <v/>
      </c>
      <c r="N271" s="175" t="str">
        <f t="shared" si="24"/>
        <v/>
      </c>
      <c r="O271" s="175" t="str">
        <f t="shared" si="24"/>
        <v/>
      </c>
      <c r="P271" s="175" t="str">
        <f t="shared" si="24"/>
        <v/>
      </c>
      <c r="Q271" s="175" t="str">
        <f t="shared" si="24"/>
        <v/>
      </c>
      <c r="R271" s="175" t="str">
        <f t="shared" si="24"/>
        <v/>
      </c>
      <c r="S271" s="175" t="str">
        <f t="shared" si="24"/>
        <v/>
      </c>
      <c r="T271" s="175" t="str">
        <f t="shared" si="24"/>
        <v/>
      </c>
      <c r="U271" s="175" t="str">
        <f t="shared" si="24"/>
        <v/>
      </c>
      <c r="V271" s="175" t="str">
        <f t="shared" si="24"/>
        <v/>
      </c>
      <c r="W271" s="175" t="str">
        <f t="shared" si="24"/>
        <v/>
      </c>
      <c r="X271" s="175" t="str">
        <f t="shared" si="24"/>
        <v/>
      </c>
      <c r="Y271" s="175" t="str">
        <f t="shared" si="24"/>
        <v/>
      </c>
      <c r="Z271" s="175" t="str">
        <f t="shared" si="24"/>
        <v/>
      </c>
      <c r="AA271" s="175" t="str">
        <f t="shared" si="24"/>
        <v/>
      </c>
      <c r="AB271" s="175" t="str">
        <f t="shared" si="24"/>
        <v/>
      </c>
      <c r="AC271" s="175" t="str">
        <f t="shared" si="24"/>
        <v/>
      </c>
      <c r="AD271" s="175" t="str">
        <f t="shared" si="24"/>
        <v/>
      </c>
      <c r="AE271" s="175" t="str">
        <f t="shared" si="24"/>
        <v/>
      </c>
      <c r="AF271" s="175" t="str">
        <f t="shared" si="24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25">IF(B239&lt;100,"",B239-620)</f>
        <v/>
      </c>
      <c r="C272" s="175" t="str">
        <f t="shared" si="25"/>
        <v/>
      </c>
      <c r="D272" s="175" t="str">
        <f t="shared" si="25"/>
        <v/>
      </c>
      <c r="E272" s="175" t="str">
        <f t="shared" si="25"/>
        <v/>
      </c>
      <c r="F272" s="175" t="str">
        <f t="shared" si="25"/>
        <v/>
      </c>
      <c r="G272" s="175" t="str">
        <f t="shared" si="25"/>
        <v/>
      </c>
      <c r="H272" s="175" t="str">
        <f t="shared" si="25"/>
        <v/>
      </c>
      <c r="I272" s="175" t="str">
        <f t="shared" si="25"/>
        <v/>
      </c>
      <c r="J272" s="175" t="str">
        <f t="shared" si="25"/>
        <v/>
      </c>
      <c r="K272" s="175" t="str">
        <f t="shared" si="25"/>
        <v/>
      </c>
      <c r="L272" s="175" t="str">
        <f t="shared" si="25"/>
        <v/>
      </c>
      <c r="M272" s="175" t="str">
        <f t="shared" si="25"/>
        <v/>
      </c>
      <c r="N272" s="175" t="str">
        <f t="shared" si="25"/>
        <v/>
      </c>
      <c r="O272" s="175" t="str">
        <f t="shared" si="25"/>
        <v/>
      </c>
      <c r="P272" s="175" t="str">
        <f t="shared" si="25"/>
        <v/>
      </c>
      <c r="Q272" s="175" t="str">
        <f t="shared" si="25"/>
        <v/>
      </c>
      <c r="R272" s="175" t="str">
        <f t="shared" si="25"/>
        <v/>
      </c>
      <c r="S272" s="175" t="str">
        <f t="shared" si="25"/>
        <v/>
      </c>
      <c r="T272" s="175" t="str">
        <f t="shared" si="25"/>
        <v/>
      </c>
      <c r="U272" s="175" t="str">
        <f t="shared" si="25"/>
        <v/>
      </c>
      <c r="V272" s="175" t="str">
        <f t="shared" si="25"/>
        <v/>
      </c>
      <c r="W272" s="175" t="str">
        <f t="shared" si="25"/>
        <v/>
      </c>
      <c r="X272" s="175" t="str">
        <f t="shared" si="25"/>
        <v/>
      </c>
      <c r="Y272" s="175" t="str">
        <f t="shared" si="25"/>
        <v/>
      </c>
      <c r="Z272" s="175" t="str">
        <f t="shared" si="25"/>
        <v/>
      </c>
      <c r="AA272" s="175" t="str">
        <f t="shared" si="25"/>
        <v/>
      </c>
      <c r="AB272" s="175" t="str">
        <f t="shared" si="25"/>
        <v/>
      </c>
      <c r="AC272" s="175" t="str">
        <f t="shared" si="25"/>
        <v/>
      </c>
      <c r="AD272" s="175" t="str">
        <f t="shared" si="25"/>
        <v/>
      </c>
      <c r="AE272" s="175" t="str">
        <f t="shared" si="25"/>
        <v/>
      </c>
      <c r="AF272" s="175" t="str">
        <f t="shared" si="25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26">IF(B240&lt;100,"",B240-330)</f>
        <v/>
      </c>
      <c r="C273" s="175" t="str">
        <f t="shared" si="26"/>
        <v/>
      </c>
      <c r="D273" s="175" t="str">
        <f t="shared" si="26"/>
        <v/>
      </c>
      <c r="E273" s="175" t="str">
        <f t="shared" si="26"/>
        <v/>
      </c>
      <c r="F273" s="175" t="str">
        <f t="shared" si="26"/>
        <v/>
      </c>
      <c r="G273" s="175" t="str">
        <f t="shared" si="26"/>
        <v/>
      </c>
      <c r="H273" s="175" t="str">
        <f t="shared" si="26"/>
        <v/>
      </c>
      <c r="I273" s="175" t="str">
        <f t="shared" si="26"/>
        <v/>
      </c>
      <c r="J273" s="175" t="str">
        <f t="shared" si="26"/>
        <v/>
      </c>
      <c r="K273" s="175" t="str">
        <f t="shared" si="26"/>
        <v/>
      </c>
      <c r="L273" s="175" t="str">
        <f t="shared" si="26"/>
        <v/>
      </c>
      <c r="M273" s="175" t="str">
        <f t="shared" si="26"/>
        <v/>
      </c>
      <c r="N273" s="175" t="str">
        <f t="shared" si="26"/>
        <v/>
      </c>
      <c r="O273" s="175" t="str">
        <f t="shared" si="26"/>
        <v/>
      </c>
      <c r="P273" s="175" t="str">
        <f t="shared" si="26"/>
        <v/>
      </c>
      <c r="Q273" s="175" t="str">
        <f t="shared" si="26"/>
        <v/>
      </c>
      <c r="R273" s="175" t="str">
        <f t="shared" si="26"/>
        <v/>
      </c>
      <c r="S273" s="175" t="str">
        <f t="shared" si="26"/>
        <v/>
      </c>
      <c r="T273" s="175" t="str">
        <f t="shared" si="26"/>
        <v/>
      </c>
      <c r="U273" s="175" t="str">
        <f t="shared" si="26"/>
        <v/>
      </c>
      <c r="V273" s="175" t="str">
        <f t="shared" si="26"/>
        <v/>
      </c>
      <c r="W273" s="175" t="str">
        <f t="shared" si="26"/>
        <v/>
      </c>
      <c r="X273" s="175" t="str">
        <f t="shared" si="26"/>
        <v/>
      </c>
      <c r="Y273" s="175" t="str">
        <f t="shared" si="26"/>
        <v/>
      </c>
      <c r="Z273" s="175" t="str">
        <f t="shared" si="26"/>
        <v/>
      </c>
      <c r="AA273" s="175" t="str">
        <f t="shared" si="26"/>
        <v/>
      </c>
      <c r="AB273" s="175" t="str">
        <f t="shared" si="26"/>
        <v/>
      </c>
      <c r="AC273" s="175" t="str">
        <f t="shared" si="26"/>
        <v/>
      </c>
      <c r="AD273" s="175" t="str">
        <f t="shared" si="26"/>
        <v/>
      </c>
      <c r="AE273" s="175" t="str">
        <f t="shared" si="26"/>
        <v/>
      </c>
      <c r="AF273" s="175" t="str">
        <f t="shared" si="26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27">IF(B241&lt;100,"",B241-1500)</f>
        <v/>
      </c>
      <c r="C274" s="175" t="str">
        <f t="shared" si="27"/>
        <v/>
      </c>
      <c r="D274" s="175" t="str">
        <f t="shared" si="27"/>
        <v/>
      </c>
      <c r="E274" s="175" t="str">
        <f t="shared" si="27"/>
        <v/>
      </c>
      <c r="F274" s="175" t="str">
        <f t="shared" si="27"/>
        <v/>
      </c>
      <c r="G274" s="175" t="str">
        <f t="shared" si="27"/>
        <v/>
      </c>
      <c r="H274" s="175" t="str">
        <f t="shared" si="27"/>
        <v/>
      </c>
      <c r="I274" s="175" t="str">
        <f t="shared" si="27"/>
        <v/>
      </c>
      <c r="J274" s="175" t="str">
        <f t="shared" si="27"/>
        <v/>
      </c>
      <c r="K274" s="175" t="str">
        <f t="shared" si="27"/>
        <v/>
      </c>
      <c r="L274" s="175" t="str">
        <f t="shared" si="27"/>
        <v/>
      </c>
      <c r="M274" s="175" t="str">
        <f t="shared" si="27"/>
        <v/>
      </c>
      <c r="N274" s="175" t="str">
        <f t="shared" si="27"/>
        <v/>
      </c>
      <c r="O274" s="175" t="str">
        <f t="shared" si="27"/>
        <v/>
      </c>
      <c r="P274" s="175" t="str">
        <f t="shared" si="27"/>
        <v/>
      </c>
      <c r="Q274" s="175" t="str">
        <f t="shared" si="27"/>
        <v/>
      </c>
      <c r="R274" s="175" t="str">
        <f t="shared" si="27"/>
        <v/>
      </c>
      <c r="S274" s="175" t="str">
        <f t="shared" si="27"/>
        <v/>
      </c>
      <c r="T274" s="175" t="str">
        <f t="shared" si="27"/>
        <v/>
      </c>
      <c r="U274" s="175" t="str">
        <f t="shared" si="27"/>
        <v/>
      </c>
      <c r="V274" s="175" t="str">
        <f t="shared" si="27"/>
        <v/>
      </c>
      <c r="W274" s="175" t="str">
        <f t="shared" si="27"/>
        <v/>
      </c>
      <c r="X274" s="175" t="str">
        <f t="shared" si="27"/>
        <v/>
      </c>
      <c r="Y274" s="175" t="str">
        <f t="shared" si="27"/>
        <v/>
      </c>
      <c r="Z274" s="175" t="str">
        <f t="shared" si="27"/>
        <v/>
      </c>
      <c r="AA274" s="175" t="str">
        <f t="shared" si="27"/>
        <v/>
      </c>
      <c r="AB274" s="175" t="str">
        <f t="shared" si="27"/>
        <v/>
      </c>
      <c r="AC274" s="175" t="str">
        <f t="shared" si="27"/>
        <v/>
      </c>
      <c r="AD274" s="175" t="str">
        <f t="shared" si="27"/>
        <v/>
      </c>
      <c r="AE274" s="175" t="str">
        <f t="shared" si="27"/>
        <v/>
      </c>
      <c r="AF274" s="175" t="str">
        <f t="shared" si="27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358" priority="156">
      <formula>$AH11=0</formula>
    </cfRule>
  </conditionalFormatting>
  <conditionalFormatting sqref="B8 M8 S8 AB8">
    <cfRule type="expression" dxfId="357" priority="408">
      <formula>AND(C$9&gt;=14/24,C$9&lt;20/24)</formula>
    </cfRule>
    <cfRule type="expression" dxfId="356" priority="410">
      <formula>C$9&lt;8/24</formula>
    </cfRule>
    <cfRule type="expression" dxfId="355" priority="409">
      <formula>AND(C$9&gt;=8/24,C$9&lt;14/24)</formula>
    </cfRule>
  </conditionalFormatting>
  <conditionalFormatting sqref="B77:B91">
    <cfRule type="expression" dxfId="354" priority="80">
      <formula>B$9&lt;8/24</formula>
    </cfRule>
    <cfRule type="expression" dxfId="353" priority="79">
      <formula>AND(B$9&gt;=8/24,B$9&lt;14/24)</formula>
    </cfRule>
    <cfRule type="expression" dxfId="352" priority="77">
      <formula>B$9&gt;=20/24</formula>
    </cfRule>
    <cfRule type="expression" dxfId="351" priority="78">
      <formula>AND(B$9&gt;=14/24,B$9&lt;20/24)</formula>
    </cfRule>
  </conditionalFormatting>
  <conditionalFormatting sqref="B55:E60">
    <cfRule type="expression" dxfId="350" priority="114">
      <formula>AND(B$9&gt;=14/24,B$9&lt;20/24)</formula>
    </cfRule>
    <cfRule type="expression" dxfId="349" priority="113">
      <formula>B$9&gt;=20/24</formula>
    </cfRule>
    <cfRule type="expression" dxfId="348" priority="116">
      <formula>B$9&lt;8/24</formula>
    </cfRule>
    <cfRule type="expression" dxfId="347" priority="115">
      <formula>AND(B$9&gt;=8/24,B$9&lt;14/24)</formula>
    </cfRule>
  </conditionalFormatting>
  <conditionalFormatting sqref="B61:S66">
    <cfRule type="expression" dxfId="346" priority="68">
      <formula>B$9&gt;=20/24</formula>
    </cfRule>
    <cfRule type="expression" dxfId="345" priority="69">
      <formula>AND(B$9&gt;=14/24,B$9&lt;20/24)</formula>
    </cfRule>
    <cfRule type="expression" dxfId="344" priority="70">
      <formula>AND(B$9&gt;=8/24,B$9&lt;14/24)</formula>
    </cfRule>
    <cfRule type="expression" dxfId="343" priority="71">
      <formula>B$9&lt;8/24</formula>
    </cfRule>
  </conditionalFormatting>
  <conditionalFormatting sqref="B9:AF45">
    <cfRule type="expression" dxfId="342" priority="37">
      <formula>B$9&gt;=20/24</formula>
    </cfRule>
    <cfRule type="expression" dxfId="341" priority="38">
      <formula>AND(B$9&gt;=14/24,B$9&lt;20/24)</formula>
    </cfRule>
    <cfRule type="expression" dxfId="340" priority="39">
      <formula>AND(B$9&gt;=8/24,B$9&lt;14/24)</formula>
    </cfRule>
    <cfRule type="expression" dxfId="339" priority="40">
      <formula>B$9&lt;8/24</formula>
    </cfRule>
  </conditionalFormatting>
  <conditionalFormatting sqref="B11:AF46">
    <cfRule type="expression" dxfId="338" priority="35">
      <formula>B11&gt;$AG11</formula>
    </cfRule>
  </conditionalFormatting>
  <conditionalFormatting sqref="B46:AF46">
    <cfRule type="expression" dxfId="337" priority="33">
      <formula>AND(B$9&gt;=8/24,B$9&lt;14/24)</formula>
    </cfRule>
    <cfRule type="expression" dxfId="336" priority="34">
      <formula>B$9&lt;8/24</formula>
    </cfRule>
    <cfRule type="expression" dxfId="335" priority="32">
      <formula>AND(B$9&gt;=14/24,B$9&lt;20/24)</formula>
    </cfRule>
    <cfRule type="expression" dxfId="334" priority="31">
      <formula>B$9&gt;=20/24</formula>
    </cfRule>
  </conditionalFormatting>
  <conditionalFormatting sqref="B47:AF47">
    <cfRule type="expression" dxfId="333" priority="66">
      <formula>B47&gt;$AG47</formula>
    </cfRule>
  </conditionalFormatting>
  <conditionalFormatting sqref="B47:AF49">
    <cfRule type="expression" dxfId="332" priority="53">
      <formula>B$9&gt;=20/24</formula>
    </cfRule>
    <cfRule type="expression" dxfId="331" priority="54">
      <formula>AND(B$9&gt;=14/24,B$9&lt;20/24)</formula>
    </cfRule>
    <cfRule type="expression" dxfId="330" priority="55">
      <formula>AND(B$9&gt;=8/24,B$9&lt;14/24)</formula>
    </cfRule>
    <cfRule type="expression" dxfId="329" priority="56">
      <formula>B$9&lt;8/24</formula>
    </cfRule>
  </conditionalFormatting>
  <conditionalFormatting sqref="B48:AF53">
    <cfRule type="expression" dxfId="328" priority="51">
      <formula>B48&gt;$AG48</formula>
    </cfRule>
  </conditionalFormatting>
  <conditionalFormatting sqref="B51:AF53">
    <cfRule type="expression" dxfId="327" priority="104">
      <formula>B$9&gt;=20/24</formula>
    </cfRule>
    <cfRule type="expression" dxfId="326" priority="105">
      <formula>AND(B$9&gt;=14/24,B$9&lt;20/24)</formula>
    </cfRule>
    <cfRule type="expression" dxfId="325" priority="106">
      <formula>AND(B$9&gt;=8/24,B$9&lt;14/24)</formula>
    </cfRule>
    <cfRule type="expression" dxfId="324" priority="107">
      <formula>B$9&lt;8/24</formula>
    </cfRule>
  </conditionalFormatting>
  <conditionalFormatting sqref="B55:AF66">
    <cfRule type="expression" dxfId="323" priority="67">
      <formula>B55&gt;$AG55</formula>
    </cfRule>
  </conditionalFormatting>
  <conditionalFormatting sqref="B69:AF71 B73:E76">
    <cfRule type="expression" dxfId="322" priority="125">
      <formula>B$9&lt;8/24</formula>
    </cfRule>
  </conditionalFormatting>
  <conditionalFormatting sqref="B69:AF71 B74:E76">
    <cfRule type="expression" dxfId="321" priority="124">
      <formula>AND(B$9&gt;=8/24,B$9&lt;14/24)</formula>
    </cfRule>
    <cfRule type="expression" dxfId="320" priority="123">
      <formula>AND(B$9&gt;=14/24,B$9&lt;20/24)</formula>
    </cfRule>
    <cfRule type="expression" dxfId="319" priority="122">
      <formula>B$9&gt;=20/24</formula>
    </cfRule>
  </conditionalFormatting>
  <conditionalFormatting sqref="B69:AF71">
    <cfRule type="expression" dxfId="318" priority="121">
      <formula>B69&gt;$AG69</formula>
    </cfRule>
  </conditionalFormatting>
  <conditionalFormatting sqref="B73:AF73">
    <cfRule type="expression" dxfId="317" priority="15">
      <formula>AND(B$9&gt;=8/24,B$9&lt;14/24)</formula>
    </cfRule>
    <cfRule type="expression" dxfId="316" priority="14">
      <formula>AND(B$9&gt;=14/24,B$9&lt;20/24)</formula>
    </cfRule>
    <cfRule type="expression" dxfId="315" priority="13">
      <formula>B$9&gt;=20/24</formula>
    </cfRule>
  </conditionalFormatting>
  <conditionalFormatting sqref="B111:AF120">
    <cfRule type="expression" dxfId="314" priority="27">
      <formula>B$9&gt;=20/24</formula>
    </cfRule>
    <cfRule type="expression" dxfId="313" priority="28">
      <formula>AND(B$9&gt;=14/24,B$9&lt;20/24)</formula>
    </cfRule>
    <cfRule type="expression" dxfId="312" priority="29">
      <formula>AND(B$9&gt;=8/24,B$9&lt;14/24)</formula>
    </cfRule>
    <cfRule type="expression" dxfId="311" priority="30">
      <formula>B$9&lt;8/24</formula>
    </cfRule>
  </conditionalFormatting>
  <conditionalFormatting sqref="B227:AF227 D229:AF230 B229:B235 D231:H231 J231:AF231 D232:AF235 U248:AF248">
    <cfRule type="expression" dxfId="310" priority="403">
      <formula>AND(B$9&gt;=8/24,B$9&lt;14/24)</formula>
    </cfRule>
    <cfRule type="expression" dxfId="309" priority="402">
      <formula>AND(B$9&gt;=14/24,B$9&lt;20/24)</formula>
    </cfRule>
    <cfRule type="expression" dxfId="308" priority="401">
      <formula>B$9&gt;=20/24</formula>
    </cfRule>
    <cfRule type="expression" dxfId="307" priority="404">
      <formula>B$9&lt;8/24</formula>
    </cfRule>
  </conditionalFormatting>
  <conditionalFormatting sqref="B54:AG54">
    <cfRule type="expression" dxfId="306" priority="75">
      <formula>AND(B$9&gt;=8/24,B$9&lt;14/24)</formula>
    </cfRule>
    <cfRule type="expression" dxfId="305" priority="73">
      <formula>B$9&gt;=20/24</formula>
    </cfRule>
    <cfRule type="expression" dxfId="304" priority="72">
      <formula>B54&gt;$AG54</formula>
    </cfRule>
    <cfRule type="expression" dxfId="303" priority="74">
      <formula>AND(B$9&gt;=14/24,B$9&lt;20/24)</formula>
    </cfRule>
    <cfRule type="expression" dxfId="302" priority="76">
      <formula>B$9&lt;8/24</formula>
    </cfRule>
  </conditionalFormatting>
  <conditionalFormatting sqref="B67:AG68 B72:AG72">
    <cfRule type="expression" dxfId="301" priority="81">
      <formula>B67&gt;$AG67</formula>
    </cfRule>
  </conditionalFormatting>
  <conditionalFormatting sqref="B72:AG72 B93:AF109">
    <cfRule type="expression" dxfId="300" priority="84">
      <formula>AND(B$9&gt;=8/24,B$9&lt;14/24)</formula>
    </cfRule>
    <cfRule type="expression" dxfId="299" priority="83">
      <formula>AND(B$9&gt;=14/24,B$9&lt;20/24)</formula>
    </cfRule>
    <cfRule type="expression" dxfId="298" priority="82">
      <formula>B$9&gt;=20/24</formula>
    </cfRule>
    <cfRule type="expression" dxfId="297" priority="85">
      <formula>B$9&lt;8/24</formula>
    </cfRule>
  </conditionalFormatting>
  <conditionalFormatting sqref="C77:T78">
    <cfRule type="expression" dxfId="296" priority="188">
      <formula>C$9&gt;=20/24</formula>
    </cfRule>
    <cfRule type="expression" dxfId="295" priority="189">
      <formula>AND(C$9&gt;=14/24,C$9&lt;20/24)</formula>
    </cfRule>
    <cfRule type="expression" dxfId="294" priority="190">
      <formula>AND(C$9&gt;=8/24,C$9&lt;14/24)</formula>
    </cfRule>
    <cfRule type="expression" dxfId="293" priority="191">
      <formula>C$9&lt;8/24</formula>
    </cfRule>
  </conditionalFormatting>
  <conditionalFormatting sqref="C79:AF91">
    <cfRule type="expression" dxfId="292" priority="178">
      <formula>C$9&gt;=20/24</formula>
    </cfRule>
    <cfRule type="expression" dxfId="291" priority="179">
      <formula>AND(C$9&gt;=14/24,C$9&lt;20/24)</formula>
    </cfRule>
    <cfRule type="expression" dxfId="290" priority="181">
      <formula>C$9&lt;8/24</formula>
    </cfRule>
    <cfRule type="expression" dxfId="289" priority="180">
      <formula>AND(C$9&gt;=8/24,C$9&lt;14/24)</formula>
    </cfRule>
  </conditionalFormatting>
  <conditionalFormatting sqref="F55:S57">
    <cfRule type="expression" dxfId="288" priority="342">
      <formula>F$9&lt;8/24</formula>
    </cfRule>
    <cfRule type="expression" dxfId="287" priority="340">
      <formula>AND(F$9&gt;=14/24,F$9&lt;20/24)</formula>
    </cfRule>
    <cfRule type="expression" dxfId="286" priority="339">
      <formula>F$9&gt;=20/24</formula>
    </cfRule>
    <cfRule type="expression" dxfId="285" priority="341">
      <formula>AND(F$9&gt;=8/24,F$9&lt;14/24)</formula>
    </cfRule>
  </conditionalFormatting>
  <conditionalFormatting sqref="F60:S60">
    <cfRule type="expression" dxfId="284" priority="196">
      <formula>F$9&lt;8/24</formula>
    </cfRule>
    <cfRule type="expression" dxfId="283" priority="193">
      <formula>F$9&gt;=20/24</formula>
    </cfRule>
    <cfRule type="expression" dxfId="282" priority="194">
      <formula>AND(F$9&gt;=14/24,F$9&lt;20/24)</formula>
    </cfRule>
    <cfRule type="expression" dxfId="281" priority="195">
      <formula>AND(F$9&gt;=8/24,F$9&lt;14/24)</formula>
    </cfRule>
  </conditionalFormatting>
  <conditionalFormatting sqref="F76:T76">
    <cfRule type="expression" dxfId="280" priority="210">
      <formula>F$9&lt;8/24</formula>
    </cfRule>
    <cfRule type="expression" dxfId="279" priority="209">
      <formula>AND(F$9&gt;=8/24,F$9&lt;14/24)</formula>
    </cfRule>
    <cfRule type="expression" dxfId="278" priority="208">
      <formula>AND(F$9&gt;=14/24,F$9&lt;20/24)</formula>
    </cfRule>
    <cfRule type="expression" dxfId="277" priority="207">
      <formula>F$9&gt;=20/24</formula>
    </cfRule>
  </conditionalFormatting>
  <conditionalFormatting sqref="F73:AF73">
    <cfRule type="expression" dxfId="276" priority="16">
      <formula>F$9&lt;8/24</formula>
    </cfRule>
  </conditionalFormatting>
  <conditionalFormatting sqref="F74:AF75">
    <cfRule type="expression" dxfId="275" priority="362">
      <formula>F$9&gt;=20/24</formula>
    </cfRule>
    <cfRule type="expression" dxfId="274" priority="363">
      <formula>AND(F$9&gt;=14/24,F$9&lt;20/24)</formula>
    </cfRule>
    <cfRule type="expression" dxfId="273" priority="364">
      <formula>AND(F$9&gt;=8/24,F$9&lt;14/24)</formula>
    </cfRule>
    <cfRule type="expression" dxfId="272" priority="365">
      <formula>F$9&lt;8/24</formula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71" priority="407">
      <formula>C$9&gt;=20/24</formula>
    </cfRule>
  </conditionalFormatting>
  <conditionalFormatting sqref="S8">
    <cfRule type="expression" dxfId="270" priority="380">
      <formula>U$9&gt;=20/24</formula>
    </cfRule>
    <cfRule type="expression" dxfId="269" priority="383">
      <formula>U$9&lt;8/24</formula>
    </cfRule>
    <cfRule type="expression" dxfId="268" priority="382">
      <formula>AND(U$9&gt;=8/24,U$9&lt;14/24)</formula>
    </cfRule>
    <cfRule type="expression" dxfId="267" priority="381">
      <formula>AND(U$9&gt;=14/24,U$9&lt;20/24)</formula>
    </cfRule>
  </conditionalFormatting>
  <conditionalFormatting sqref="T248">
    <cfRule type="expression" dxfId="266" priority="423">
      <formula>AX$9&lt;8/24</formula>
    </cfRule>
    <cfRule type="expression" dxfId="265" priority="422">
      <formula>AND(AX$9&gt;=8/24,AX$9&lt;14/24)</formula>
    </cfRule>
    <cfRule type="expression" dxfId="264" priority="421">
      <formula>AND(AX$9&gt;=14/24,AX$9&lt;20/24)</formula>
    </cfRule>
    <cfRule type="expression" dxfId="263" priority="420">
      <formula>AX$9&gt;=20/24</formula>
    </cfRule>
  </conditionalFormatting>
  <conditionalFormatting sqref="T55:AF66">
    <cfRule type="expression" dxfId="262" priority="186">
      <formula>T$9&lt;8/24</formula>
    </cfRule>
    <cfRule type="expression" dxfId="261" priority="185">
      <formula>AND(T$9&gt;=8/24,T$9&lt;14/24)</formula>
    </cfRule>
    <cfRule type="expression" dxfId="260" priority="184">
      <formula>AND(T$9&gt;=14/24,T$9&lt;20/24)</formula>
    </cfRule>
    <cfRule type="expression" dxfId="259" priority="183">
      <formula>T$9&gt;=20/24</formula>
    </cfRule>
  </conditionalFormatting>
  <conditionalFormatting sqref="U76:AF78">
    <cfRule type="expression" dxfId="258" priority="271">
      <formula>U$9&gt;=20/24</formula>
    </cfRule>
    <cfRule type="expression" dxfId="257" priority="272">
      <formula>AND(U$9&gt;=14/24,U$9&lt;20/24)</formula>
    </cfRule>
    <cfRule type="expression" dxfId="256" priority="273">
      <formula>AND(U$9&gt;=8/24,U$9&lt;14/24)</formula>
    </cfRule>
    <cfRule type="expression" dxfId="255" priority="274">
      <formula>U$9&lt;8/24</formula>
    </cfRule>
  </conditionalFormatting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54" priority="379">
      <formula>AD$9&lt;8/24</formula>
    </cfRule>
    <cfRule type="expression" dxfId="253" priority="377">
      <formula>AND(AD$9&gt;=14/24,AD$9&lt;20/24)</formula>
    </cfRule>
    <cfRule type="expression" dxfId="252" priority="376">
      <formula>AD$9&gt;=20/24</formula>
    </cfRule>
    <cfRule type="expression" dxfId="251" priority="378">
      <formula>AND(AD$9&gt;=8/24,AD$9&lt;14/24)</formula>
    </cfRule>
  </conditionalFormatting>
  <conditionalFormatting sqref="AG50">
    <cfRule type="expression" dxfId="250" priority="333">
      <formula>AG50&gt;$AG50</formula>
    </cfRule>
  </conditionalFormatting>
  <conditionalFormatting sqref="AG89">
    <cfRule type="expression" dxfId="249" priority="337">
      <formula>AG$9&lt;8/24</formula>
    </cfRule>
    <cfRule type="expression" dxfId="248" priority="336">
      <formula>AND(AG$9&gt;=8/24,AG$9&lt;14/24)</formula>
    </cfRule>
    <cfRule type="expression" dxfId="247" priority="335">
      <formula>AND(AG$9&gt;=14/24,AG$9&lt;20/24)</formula>
    </cfRule>
    <cfRule type="expression" dxfId="246" priority="334">
      <formula>AG$9&gt;=20/24</formula>
    </cfRule>
  </conditionalFormatting>
  <conditionalFormatting sqref="AG248">
    <cfRule type="expression" dxfId="245" priority="413">
      <formula>AND(B$9&gt;=14/24,B$9&lt;20/24)</formula>
    </cfRule>
    <cfRule type="expression" dxfId="244" priority="414">
      <formula>AND(B$9&gt;=8/24,B$9&lt;14/24)</formula>
    </cfRule>
    <cfRule type="expression" dxfId="243" priority="415">
      <formula>B$9&lt;8/24</formula>
    </cfRule>
    <cfRule type="expression" dxfId="242" priority="412">
      <formula>B$9&gt;=20/24</formula>
    </cfRule>
  </conditionalFormatting>
  <conditionalFormatting sqref="AH248:AX248">
    <cfRule type="expression" dxfId="241" priority="416">
      <formula>AG$9&gt;=20/24</formula>
    </cfRule>
    <cfRule type="expression" dxfId="240" priority="417">
      <formula>AND(AG$9&gt;=14/24,AG$9&lt;20/24)</formula>
    </cfRule>
    <cfRule type="expression" dxfId="239" priority="418">
      <formula>AND(AG$9&gt;=8/24,AG$9&lt;14/24)</formula>
    </cfRule>
    <cfRule type="expression" dxfId="238" priority="419">
      <formula>AG$9&lt;8/24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237" priority="428">
      <formula>AJ$9&lt;8/24</formula>
    </cfRule>
    <cfRule type="expression" dxfId="236" priority="425">
      <formula>AJ$9&gt;=20/24</formula>
    </cfRule>
    <cfRule type="expression" dxfId="235" priority="426">
      <formula>AND(AJ$9&gt;=14/24,AJ$9&lt;20/24)</formula>
    </cfRule>
    <cfRule type="expression" dxfId="234" priority="427">
      <formula>AND(AJ$9&gt;=8/24,AJ$9&lt;14/24)</formula>
    </cfRule>
  </conditionalFormatting>
  <conditionalFormatting sqref="AL80:AN80 AL86:AN86">
    <cfRule type="expression" dxfId="233" priority="228">
      <formula>AL$9&lt;8/24</formula>
    </cfRule>
    <cfRule type="expression" dxfId="232" priority="227">
      <formula>AND(AL$9&gt;=8/24,AL$9&lt;14/24)</formula>
    </cfRule>
    <cfRule type="expression" dxfId="231" priority="226">
      <formula>AND(AL$9&gt;=14/24,AL$9&lt;20/24)</formula>
    </cfRule>
    <cfRule type="expression" dxfId="230" priority="225">
      <formula>AL$9&gt;=20/24</formula>
    </cfRule>
  </conditionalFormatting>
  <conditionalFormatting sqref="AN81:AN84">
    <cfRule type="expression" dxfId="229" priority="223">
      <formula>AND(AN$9&gt;=8/24,AN$9&lt;14/24)</formula>
    </cfRule>
    <cfRule type="expression" dxfId="228" priority="222">
      <formula>AND(AN$9&gt;=14/24,AN$9&lt;20/24)</formula>
    </cfRule>
    <cfRule type="expression" dxfId="227" priority="224">
      <formula>AN$9&lt;8/24</formula>
    </cfRule>
    <cfRule type="expression" dxfId="226" priority="221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C0B7-584D-41A1-B2D2-004DD50B349A}">
  <dimension ref="A1:CJ281"/>
  <sheetViews>
    <sheetView zoomScaleNormal="100" workbookViewId="0">
      <pane xSplit="1" ySplit="10" topLeftCell="B58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F73" sqref="AF7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5" width="6.85546875" style="1" customWidth="1"/>
    <col min="26" max="26" width="9.85546875" style="1" customWidth="1"/>
    <col min="27" max="27" width="9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2080/03/22</v>
      </c>
      <c r="C4" s="187"/>
      <c r="D4" s="187"/>
      <c r="E4" s="188" t="str">
        <f ca="1">"2079/"&amp;"12/"&amp;INT(MID(CELL("filename",G6),FIND("]",CELL("filename",G6))+1,200))</f>
        <v>2079/12/22</v>
      </c>
      <c r="F4" s="188"/>
      <c r="G4" s="188"/>
      <c r="H4" s="188" t="str">
        <f ca="1">TEXT(E4,"dddd")</f>
        <v>Friday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35.4</v>
      </c>
      <c r="C5" s="30">
        <f t="shared" si="0"/>
        <v>32.5</v>
      </c>
      <c r="D5" s="30">
        <f t="shared" si="0"/>
        <v>32.200000000000003</v>
      </c>
      <c r="E5" s="30">
        <f t="shared" si="0"/>
        <v>38</v>
      </c>
      <c r="F5" s="30">
        <f t="shared" si="0"/>
        <v>28.8</v>
      </c>
      <c r="G5" s="30">
        <f t="shared" si="0"/>
        <v>28.4</v>
      </c>
      <c r="H5" s="30">
        <f t="shared" si="0"/>
        <v>21</v>
      </c>
      <c r="I5" s="30">
        <f t="shared" si="0"/>
        <v>57.52</v>
      </c>
      <c r="J5" s="30">
        <f t="shared" si="0"/>
        <v>58</v>
      </c>
      <c r="K5" s="30">
        <f t="shared" si="0"/>
        <v>55</v>
      </c>
      <c r="L5" s="30">
        <f t="shared" si="0"/>
        <v>42.6</v>
      </c>
      <c r="M5" s="30">
        <f t="shared" si="0"/>
        <v>41.9</v>
      </c>
      <c r="N5" s="30">
        <f t="shared" si="0"/>
        <v>45.7</v>
      </c>
      <c r="O5" s="30">
        <f t="shared" si="0"/>
        <v>44.5</v>
      </c>
      <c r="P5" s="30">
        <f t="shared" si="0"/>
        <v>32.700000000000003</v>
      </c>
      <c r="Q5" s="30">
        <f t="shared" si="0"/>
        <v>23</v>
      </c>
      <c r="R5" s="30">
        <f t="shared" si="0"/>
        <v>22.1</v>
      </c>
      <c r="S5" s="30">
        <f t="shared" si="0"/>
        <v>47.7</v>
      </c>
      <c r="T5" s="30">
        <f t="shared" si="0"/>
        <v>30</v>
      </c>
      <c r="U5" s="30">
        <f t="shared" si="0"/>
        <v>30</v>
      </c>
      <c r="V5" s="30">
        <f t="shared" si="0"/>
        <v>30</v>
      </c>
      <c r="W5" s="30">
        <f t="shared" si="0"/>
        <v>28.3</v>
      </c>
      <c r="X5" s="30">
        <f t="shared" si="0"/>
        <v>35.5</v>
      </c>
      <c r="Y5" s="30">
        <f t="shared" si="0"/>
        <v>48</v>
      </c>
      <c r="Z5" s="30">
        <f t="shared" si="0"/>
        <v>53</v>
      </c>
      <c r="AA5" s="30">
        <f t="shared" si="0"/>
        <v>64.2</v>
      </c>
      <c r="AB5" s="30">
        <f t="shared" si="0"/>
        <v>73.599999999999994</v>
      </c>
      <c r="AC5" s="30">
        <f t="shared" si="0"/>
        <v>65.400000000000006</v>
      </c>
      <c r="AD5" s="30">
        <f t="shared" si="0"/>
        <v>65.599999999999994</v>
      </c>
      <c r="AE5" s="30">
        <f t="shared" si="0"/>
        <v>67.599999999999994</v>
      </c>
      <c r="AF5" s="30">
        <f>B84</f>
        <v>49.5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2071MW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Load=1952</v>
      </c>
      <c r="B7" s="35">
        <f t="shared" ref="B7:AF7" si="1">B91</f>
        <v>1951.94</v>
      </c>
      <c r="C7" s="35">
        <f t="shared" si="1"/>
        <v>1969.94</v>
      </c>
      <c r="D7" s="35">
        <f t="shared" si="1"/>
        <v>1969.2399999999998</v>
      </c>
      <c r="E7" s="35">
        <f t="shared" si="1"/>
        <v>1971.9399999999998</v>
      </c>
      <c r="F7" s="35">
        <f t="shared" si="1"/>
        <v>1967.44</v>
      </c>
      <c r="G7" s="35">
        <f t="shared" si="1"/>
        <v>1956.24</v>
      </c>
      <c r="H7" s="35">
        <f t="shared" si="1"/>
        <v>1961.14</v>
      </c>
      <c r="I7" s="35">
        <f t="shared" si="1"/>
        <v>1961.7399999999998</v>
      </c>
      <c r="J7" s="35">
        <f t="shared" si="1"/>
        <v>2015.2599999999998</v>
      </c>
      <c r="K7" s="35">
        <f t="shared" si="1"/>
        <v>2011.3400000000001</v>
      </c>
      <c r="L7" s="35">
        <f t="shared" si="1"/>
        <v>2071.34</v>
      </c>
      <c r="M7" s="35">
        <f t="shared" si="1"/>
        <v>2046.8399999999997</v>
      </c>
      <c r="N7" s="35">
        <f>N91</f>
        <v>2044.44</v>
      </c>
      <c r="O7" s="35">
        <f t="shared" si="1"/>
        <v>2058.9399999999996</v>
      </c>
      <c r="P7" s="35">
        <f t="shared" si="1"/>
        <v>2058.64</v>
      </c>
      <c r="Q7" s="35">
        <f t="shared" si="1"/>
        <v>2005.54</v>
      </c>
      <c r="R7" s="35">
        <f t="shared" si="1"/>
        <v>2002.6399999999999</v>
      </c>
      <c r="S7" s="35">
        <f t="shared" si="1"/>
        <v>2054.7399999999998</v>
      </c>
      <c r="T7" s="35">
        <f t="shared" si="1"/>
        <v>2136.64</v>
      </c>
      <c r="U7" s="35">
        <f t="shared" si="1"/>
        <v>2080.94</v>
      </c>
      <c r="V7" s="35">
        <f t="shared" si="1"/>
        <v>2045.74</v>
      </c>
      <c r="W7" s="35">
        <f t="shared" si="1"/>
        <v>2042.74</v>
      </c>
      <c r="X7" s="35">
        <f t="shared" si="1"/>
        <v>2002.1399999999999</v>
      </c>
      <c r="Y7" s="35">
        <f t="shared" si="1"/>
        <v>2009.34</v>
      </c>
      <c r="Z7" s="35">
        <f t="shared" si="1"/>
        <v>2463.94</v>
      </c>
      <c r="AA7" s="35">
        <f t="shared" si="1"/>
        <v>2074.2399999999998</v>
      </c>
      <c r="AB7" s="35">
        <f t="shared" si="1"/>
        <v>2085.2400000000002</v>
      </c>
      <c r="AC7" s="35">
        <f t="shared" si="1"/>
        <v>2094.1400000000003</v>
      </c>
      <c r="AD7" s="35">
        <f t="shared" si="1"/>
        <v>2075.5400000000004</v>
      </c>
      <c r="AE7" s="35">
        <f t="shared" si="1"/>
        <v>2019.74</v>
      </c>
      <c r="AF7" s="35">
        <f t="shared" si="1"/>
        <v>1993.0400000000002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60.2</v>
      </c>
      <c r="C11" s="45">
        <v>60.2</v>
      </c>
      <c r="D11" s="45">
        <v>60.2</v>
      </c>
      <c r="E11" s="45">
        <v>60.2</v>
      </c>
      <c r="F11" s="45">
        <v>60.2</v>
      </c>
      <c r="G11" s="45">
        <v>60.2</v>
      </c>
      <c r="H11" s="45">
        <v>60.2</v>
      </c>
      <c r="I11" s="45">
        <v>60.2</v>
      </c>
      <c r="J11" s="45">
        <v>60.2</v>
      </c>
      <c r="K11" s="45">
        <v>60.2</v>
      </c>
      <c r="L11" s="45">
        <v>60.2</v>
      </c>
      <c r="M11" s="45">
        <v>60.2</v>
      </c>
      <c r="N11" s="45">
        <v>60.2</v>
      </c>
      <c r="O11" s="45">
        <v>60.2</v>
      </c>
      <c r="P11" s="45">
        <v>60.2</v>
      </c>
      <c r="Q11" s="45">
        <v>60.2</v>
      </c>
      <c r="R11" s="45">
        <v>60.2</v>
      </c>
      <c r="S11" s="45">
        <v>60.2</v>
      </c>
      <c r="T11" s="45">
        <v>60.2</v>
      </c>
      <c r="U11" s="45">
        <v>60.2</v>
      </c>
      <c r="V11" s="45">
        <v>60.2</v>
      </c>
      <c r="W11" s="45">
        <v>60.2</v>
      </c>
      <c r="X11" s="45">
        <v>60.2</v>
      </c>
      <c r="Y11" s="45">
        <v>60.2</v>
      </c>
      <c r="Z11" s="45">
        <v>60.2</v>
      </c>
      <c r="AA11" s="45">
        <v>60.2</v>
      </c>
      <c r="AB11" s="45">
        <v>60.3</v>
      </c>
      <c r="AC11" s="45">
        <v>60.3</v>
      </c>
      <c r="AD11" s="45">
        <v>60.3</v>
      </c>
      <c r="AE11" s="45">
        <v>60.3</v>
      </c>
      <c r="AF11" s="45">
        <v>60.3</v>
      </c>
      <c r="AG11" s="46">
        <v>86</v>
      </c>
      <c r="AH11" s="47">
        <f t="shared" ref="AH11:AH76" si="2">MAX(B11:AF11)</f>
        <v>60.3</v>
      </c>
      <c r="AI11" s="48">
        <f t="shared" ref="AI11:AI76" si="3">MIN(B11:AF11)</f>
        <v>60.2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26</v>
      </c>
      <c r="C12" s="45">
        <v>26</v>
      </c>
      <c r="D12" s="45">
        <v>26</v>
      </c>
      <c r="E12" s="45">
        <v>26</v>
      </c>
      <c r="F12" s="45">
        <v>26</v>
      </c>
      <c r="G12" s="45">
        <v>26</v>
      </c>
      <c r="H12" s="45">
        <v>26</v>
      </c>
      <c r="I12" s="45">
        <v>26</v>
      </c>
      <c r="J12" s="45">
        <v>26</v>
      </c>
      <c r="K12" s="45">
        <v>26</v>
      </c>
      <c r="L12" s="45">
        <v>26</v>
      </c>
      <c r="M12" s="45">
        <v>26</v>
      </c>
      <c r="N12" s="45">
        <v>26</v>
      </c>
      <c r="O12" s="45">
        <v>26</v>
      </c>
      <c r="P12" s="45">
        <v>26</v>
      </c>
      <c r="Q12" s="45">
        <v>26</v>
      </c>
      <c r="R12" s="45">
        <v>26</v>
      </c>
      <c r="S12" s="45">
        <v>26</v>
      </c>
      <c r="T12" s="45">
        <v>26</v>
      </c>
      <c r="U12" s="45">
        <v>26</v>
      </c>
      <c r="V12" s="45">
        <v>26</v>
      </c>
      <c r="W12" s="45">
        <v>26</v>
      </c>
      <c r="X12" s="45">
        <v>16</v>
      </c>
      <c r="Y12" s="45">
        <v>16</v>
      </c>
      <c r="Z12" s="45">
        <v>16</v>
      </c>
      <c r="AA12" s="45">
        <v>26</v>
      </c>
      <c r="AB12" s="45">
        <v>26</v>
      </c>
      <c r="AC12" s="45">
        <v>26</v>
      </c>
      <c r="AD12" s="45">
        <v>26</v>
      </c>
      <c r="AE12" s="45">
        <v>26</v>
      </c>
      <c r="AF12" s="45">
        <v>26</v>
      </c>
      <c r="AG12" s="49">
        <v>54</v>
      </c>
      <c r="AH12" s="47">
        <f t="shared" si="2"/>
        <v>26</v>
      </c>
      <c r="AI12" s="48">
        <f t="shared" si="3"/>
        <v>16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54.6</v>
      </c>
      <c r="C13" s="45">
        <v>54.6</v>
      </c>
      <c r="D13" s="45">
        <v>54.6</v>
      </c>
      <c r="E13" s="45">
        <v>54.6</v>
      </c>
      <c r="F13" s="45">
        <v>54.6</v>
      </c>
      <c r="G13" s="45">
        <v>54.6</v>
      </c>
      <c r="H13" s="45">
        <v>54.6</v>
      </c>
      <c r="I13" s="45">
        <v>54.6</v>
      </c>
      <c r="J13" s="45">
        <v>54.6</v>
      </c>
      <c r="K13" s="45">
        <v>54.6</v>
      </c>
      <c r="L13" s="45">
        <v>54.6</v>
      </c>
      <c r="M13" s="45">
        <v>54.6</v>
      </c>
      <c r="N13" s="45">
        <v>54.6</v>
      </c>
      <c r="O13" s="45">
        <v>54.6</v>
      </c>
      <c r="P13" s="45">
        <v>54.6</v>
      </c>
      <c r="Q13" s="45">
        <v>54.6</v>
      </c>
      <c r="R13" s="45">
        <v>54.6</v>
      </c>
      <c r="S13" s="45">
        <v>54.8</v>
      </c>
      <c r="T13" s="45">
        <v>54.8</v>
      </c>
      <c r="U13" s="45">
        <v>54.8</v>
      </c>
      <c r="V13" s="45">
        <v>54.8</v>
      </c>
      <c r="W13" s="45">
        <v>54.8</v>
      </c>
      <c r="X13" s="45">
        <v>54.8</v>
      </c>
      <c r="Y13" s="45">
        <v>54.8</v>
      </c>
      <c r="Z13" s="45">
        <v>54.8</v>
      </c>
      <c r="AA13" s="45">
        <v>54.8</v>
      </c>
      <c r="AB13" s="45">
        <v>54.6</v>
      </c>
      <c r="AC13" s="45">
        <v>54.6</v>
      </c>
      <c r="AD13" s="45">
        <v>54.6</v>
      </c>
      <c r="AE13" s="45">
        <v>54.6</v>
      </c>
      <c r="AF13" s="45">
        <v>54.6</v>
      </c>
      <c r="AG13" s="46">
        <v>52.4</v>
      </c>
      <c r="AH13" s="47">
        <f t="shared" si="2"/>
        <v>54.8</v>
      </c>
      <c r="AI13" s="48">
        <f t="shared" si="3"/>
        <v>54.6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50.8</v>
      </c>
      <c r="C14" s="50">
        <v>50.8</v>
      </c>
      <c r="D14" s="50">
        <v>50.8</v>
      </c>
      <c r="E14" s="50">
        <v>50.8</v>
      </c>
      <c r="F14" s="50">
        <v>50.8</v>
      </c>
      <c r="G14" s="50">
        <v>50.8</v>
      </c>
      <c r="H14" s="50">
        <v>50.8</v>
      </c>
      <c r="I14" s="50">
        <v>50.8</v>
      </c>
      <c r="J14" s="50">
        <v>50.8</v>
      </c>
      <c r="K14" s="50">
        <v>50.8</v>
      </c>
      <c r="L14" s="50">
        <v>50.8</v>
      </c>
      <c r="M14" s="50">
        <v>50.8</v>
      </c>
      <c r="N14" s="50">
        <v>50.8</v>
      </c>
      <c r="O14" s="50">
        <v>50.8</v>
      </c>
      <c r="P14" s="50">
        <v>50.8</v>
      </c>
      <c r="Q14" s="50">
        <v>50.8</v>
      </c>
      <c r="R14" s="50">
        <v>50.8</v>
      </c>
      <c r="S14" s="50">
        <v>50.6</v>
      </c>
      <c r="T14" s="50">
        <v>50.6</v>
      </c>
      <c r="U14" s="50">
        <v>50.6</v>
      </c>
      <c r="V14" s="50">
        <v>50.6</v>
      </c>
      <c r="W14" s="50">
        <v>50.6</v>
      </c>
      <c r="X14" s="50">
        <v>50.3</v>
      </c>
      <c r="Y14" s="50">
        <v>50.3</v>
      </c>
      <c r="Z14" s="50">
        <v>50.3</v>
      </c>
      <c r="AA14" s="50">
        <v>50.3</v>
      </c>
      <c r="AB14" s="45">
        <v>50.4</v>
      </c>
      <c r="AC14" s="45">
        <v>50.5</v>
      </c>
      <c r="AD14" s="45">
        <v>50.5</v>
      </c>
      <c r="AE14" s="45">
        <v>50.5</v>
      </c>
      <c r="AF14" s="45">
        <v>50.5</v>
      </c>
      <c r="AG14" s="49">
        <v>50</v>
      </c>
      <c r="AH14" s="47">
        <f t="shared" si="2"/>
        <v>50.8</v>
      </c>
      <c r="AI14" s="48">
        <f t="shared" si="3"/>
        <v>50.3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45.9</v>
      </c>
      <c r="C15" s="45">
        <v>45.9</v>
      </c>
      <c r="D15" s="45">
        <v>45.9</v>
      </c>
      <c r="E15" s="45">
        <v>45.9</v>
      </c>
      <c r="F15" s="45">
        <v>45.9</v>
      </c>
      <c r="G15" s="45">
        <v>45.9</v>
      </c>
      <c r="H15" s="45">
        <v>45.9</v>
      </c>
      <c r="I15" s="45">
        <v>45.9</v>
      </c>
      <c r="J15" s="45">
        <v>45.9</v>
      </c>
      <c r="K15" s="45">
        <v>45.9</v>
      </c>
      <c r="L15" s="45">
        <v>45.9</v>
      </c>
      <c r="M15" s="45">
        <v>45.6</v>
      </c>
      <c r="N15" s="45">
        <v>45.6</v>
      </c>
      <c r="O15" s="45">
        <v>45.6</v>
      </c>
      <c r="P15" s="45">
        <v>45.6</v>
      </c>
      <c r="Q15" s="45">
        <v>45.6</v>
      </c>
      <c r="R15" s="45">
        <v>45.6</v>
      </c>
      <c r="S15" s="45">
        <v>45.6</v>
      </c>
      <c r="T15" s="45">
        <v>45.6</v>
      </c>
      <c r="U15" s="45">
        <v>45.6</v>
      </c>
      <c r="V15" s="45">
        <v>45.6</v>
      </c>
      <c r="W15" s="45">
        <v>45.6</v>
      </c>
      <c r="X15" s="45">
        <v>45.8</v>
      </c>
      <c r="Y15" s="45">
        <v>45.8</v>
      </c>
      <c r="Z15" s="45">
        <v>45.8</v>
      </c>
      <c r="AA15" s="45">
        <v>45.8</v>
      </c>
      <c r="AB15" s="45">
        <v>45.8</v>
      </c>
      <c r="AC15" s="45">
        <v>45.9</v>
      </c>
      <c r="AD15" s="45">
        <v>45.9</v>
      </c>
      <c r="AE15" s="45">
        <v>45.9</v>
      </c>
      <c r="AF15" s="45">
        <v>45.9</v>
      </c>
      <c r="AG15" s="49">
        <v>45</v>
      </c>
      <c r="AH15" s="47">
        <f t="shared" si="2"/>
        <v>45.9</v>
      </c>
      <c r="AI15" s="48">
        <f t="shared" si="3"/>
        <v>45.6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46</v>
      </c>
      <c r="H16" s="45">
        <v>33</v>
      </c>
      <c r="I16" s="45">
        <v>33</v>
      </c>
      <c r="J16" s="45">
        <v>33</v>
      </c>
      <c r="K16" s="45">
        <v>33</v>
      </c>
      <c r="L16" s="45">
        <v>33</v>
      </c>
      <c r="M16" s="45">
        <v>32</v>
      </c>
      <c r="N16" s="45">
        <v>32</v>
      </c>
      <c r="O16" s="45">
        <v>32</v>
      </c>
      <c r="P16" s="45">
        <v>32</v>
      </c>
      <c r="Q16" s="45">
        <v>32</v>
      </c>
      <c r="R16" s="45">
        <v>32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0</v>
      </c>
      <c r="AF16" s="45">
        <v>0</v>
      </c>
      <c r="AG16" s="49">
        <v>44</v>
      </c>
      <c r="AH16" s="47">
        <f>MAX(B16:AG16)</f>
        <v>46</v>
      </c>
      <c r="AI16" s="48">
        <f>MIN(B16:AG16)</f>
        <v>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31</v>
      </c>
      <c r="C17" s="45">
        <v>31</v>
      </c>
      <c r="D17" s="45">
        <v>31</v>
      </c>
      <c r="E17" s="45">
        <v>36</v>
      </c>
      <c r="F17" s="45">
        <v>36</v>
      </c>
      <c r="G17" s="45">
        <v>36</v>
      </c>
      <c r="H17" s="45">
        <v>36</v>
      </c>
      <c r="I17" s="45">
        <v>39</v>
      </c>
      <c r="J17" s="45">
        <v>39</v>
      </c>
      <c r="K17" s="45">
        <v>39</v>
      </c>
      <c r="L17" s="45">
        <v>39</v>
      </c>
      <c r="M17" s="45">
        <v>39</v>
      </c>
      <c r="N17" s="45">
        <v>39</v>
      </c>
      <c r="O17" s="45">
        <v>39</v>
      </c>
      <c r="P17" s="45">
        <v>39</v>
      </c>
      <c r="Q17" s="45">
        <v>39</v>
      </c>
      <c r="R17" s="45">
        <v>39</v>
      </c>
      <c r="S17" s="45">
        <v>39</v>
      </c>
      <c r="T17" s="45">
        <v>39</v>
      </c>
      <c r="U17" s="45">
        <v>39</v>
      </c>
      <c r="V17" s="45">
        <v>39</v>
      </c>
      <c r="W17" s="45">
        <v>39</v>
      </c>
      <c r="X17" s="45">
        <v>31</v>
      </c>
      <c r="Y17" s="45">
        <v>31</v>
      </c>
      <c r="Z17" s="45">
        <v>31</v>
      </c>
      <c r="AA17" s="45">
        <v>31</v>
      </c>
      <c r="AB17" s="45">
        <v>41</v>
      </c>
      <c r="AC17" s="45">
        <v>41</v>
      </c>
      <c r="AD17" s="45">
        <v>41</v>
      </c>
      <c r="AE17" s="45">
        <v>41</v>
      </c>
      <c r="AF17" s="45">
        <v>41</v>
      </c>
      <c r="AG17" s="49">
        <v>42</v>
      </c>
      <c r="AH17" s="47">
        <f t="shared" si="2"/>
        <v>41</v>
      </c>
      <c r="AI17" s="48">
        <f t="shared" si="3"/>
        <v>31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0</v>
      </c>
      <c r="AE19" s="45">
        <v>0</v>
      </c>
      <c r="AF19" s="45">
        <v>0</v>
      </c>
      <c r="AG19" s="49">
        <v>36</v>
      </c>
      <c r="AH19" s="47">
        <f t="shared" si="2"/>
        <v>36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25.3</v>
      </c>
      <c r="C20" s="45">
        <v>25.3</v>
      </c>
      <c r="D20" s="45">
        <v>25.3</v>
      </c>
      <c r="E20" s="45">
        <v>25.3</v>
      </c>
      <c r="F20" s="45">
        <v>20</v>
      </c>
      <c r="G20" s="45">
        <v>20</v>
      </c>
      <c r="H20" s="45">
        <v>29.9</v>
      </c>
      <c r="I20" s="45">
        <v>29.9</v>
      </c>
      <c r="J20" s="45">
        <v>29.9</v>
      </c>
      <c r="K20" s="45">
        <v>29.9</v>
      </c>
      <c r="L20" s="45">
        <v>29.9</v>
      </c>
      <c r="M20" s="45">
        <v>29.9</v>
      </c>
      <c r="N20" s="45">
        <v>29.9</v>
      </c>
      <c r="O20" s="45">
        <v>29.9</v>
      </c>
      <c r="P20" s="45">
        <v>29.9</v>
      </c>
      <c r="Q20" s="45">
        <v>29.9</v>
      </c>
      <c r="R20" s="45">
        <v>29.9</v>
      </c>
      <c r="S20" s="45">
        <v>29.9</v>
      </c>
      <c r="T20" s="45">
        <v>29.9</v>
      </c>
      <c r="U20" s="45">
        <v>29.9</v>
      </c>
      <c r="V20" s="45">
        <v>29.9</v>
      </c>
      <c r="W20" s="45">
        <v>29.9</v>
      </c>
      <c r="X20" s="45">
        <v>15.6</v>
      </c>
      <c r="Y20" s="45">
        <v>15.6</v>
      </c>
      <c r="Z20" s="45">
        <v>20</v>
      </c>
      <c r="AA20" s="45">
        <v>21.5</v>
      </c>
      <c r="AB20" s="45">
        <v>21.5</v>
      </c>
      <c r="AC20" s="45">
        <v>21.5</v>
      </c>
      <c r="AD20" s="45">
        <v>21.5</v>
      </c>
      <c r="AE20" s="45">
        <v>21.5</v>
      </c>
      <c r="AF20" s="45">
        <v>21.5</v>
      </c>
      <c r="AG20" s="51">
        <v>30</v>
      </c>
      <c r="AH20" s="47">
        <f t="shared" si="2"/>
        <v>29.9</v>
      </c>
      <c r="AI20" s="48">
        <f t="shared" si="3"/>
        <v>15.6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20.8</v>
      </c>
      <c r="C21" s="45">
        <v>20.8</v>
      </c>
      <c r="D21" s="45">
        <v>20.8</v>
      </c>
      <c r="E21" s="45">
        <v>20.8</v>
      </c>
      <c r="F21" s="45">
        <v>20.8</v>
      </c>
      <c r="G21" s="45">
        <v>20.8</v>
      </c>
      <c r="H21" s="45">
        <v>20.8</v>
      </c>
      <c r="I21" s="45">
        <v>20.8</v>
      </c>
      <c r="J21" s="45">
        <v>26</v>
      </c>
      <c r="K21" s="45">
        <v>24.9</v>
      </c>
      <c r="L21" s="45">
        <v>33</v>
      </c>
      <c r="M21" s="45">
        <v>33</v>
      </c>
      <c r="N21" s="45">
        <v>33</v>
      </c>
      <c r="O21" s="45">
        <v>33</v>
      </c>
      <c r="P21" s="45">
        <v>33</v>
      </c>
      <c r="Q21" s="45">
        <v>33</v>
      </c>
      <c r="R21" s="45">
        <v>33</v>
      </c>
      <c r="S21" s="45">
        <v>33</v>
      </c>
      <c r="T21" s="45">
        <v>33</v>
      </c>
      <c r="U21" s="45">
        <v>33</v>
      </c>
      <c r="V21" s="45">
        <v>33</v>
      </c>
      <c r="W21" s="45">
        <v>33</v>
      </c>
      <c r="X21" s="45">
        <v>33</v>
      </c>
      <c r="Y21" s="45">
        <v>33</v>
      </c>
      <c r="Z21" s="45">
        <v>33</v>
      </c>
      <c r="AA21" s="45">
        <v>33</v>
      </c>
      <c r="AB21" s="45">
        <v>20.8</v>
      </c>
      <c r="AC21" s="45">
        <v>20.6</v>
      </c>
      <c r="AD21" s="45">
        <v>20.6</v>
      </c>
      <c r="AE21" s="45">
        <v>20.6</v>
      </c>
      <c r="AF21" s="45">
        <v>20.6</v>
      </c>
      <c r="AG21" s="49">
        <v>24.2</v>
      </c>
      <c r="AH21" s="47">
        <f t="shared" si="2"/>
        <v>33</v>
      </c>
      <c r="AI21" s="48">
        <f t="shared" si="3"/>
        <v>20.6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21.2</v>
      </c>
      <c r="C22" s="45">
        <v>21.2</v>
      </c>
      <c r="D22" s="45">
        <v>21.2</v>
      </c>
      <c r="E22" s="45">
        <v>21.2</v>
      </c>
      <c r="F22" s="45">
        <v>21.2</v>
      </c>
      <c r="G22" s="45">
        <v>21.2</v>
      </c>
      <c r="H22" s="45">
        <v>21.2</v>
      </c>
      <c r="I22" s="45">
        <v>21.2</v>
      </c>
      <c r="J22" s="45">
        <v>28</v>
      </c>
      <c r="K22" s="45">
        <v>24.7</v>
      </c>
      <c r="L22" s="45">
        <v>28.5</v>
      </c>
      <c r="M22" s="45">
        <v>28.5</v>
      </c>
      <c r="N22" s="45">
        <v>28.5</v>
      </c>
      <c r="O22" s="45">
        <v>28.5</v>
      </c>
      <c r="P22" s="45">
        <v>28.5</v>
      </c>
      <c r="Q22" s="45">
        <v>28.5</v>
      </c>
      <c r="R22" s="45">
        <v>28.5</v>
      </c>
      <c r="S22" s="45">
        <v>28.5</v>
      </c>
      <c r="T22" s="45">
        <v>28.5</v>
      </c>
      <c r="U22" s="45">
        <v>28.5</v>
      </c>
      <c r="V22" s="45">
        <v>28.5</v>
      </c>
      <c r="W22" s="45">
        <v>28.5</v>
      </c>
      <c r="X22" s="45">
        <v>28.5</v>
      </c>
      <c r="Y22" s="45">
        <v>28.5</v>
      </c>
      <c r="Z22" s="45">
        <v>28.5</v>
      </c>
      <c r="AA22" s="45">
        <v>28.5</v>
      </c>
      <c r="AB22" s="45">
        <v>20.5</v>
      </c>
      <c r="AC22" s="45">
        <v>20.5</v>
      </c>
      <c r="AD22" s="45">
        <v>20.5</v>
      </c>
      <c r="AE22" s="45">
        <v>20.5</v>
      </c>
      <c r="AF22" s="45">
        <v>20.5</v>
      </c>
      <c r="AG22" s="49">
        <v>28</v>
      </c>
      <c r="AH22" s="47">
        <f t="shared" si="2"/>
        <v>28.5</v>
      </c>
      <c r="AI22" s="48">
        <f t="shared" si="3"/>
        <v>20.5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0</v>
      </c>
      <c r="AF23" s="45">
        <v>0</v>
      </c>
      <c r="AG23" s="51">
        <v>30</v>
      </c>
      <c r="AH23" s="47">
        <f t="shared" si="2"/>
        <v>9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</v>
      </c>
      <c r="C24" s="45">
        <v>26</v>
      </c>
      <c r="D24" s="45">
        <v>26</v>
      </c>
      <c r="E24" s="45">
        <v>26</v>
      </c>
      <c r="F24" s="45">
        <v>26</v>
      </c>
      <c r="G24" s="45">
        <v>26</v>
      </c>
      <c r="H24" s="45">
        <v>26</v>
      </c>
      <c r="I24" s="45">
        <v>26</v>
      </c>
      <c r="J24" s="45">
        <v>26</v>
      </c>
      <c r="K24" s="45">
        <v>26</v>
      </c>
      <c r="L24" s="45">
        <v>26</v>
      </c>
      <c r="M24" s="45">
        <v>26</v>
      </c>
      <c r="N24" s="45">
        <v>26</v>
      </c>
      <c r="O24" s="45">
        <v>26</v>
      </c>
      <c r="P24" s="45">
        <v>26</v>
      </c>
      <c r="Q24" s="45">
        <v>26</v>
      </c>
      <c r="R24" s="45">
        <v>26</v>
      </c>
      <c r="S24" s="45">
        <v>26</v>
      </c>
      <c r="T24" s="45">
        <v>26</v>
      </c>
      <c r="U24" s="45">
        <v>26</v>
      </c>
      <c r="V24" s="45">
        <v>26</v>
      </c>
      <c r="W24" s="45">
        <v>26</v>
      </c>
      <c r="X24" s="45">
        <v>26</v>
      </c>
      <c r="Y24" s="45">
        <v>26</v>
      </c>
      <c r="Z24" s="45">
        <v>26</v>
      </c>
      <c r="AA24" s="45">
        <v>26</v>
      </c>
      <c r="AB24" s="45">
        <v>26</v>
      </c>
      <c r="AC24" s="45">
        <v>26</v>
      </c>
      <c r="AD24" s="45">
        <v>26</v>
      </c>
      <c r="AE24" s="45">
        <v>26</v>
      </c>
      <c r="AF24" s="45">
        <v>0</v>
      </c>
      <c r="AG24" s="49">
        <v>25</v>
      </c>
      <c r="AH24" s="47">
        <f t="shared" si="2"/>
        <v>26</v>
      </c>
      <c r="AI24" s="48">
        <f t="shared" si="3"/>
        <v>0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20</v>
      </c>
      <c r="C27" s="45">
        <v>20</v>
      </c>
      <c r="D27" s="45">
        <v>20</v>
      </c>
      <c r="E27" s="45">
        <v>20</v>
      </c>
      <c r="F27" s="45">
        <v>15</v>
      </c>
      <c r="G27" s="45">
        <v>15</v>
      </c>
      <c r="H27" s="45">
        <v>20</v>
      </c>
      <c r="I27" s="45">
        <v>25</v>
      </c>
      <c r="J27" s="45">
        <v>25</v>
      </c>
      <c r="K27" s="45">
        <v>25</v>
      </c>
      <c r="L27" s="45">
        <v>25</v>
      </c>
      <c r="M27" s="45">
        <v>25</v>
      </c>
      <c r="N27" s="45">
        <v>25</v>
      </c>
      <c r="O27" s="45">
        <v>25</v>
      </c>
      <c r="P27" s="45">
        <v>25</v>
      </c>
      <c r="Q27" s="45">
        <v>25</v>
      </c>
      <c r="R27" s="45">
        <v>25</v>
      </c>
      <c r="S27" s="45">
        <v>25</v>
      </c>
      <c r="T27" s="45">
        <v>25</v>
      </c>
      <c r="U27" s="45">
        <v>25</v>
      </c>
      <c r="V27" s="45">
        <v>25</v>
      </c>
      <c r="W27" s="45">
        <v>25</v>
      </c>
      <c r="X27" s="45">
        <v>16</v>
      </c>
      <c r="Y27" s="45">
        <v>16</v>
      </c>
      <c r="Z27" s="45">
        <v>16</v>
      </c>
      <c r="AA27" s="45">
        <v>25</v>
      </c>
      <c r="AB27" s="45">
        <v>25</v>
      </c>
      <c r="AC27" s="45">
        <v>25</v>
      </c>
      <c r="AD27" s="45">
        <v>25</v>
      </c>
      <c r="AE27" s="45">
        <v>6</v>
      </c>
      <c r="AF27" s="45">
        <v>12</v>
      </c>
      <c r="AG27" s="49">
        <v>25</v>
      </c>
      <c r="AH27" s="47">
        <f t="shared" si="2"/>
        <v>25</v>
      </c>
      <c r="AI27" s="48">
        <f t="shared" si="3"/>
        <v>6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25.5</v>
      </c>
      <c r="C28" s="45">
        <v>25.5</v>
      </c>
      <c r="D28" s="45">
        <v>25.5</v>
      </c>
      <c r="E28" s="45">
        <v>25.5</v>
      </c>
      <c r="F28" s="45">
        <v>25.5</v>
      </c>
      <c r="G28" s="45">
        <v>25.5</v>
      </c>
      <c r="H28" s="45">
        <v>25.5</v>
      </c>
      <c r="I28" s="45">
        <v>25.5</v>
      </c>
      <c r="J28" s="45">
        <v>25.5</v>
      </c>
      <c r="K28" s="45">
        <v>25.5</v>
      </c>
      <c r="L28" s="45">
        <v>25.5</v>
      </c>
      <c r="M28" s="45">
        <v>25.5</v>
      </c>
      <c r="N28" s="45">
        <v>25.5</v>
      </c>
      <c r="O28" s="45">
        <v>25.5</v>
      </c>
      <c r="P28" s="45">
        <v>25.5</v>
      </c>
      <c r="Q28" s="45">
        <v>25.5</v>
      </c>
      <c r="R28" s="45">
        <v>25.5</v>
      </c>
      <c r="S28" s="45">
        <v>25.5</v>
      </c>
      <c r="T28" s="45">
        <v>25.5</v>
      </c>
      <c r="U28" s="45">
        <v>25.5</v>
      </c>
      <c r="V28" s="45">
        <v>25.5</v>
      </c>
      <c r="W28" s="45">
        <v>25.5</v>
      </c>
      <c r="X28" s="45">
        <v>25.5</v>
      </c>
      <c r="Y28" s="45">
        <v>25.5</v>
      </c>
      <c r="Z28" s="45">
        <v>25.5</v>
      </c>
      <c r="AA28" s="45">
        <v>25.5</v>
      </c>
      <c r="AB28" s="45">
        <v>25.5</v>
      </c>
      <c r="AC28" s="45">
        <v>25.6</v>
      </c>
      <c r="AD28" s="45">
        <v>25.6</v>
      </c>
      <c r="AE28" s="45">
        <v>25.6</v>
      </c>
      <c r="AF28" s="45">
        <v>25.6</v>
      </c>
      <c r="AG28" s="49">
        <v>23.5</v>
      </c>
      <c r="AH28" s="47">
        <f t="shared" si="2"/>
        <v>25.6</v>
      </c>
      <c r="AI28" s="48">
        <f t="shared" si="3"/>
        <v>25.5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0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0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27.3</v>
      </c>
      <c r="C32" s="45">
        <v>27.3</v>
      </c>
      <c r="D32" s="45">
        <v>27.3</v>
      </c>
      <c r="E32" s="45">
        <v>27.3</v>
      </c>
      <c r="F32" s="45">
        <v>27.3</v>
      </c>
      <c r="G32" s="45">
        <v>27.3</v>
      </c>
      <c r="H32" s="45">
        <v>27.3</v>
      </c>
      <c r="I32" s="45">
        <v>27.3</v>
      </c>
      <c r="J32" s="45">
        <v>27.3</v>
      </c>
      <c r="K32" s="45">
        <v>27.3</v>
      </c>
      <c r="L32" s="45">
        <v>27.3</v>
      </c>
      <c r="M32" s="45">
        <v>27.3</v>
      </c>
      <c r="N32" s="45">
        <v>27.3</v>
      </c>
      <c r="O32" s="45">
        <v>27.3</v>
      </c>
      <c r="P32" s="45">
        <v>27.3</v>
      </c>
      <c r="Q32" s="45">
        <v>27.3</v>
      </c>
      <c r="R32" s="45">
        <v>27.3</v>
      </c>
      <c r="S32" s="45">
        <v>27.3</v>
      </c>
      <c r="T32" s="45">
        <v>27.3</v>
      </c>
      <c r="U32" s="45">
        <v>27.3</v>
      </c>
      <c r="V32" s="45">
        <v>27.3</v>
      </c>
      <c r="W32" s="45">
        <v>27.3</v>
      </c>
      <c r="X32" s="45">
        <v>27.3</v>
      </c>
      <c r="Y32" s="45">
        <v>27.3</v>
      </c>
      <c r="Z32" s="45">
        <v>27.3</v>
      </c>
      <c r="AA32" s="45">
        <v>27.3</v>
      </c>
      <c r="AB32" s="45">
        <v>27.3</v>
      </c>
      <c r="AC32" s="45">
        <v>26.7</v>
      </c>
      <c r="AD32" s="45">
        <v>26.7</v>
      </c>
      <c r="AE32" s="45">
        <v>26.7</v>
      </c>
      <c r="AF32" s="45">
        <v>26.7</v>
      </c>
      <c r="AG32" s="49">
        <v>22</v>
      </c>
      <c r="AH32" s="47">
        <f t="shared" si="2"/>
        <v>27.3</v>
      </c>
      <c r="AI32" s="48">
        <f t="shared" si="3"/>
        <v>26.7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0</v>
      </c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9">
        <v>20</v>
      </c>
      <c r="AH33" s="47">
        <f t="shared" si="2"/>
        <v>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16</v>
      </c>
      <c r="C34" s="45">
        <v>16</v>
      </c>
      <c r="D34" s="45">
        <v>16</v>
      </c>
      <c r="E34" s="45">
        <v>16</v>
      </c>
      <c r="F34" s="45">
        <v>16</v>
      </c>
      <c r="G34" s="45">
        <v>14</v>
      </c>
      <c r="H34" s="45">
        <v>16</v>
      </c>
      <c r="I34" s="45">
        <v>16</v>
      </c>
      <c r="J34" s="45">
        <v>16</v>
      </c>
      <c r="K34" s="45">
        <v>16</v>
      </c>
      <c r="L34" s="45">
        <v>16</v>
      </c>
      <c r="M34" s="45">
        <v>16</v>
      </c>
      <c r="N34" s="45">
        <v>16</v>
      </c>
      <c r="O34" s="45">
        <v>16</v>
      </c>
      <c r="P34" s="45">
        <v>16</v>
      </c>
      <c r="Q34" s="45">
        <v>16</v>
      </c>
      <c r="R34" s="45">
        <v>16</v>
      </c>
      <c r="S34" s="45">
        <v>16</v>
      </c>
      <c r="T34" s="45">
        <v>16</v>
      </c>
      <c r="U34" s="45">
        <v>16</v>
      </c>
      <c r="V34" s="45">
        <v>10</v>
      </c>
      <c r="W34" s="45">
        <v>10</v>
      </c>
      <c r="X34" s="45">
        <v>10</v>
      </c>
      <c r="Y34" s="45">
        <v>10</v>
      </c>
      <c r="Z34" s="45">
        <v>10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49">
        <v>18</v>
      </c>
      <c r="AH34" s="47">
        <f t="shared" si="2"/>
        <v>16</v>
      </c>
      <c r="AI34" s="48">
        <f t="shared" si="3"/>
        <v>10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12</v>
      </c>
      <c r="C39" s="45">
        <v>12</v>
      </c>
      <c r="D39" s="45">
        <v>12</v>
      </c>
      <c r="E39" s="45">
        <v>12</v>
      </c>
      <c r="F39" s="45">
        <v>12</v>
      </c>
      <c r="G39" s="45">
        <v>10</v>
      </c>
      <c r="H39" s="45">
        <v>12</v>
      </c>
      <c r="I39" s="45">
        <v>12</v>
      </c>
      <c r="J39" s="45">
        <v>12</v>
      </c>
      <c r="K39" s="45">
        <v>12</v>
      </c>
      <c r="L39" s="45">
        <v>12</v>
      </c>
      <c r="M39" s="45">
        <v>12</v>
      </c>
      <c r="N39" s="45">
        <v>12</v>
      </c>
      <c r="O39" s="45">
        <v>12</v>
      </c>
      <c r="P39" s="45">
        <v>12</v>
      </c>
      <c r="Q39" s="45">
        <v>0</v>
      </c>
      <c r="R39" s="45">
        <v>12</v>
      </c>
      <c r="S39" s="45">
        <v>12</v>
      </c>
      <c r="T39" s="45">
        <v>12</v>
      </c>
      <c r="U39" s="45">
        <v>12</v>
      </c>
      <c r="V39" s="45">
        <v>12</v>
      </c>
      <c r="W39" s="45">
        <v>10</v>
      </c>
      <c r="X39" s="45">
        <v>12</v>
      </c>
      <c r="Y39" s="45">
        <v>12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12</v>
      </c>
      <c r="AG39" s="49">
        <v>12</v>
      </c>
      <c r="AH39" s="47">
        <f t="shared" si="2"/>
        <v>12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12</v>
      </c>
      <c r="C41" s="45">
        <v>12</v>
      </c>
      <c r="D41" s="45">
        <v>12</v>
      </c>
      <c r="E41" s="45">
        <v>12</v>
      </c>
      <c r="F41" s="45">
        <v>12</v>
      </c>
      <c r="G41" s="45">
        <v>12</v>
      </c>
      <c r="H41" s="45">
        <v>12</v>
      </c>
      <c r="I41" s="45">
        <v>12</v>
      </c>
      <c r="J41" s="45">
        <v>12</v>
      </c>
      <c r="K41" s="45">
        <v>12</v>
      </c>
      <c r="L41" s="45">
        <v>12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12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6</v>
      </c>
      <c r="C42" s="45">
        <v>6</v>
      </c>
      <c r="D42" s="45">
        <v>6</v>
      </c>
      <c r="E42" s="45">
        <v>6</v>
      </c>
      <c r="F42" s="45">
        <v>6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6</v>
      </c>
      <c r="N42" s="45">
        <v>6</v>
      </c>
      <c r="O42" s="45">
        <v>6</v>
      </c>
      <c r="P42" s="45">
        <v>6</v>
      </c>
      <c r="Q42" s="45">
        <v>6</v>
      </c>
      <c r="R42" s="45">
        <v>6</v>
      </c>
      <c r="S42" s="45">
        <v>6</v>
      </c>
      <c r="T42" s="45">
        <v>6</v>
      </c>
      <c r="U42" s="45">
        <v>6</v>
      </c>
      <c r="V42" s="45">
        <v>6</v>
      </c>
      <c r="W42" s="45">
        <v>6</v>
      </c>
      <c r="X42" s="45">
        <v>6</v>
      </c>
      <c r="Y42" s="45">
        <v>6</v>
      </c>
      <c r="Z42" s="45">
        <v>6</v>
      </c>
      <c r="AA42" s="45">
        <v>6</v>
      </c>
      <c r="AB42" s="45">
        <v>6</v>
      </c>
      <c r="AC42" s="45">
        <v>6</v>
      </c>
      <c r="AD42" s="45">
        <v>6</v>
      </c>
      <c r="AE42" s="45">
        <v>6</v>
      </c>
      <c r="AF42" s="45">
        <v>6</v>
      </c>
      <c r="AG42" s="52">
        <v>22</v>
      </c>
      <c r="AH42" s="47">
        <f t="shared" si="2"/>
        <v>6</v>
      </c>
      <c r="AI42" s="48">
        <f t="shared" si="3"/>
        <v>6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8</v>
      </c>
      <c r="C45" s="45">
        <v>8</v>
      </c>
      <c r="D45" s="45">
        <v>8</v>
      </c>
      <c r="E45" s="45">
        <v>8</v>
      </c>
      <c r="F45" s="45">
        <v>8</v>
      </c>
      <c r="G45" s="45">
        <v>8</v>
      </c>
      <c r="H45" s="45">
        <v>8</v>
      </c>
      <c r="I45" s="45">
        <v>8</v>
      </c>
      <c r="J45" s="45">
        <v>8</v>
      </c>
      <c r="K45" s="45">
        <v>8</v>
      </c>
      <c r="L45" s="45">
        <v>8</v>
      </c>
      <c r="M45" s="45">
        <v>8</v>
      </c>
      <c r="N45" s="45">
        <v>8</v>
      </c>
      <c r="O45" s="45">
        <v>8</v>
      </c>
      <c r="P45" s="45">
        <v>8</v>
      </c>
      <c r="Q45" s="45">
        <v>8</v>
      </c>
      <c r="R45" s="45">
        <v>8</v>
      </c>
      <c r="S45" s="45">
        <v>8</v>
      </c>
      <c r="T45" s="45">
        <v>8</v>
      </c>
      <c r="U45" s="45">
        <v>8</v>
      </c>
      <c r="V45" s="45">
        <v>8</v>
      </c>
      <c r="W45" s="45">
        <v>8</v>
      </c>
      <c r="X45" s="45">
        <v>8</v>
      </c>
      <c r="Y45" s="45">
        <v>8</v>
      </c>
      <c r="Z45" s="45">
        <v>8</v>
      </c>
      <c r="AA45" s="45">
        <v>8</v>
      </c>
      <c r="AB45" s="45">
        <v>8</v>
      </c>
      <c r="AC45" s="45">
        <v>8</v>
      </c>
      <c r="AD45" s="45">
        <v>8</v>
      </c>
      <c r="AE45" s="45">
        <v>8</v>
      </c>
      <c r="AF45" s="45">
        <v>8</v>
      </c>
      <c r="AG45" s="54">
        <v>10</v>
      </c>
      <c r="AH45" s="47">
        <f t="shared" si="2"/>
        <v>8</v>
      </c>
      <c r="AI45" s="48">
        <f t="shared" si="3"/>
        <v>8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AF50" si="4">SUM(B11:B48)</f>
        <v>1001.0999999999999</v>
      </c>
      <c r="C50" s="59">
        <f t="shared" ref="C50" si="5">SUM(C11:C48)</f>
        <v>1023.0999999999999</v>
      </c>
      <c r="D50" s="59">
        <f t="shared" si="4"/>
        <v>1023.0999999999999</v>
      </c>
      <c r="E50" s="59">
        <f t="shared" si="4"/>
        <v>1028.0999999999999</v>
      </c>
      <c r="F50" s="59">
        <f t="shared" si="4"/>
        <v>1017.8</v>
      </c>
      <c r="G50" s="59">
        <f t="shared" si="4"/>
        <v>1015.8</v>
      </c>
      <c r="H50" s="59">
        <f t="shared" si="4"/>
        <v>1021.6999999999999</v>
      </c>
      <c r="I50" s="59">
        <f t="shared" si="4"/>
        <v>1029.6999999999998</v>
      </c>
      <c r="J50" s="59">
        <f t="shared" si="4"/>
        <v>1041.6999999999998</v>
      </c>
      <c r="K50" s="59">
        <f t="shared" si="4"/>
        <v>1037.3</v>
      </c>
      <c r="L50" s="59">
        <f t="shared" si="4"/>
        <v>1049.1999999999998</v>
      </c>
      <c r="M50" s="59">
        <f t="shared" si="4"/>
        <v>1047.9000000000001</v>
      </c>
      <c r="N50" s="59">
        <f t="shared" si="4"/>
        <v>1047.9000000000001</v>
      </c>
      <c r="O50" s="59">
        <f t="shared" si="4"/>
        <v>1047.9000000000001</v>
      </c>
      <c r="P50" s="59">
        <f t="shared" si="4"/>
        <v>1047.9000000000001</v>
      </c>
      <c r="Q50" s="59">
        <f t="shared" si="4"/>
        <v>1035.9000000000001</v>
      </c>
      <c r="R50" s="59">
        <f t="shared" si="4"/>
        <v>1047.9000000000001</v>
      </c>
      <c r="S50" s="59">
        <f t="shared" si="4"/>
        <v>1095.8999999999999</v>
      </c>
      <c r="T50" s="59">
        <f t="shared" si="4"/>
        <v>1095.8999999999999</v>
      </c>
      <c r="U50" s="59">
        <f t="shared" si="4"/>
        <v>1095.8999999999999</v>
      </c>
      <c r="V50" s="59">
        <f t="shared" si="4"/>
        <v>1089.8999999999999</v>
      </c>
      <c r="W50" s="59">
        <f t="shared" si="4"/>
        <v>1087.8999999999999</v>
      </c>
      <c r="X50" s="59">
        <f t="shared" si="4"/>
        <v>1048.5</v>
      </c>
      <c r="Y50" s="59">
        <f t="shared" si="4"/>
        <v>1048.5</v>
      </c>
      <c r="Z50" s="59">
        <f t="shared" si="4"/>
        <v>1052.9000000000001</v>
      </c>
      <c r="AA50" s="59">
        <f>SUM(AA11:AA48)</f>
        <v>1073.4000000000001</v>
      </c>
      <c r="AB50" s="59">
        <f t="shared" si="4"/>
        <v>1063.2</v>
      </c>
      <c r="AC50" s="59">
        <f t="shared" si="4"/>
        <v>1062.7000000000003</v>
      </c>
      <c r="AD50" s="59">
        <f t="shared" si="4"/>
        <v>1026.7</v>
      </c>
      <c r="AE50" s="59">
        <f t="shared" si="4"/>
        <v>954.7</v>
      </c>
      <c r="AF50" s="59">
        <f t="shared" si="4"/>
        <v>934.7</v>
      </c>
      <c r="AG50" s="60">
        <f>SUM(AG13:AG48)</f>
        <v>922.14</v>
      </c>
      <c r="AH50" s="47">
        <f t="shared" si="2"/>
        <v>1095.8999999999999</v>
      </c>
      <c r="AI50" s="48">
        <f t="shared" si="3"/>
        <v>934.7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62">
        <v>456</v>
      </c>
      <c r="P51" s="62">
        <v>456</v>
      </c>
      <c r="Q51" s="62">
        <v>456</v>
      </c>
      <c r="R51" s="62">
        <v>456</v>
      </c>
      <c r="S51" s="62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60</v>
      </c>
      <c r="K52" s="64">
        <v>60</v>
      </c>
      <c r="L52" s="64">
        <v>60</v>
      </c>
      <c r="M52" s="64">
        <v>60</v>
      </c>
      <c r="N52" s="64">
        <v>60</v>
      </c>
      <c r="O52" s="64">
        <v>60</v>
      </c>
      <c r="P52" s="64">
        <v>60</v>
      </c>
      <c r="Q52" s="64">
        <v>60</v>
      </c>
      <c r="R52" s="64">
        <v>60</v>
      </c>
      <c r="S52" s="64">
        <v>60</v>
      </c>
      <c r="T52" s="64">
        <v>60</v>
      </c>
      <c r="U52" s="64">
        <v>60</v>
      </c>
      <c r="V52" s="64">
        <v>60</v>
      </c>
      <c r="W52" s="64">
        <v>60</v>
      </c>
      <c r="X52" s="64">
        <v>60</v>
      </c>
      <c r="Y52" s="64">
        <v>60</v>
      </c>
      <c r="Z52" s="64">
        <v>60</v>
      </c>
      <c r="AA52" s="64">
        <v>60</v>
      </c>
      <c r="AB52" s="64">
        <v>60</v>
      </c>
      <c r="AC52" s="64">
        <v>60</v>
      </c>
      <c r="AD52" s="64">
        <v>60</v>
      </c>
      <c r="AE52" s="64">
        <v>60</v>
      </c>
      <c r="AF52" s="64">
        <v>60</v>
      </c>
      <c r="AG52" s="54">
        <v>60</v>
      </c>
      <c r="AH52" s="47">
        <f t="shared" si="2"/>
        <v>60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22.1</v>
      </c>
      <c r="C53" s="66">
        <v>22.1</v>
      </c>
      <c r="D53" s="66">
        <v>22.1</v>
      </c>
      <c r="E53" s="66">
        <v>22.1</v>
      </c>
      <c r="F53" s="66">
        <v>22.1</v>
      </c>
      <c r="G53" s="66">
        <v>22.1</v>
      </c>
      <c r="H53" s="66">
        <v>22.1</v>
      </c>
      <c r="I53" s="66">
        <v>22.1</v>
      </c>
      <c r="J53" s="66">
        <v>22.1</v>
      </c>
      <c r="K53" s="66">
        <v>22.1</v>
      </c>
      <c r="L53" s="66">
        <v>22.1</v>
      </c>
      <c r="M53" s="66">
        <v>22.1</v>
      </c>
      <c r="N53" s="66">
        <v>22.1</v>
      </c>
      <c r="O53" s="66">
        <v>22.1</v>
      </c>
      <c r="P53" s="66">
        <v>22.1</v>
      </c>
      <c r="Q53" s="66">
        <v>22.1</v>
      </c>
      <c r="R53" s="66">
        <v>22.1</v>
      </c>
      <c r="S53" s="66">
        <v>22.1</v>
      </c>
      <c r="T53" s="66">
        <v>22.1</v>
      </c>
      <c r="U53" s="66">
        <v>22.1</v>
      </c>
      <c r="V53" s="66">
        <v>22.1</v>
      </c>
      <c r="W53" s="66">
        <v>22.1</v>
      </c>
      <c r="X53" s="66">
        <v>22.1</v>
      </c>
      <c r="Y53" s="66">
        <v>22.1</v>
      </c>
      <c r="Z53" s="66">
        <v>22.1</v>
      </c>
      <c r="AA53" s="66">
        <v>22.1</v>
      </c>
      <c r="AB53" s="66">
        <v>22.1</v>
      </c>
      <c r="AC53" s="66">
        <v>22.1</v>
      </c>
      <c r="AD53" s="66">
        <v>22.1</v>
      </c>
      <c r="AE53" s="66">
        <v>22.1</v>
      </c>
      <c r="AF53" s="66">
        <v>22.1</v>
      </c>
      <c r="AG53" s="67">
        <v>22.1</v>
      </c>
      <c r="AH53" s="47">
        <f t="shared" si="2"/>
        <v>22.1</v>
      </c>
      <c r="AI53" s="48">
        <f t="shared" si="3"/>
        <v>22.1</v>
      </c>
      <c r="AK53" s="74"/>
    </row>
    <row r="54" spans="1:41" ht="15.75" thickBot="1" x14ac:dyDescent="0.3">
      <c r="A54" s="68" t="s">
        <v>70</v>
      </c>
      <c r="B54" s="59">
        <v>533.1</v>
      </c>
      <c r="C54" s="59">
        <f t="shared" ref="C54:AG54" si="6">SUM(C51:C53)</f>
        <v>533.1</v>
      </c>
      <c r="D54" s="59">
        <f t="shared" si="6"/>
        <v>533.1</v>
      </c>
      <c r="E54" s="59">
        <f t="shared" si="6"/>
        <v>533.1</v>
      </c>
      <c r="F54" s="59">
        <f t="shared" si="6"/>
        <v>533.1</v>
      </c>
      <c r="G54" s="59">
        <f t="shared" si="6"/>
        <v>533.1</v>
      </c>
      <c r="H54" s="59">
        <f t="shared" si="6"/>
        <v>533.1</v>
      </c>
      <c r="I54" s="59">
        <f t="shared" si="6"/>
        <v>533.1</v>
      </c>
      <c r="J54" s="59">
        <f t="shared" si="6"/>
        <v>538.1</v>
      </c>
      <c r="K54" s="59">
        <f t="shared" si="6"/>
        <v>538.1</v>
      </c>
      <c r="L54" s="59">
        <f t="shared" si="6"/>
        <v>538.1</v>
      </c>
      <c r="M54" s="59">
        <f t="shared" si="6"/>
        <v>538.1</v>
      </c>
      <c r="N54" s="59">
        <f t="shared" si="6"/>
        <v>538.1</v>
      </c>
      <c r="O54" s="59">
        <f t="shared" si="6"/>
        <v>538.1</v>
      </c>
      <c r="P54" s="59">
        <f t="shared" si="6"/>
        <v>538.1</v>
      </c>
      <c r="Q54" s="59">
        <f t="shared" si="6"/>
        <v>538.1</v>
      </c>
      <c r="R54" s="59">
        <f t="shared" si="6"/>
        <v>538.1</v>
      </c>
      <c r="S54" s="59">
        <f t="shared" si="6"/>
        <v>538.1</v>
      </c>
      <c r="T54" s="59">
        <f t="shared" si="6"/>
        <v>538.1</v>
      </c>
      <c r="U54" s="59">
        <f t="shared" si="6"/>
        <v>538.1</v>
      </c>
      <c r="V54" s="59">
        <f t="shared" si="6"/>
        <v>538.1</v>
      </c>
      <c r="W54" s="59">
        <f t="shared" si="6"/>
        <v>538.1</v>
      </c>
      <c r="X54" s="59">
        <f t="shared" si="6"/>
        <v>538.1</v>
      </c>
      <c r="Y54" s="59">
        <f t="shared" si="6"/>
        <v>538.1</v>
      </c>
      <c r="Z54" s="59">
        <f t="shared" si="6"/>
        <v>538.1</v>
      </c>
      <c r="AA54" s="59">
        <f t="shared" si="6"/>
        <v>538.1</v>
      </c>
      <c r="AB54" s="59">
        <f t="shared" si="6"/>
        <v>538.1</v>
      </c>
      <c r="AC54" s="59">
        <f t="shared" si="6"/>
        <v>538.1</v>
      </c>
      <c r="AD54" s="59">
        <f t="shared" si="6"/>
        <v>538.1</v>
      </c>
      <c r="AE54" s="59">
        <f t="shared" si="6"/>
        <v>538.1</v>
      </c>
      <c r="AF54" s="59">
        <f t="shared" si="6"/>
        <v>538.1</v>
      </c>
      <c r="AG54" s="60">
        <f t="shared" si="6"/>
        <v>538.1</v>
      </c>
      <c r="AH54" s="47">
        <f t="shared" si="2"/>
        <v>538.1</v>
      </c>
      <c r="AI54" s="48">
        <f t="shared" si="3"/>
        <v>533.1</v>
      </c>
      <c r="AK54" s="74"/>
    </row>
    <row r="55" spans="1:41" x14ac:dyDescent="0.25">
      <c r="A55" s="44" t="s">
        <v>71</v>
      </c>
      <c r="B55" s="45">
        <v>96.2</v>
      </c>
      <c r="C55" s="45">
        <v>96.2</v>
      </c>
      <c r="D55" s="45">
        <v>96.2</v>
      </c>
      <c r="E55" s="45">
        <v>96.4</v>
      </c>
      <c r="F55" s="45">
        <v>96.4</v>
      </c>
      <c r="G55" s="45">
        <v>96.4</v>
      </c>
      <c r="H55" s="45">
        <v>96.4</v>
      </c>
      <c r="I55" s="45">
        <v>96.4</v>
      </c>
      <c r="J55" s="45">
        <v>96.4</v>
      </c>
      <c r="K55" s="45">
        <v>96.4</v>
      </c>
      <c r="L55" s="45">
        <v>96.4</v>
      </c>
      <c r="M55" s="45">
        <v>95.8</v>
      </c>
      <c r="N55" s="45">
        <v>95.8</v>
      </c>
      <c r="O55" s="45">
        <v>95.8</v>
      </c>
      <c r="P55" s="45">
        <v>95.8</v>
      </c>
      <c r="Q55" s="45">
        <v>95.7</v>
      </c>
      <c r="R55" s="45">
        <v>95.8</v>
      </c>
      <c r="S55" s="45">
        <v>95.8</v>
      </c>
      <c r="T55" s="45">
        <v>96</v>
      </c>
      <c r="U55" s="45">
        <v>96</v>
      </c>
      <c r="V55" s="45">
        <v>96</v>
      </c>
      <c r="W55" s="45">
        <v>96</v>
      </c>
      <c r="X55" s="45">
        <v>96</v>
      </c>
      <c r="Y55" s="45">
        <v>96</v>
      </c>
      <c r="Z55" s="45">
        <v>70.8</v>
      </c>
      <c r="AA55" s="45">
        <v>96</v>
      </c>
      <c r="AB55" s="45">
        <v>96</v>
      </c>
      <c r="AC55" s="45">
        <v>96</v>
      </c>
      <c r="AD55" s="45">
        <v>96</v>
      </c>
      <c r="AE55" s="45">
        <v>96</v>
      </c>
      <c r="AF55" s="45">
        <v>96</v>
      </c>
      <c r="AG55" s="51">
        <v>144</v>
      </c>
      <c r="AH55" s="47">
        <f t="shared" ref="AH55:AH66" si="7">MAX(B55:AF55)</f>
        <v>96.4</v>
      </c>
      <c r="AI55" s="48">
        <f t="shared" ref="AI55:AI66" si="8">MIN(B55:AF55)</f>
        <v>70.8</v>
      </c>
      <c r="AK55" s="74"/>
    </row>
    <row r="56" spans="1:41" x14ac:dyDescent="0.25">
      <c r="A56" s="53" t="s">
        <v>72</v>
      </c>
      <c r="B56" s="64">
        <v>70</v>
      </c>
      <c r="C56" s="64">
        <v>70</v>
      </c>
      <c r="D56" s="64">
        <v>70</v>
      </c>
      <c r="E56" s="64">
        <v>71.2</v>
      </c>
      <c r="F56" s="64">
        <v>71.2</v>
      </c>
      <c r="G56" s="64">
        <v>71.2</v>
      </c>
      <c r="H56" s="64">
        <v>71.2</v>
      </c>
      <c r="I56" s="64">
        <v>71.2</v>
      </c>
      <c r="J56" s="64">
        <v>71.2</v>
      </c>
      <c r="K56" s="64">
        <v>71.2</v>
      </c>
      <c r="L56" s="64">
        <v>70.2</v>
      </c>
      <c r="M56" s="64">
        <v>70.099999999999994</v>
      </c>
      <c r="N56" s="64">
        <v>70.099999999999994</v>
      </c>
      <c r="O56" s="64">
        <v>71.099999999999994</v>
      </c>
      <c r="P56" s="64">
        <v>71.099999999999994</v>
      </c>
      <c r="Q56" s="64">
        <v>71.8</v>
      </c>
      <c r="R56" s="64">
        <v>71.099999999999994</v>
      </c>
      <c r="S56" s="64">
        <v>71.099999999999994</v>
      </c>
      <c r="T56" s="45">
        <v>70.8</v>
      </c>
      <c r="U56" s="45">
        <v>70.8</v>
      </c>
      <c r="V56" s="45">
        <v>70.8</v>
      </c>
      <c r="W56" s="45">
        <v>70.8</v>
      </c>
      <c r="X56" s="45">
        <v>70.8</v>
      </c>
      <c r="Y56" s="45">
        <v>70.8</v>
      </c>
      <c r="Z56" s="45">
        <v>64.5</v>
      </c>
      <c r="AA56" s="45">
        <v>70.8</v>
      </c>
      <c r="AB56" s="45">
        <v>70.8</v>
      </c>
      <c r="AC56" s="45">
        <v>70.8</v>
      </c>
      <c r="AD56" s="45">
        <v>70.8</v>
      </c>
      <c r="AE56" s="45">
        <v>70.8</v>
      </c>
      <c r="AF56" s="45">
        <v>70.8</v>
      </c>
      <c r="AG56" s="54">
        <v>70</v>
      </c>
      <c r="AH56" s="47">
        <f t="shared" si="7"/>
        <v>71.8</v>
      </c>
      <c r="AI56" s="48">
        <f t="shared" si="8"/>
        <v>64.5</v>
      </c>
      <c r="AK56" s="74"/>
    </row>
    <row r="57" spans="1:41" x14ac:dyDescent="0.25">
      <c r="A57" s="53" t="s">
        <v>73</v>
      </c>
      <c r="B57" s="64">
        <v>68</v>
      </c>
      <c r="C57" s="64">
        <v>68</v>
      </c>
      <c r="D57" s="64">
        <v>68</v>
      </c>
      <c r="E57" s="64">
        <v>64.3</v>
      </c>
      <c r="F57" s="64">
        <v>64.3</v>
      </c>
      <c r="G57" s="64">
        <v>64.3</v>
      </c>
      <c r="H57" s="64">
        <v>63.7</v>
      </c>
      <c r="I57" s="64">
        <v>63.7</v>
      </c>
      <c r="J57" s="64">
        <v>63.7</v>
      </c>
      <c r="K57" s="64">
        <v>63.7</v>
      </c>
      <c r="L57" s="64">
        <v>63.2</v>
      </c>
      <c r="M57" s="64">
        <v>63.2</v>
      </c>
      <c r="N57" s="64">
        <v>63.2</v>
      </c>
      <c r="O57" s="64">
        <v>63.2</v>
      </c>
      <c r="P57" s="64">
        <v>63.2</v>
      </c>
      <c r="Q57" s="64">
        <v>63.9</v>
      </c>
      <c r="R57" s="64">
        <v>63.2</v>
      </c>
      <c r="S57" s="64">
        <v>63.2</v>
      </c>
      <c r="T57" s="45">
        <v>64</v>
      </c>
      <c r="U57" s="45">
        <v>64</v>
      </c>
      <c r="V57" s="45">
        <v>64</v>
      </c>
      <c r="W57" s="45">
        <v>64</v>
      </c>
      <c r="X57" s="45">
        <v>64.5</v>
      </c>
      <c r="Y57" s="45">
        <v>64.5</v>
      </c>
      <c r="Z57" s="45">
        <v>61.4</v>
      </c>
      <c r="AA57" s="45">
        <v>64.5</v>
      </c>
      <c r="AB57" s="45">
        <v>64.599999999999994</v>
      </c>
      <c r="AC57" s="45">
        <v>64.599999999999994</v>
      </c>
      <c r="AD57" s="45">
        <v>64.599999999999994</v>
      </c>
      <c r="AE57" s="45">
        <v>57</v>
      </c>
      <c r="AF57" s="45">
        <v>57</v>
      </c>
      <c r="AG57" s="54">
        <v>69</v>
      </c>
      <c r="AH57" s="47">
        <f t="shared" si="7"/>
        <v>68</v>
      </c>
      <c r="AI57" s="48">
        <f t="shared" si="8"/>
        <v>57</v>
      </c>
      <c r="AK57" s="74"/>
    </row>
    <row r="58" spans="1:41" x14ac:dyDescent="0.25">
      <c r="A58" s="53" t="s">
        <v>74</v>
      </c>
      <c r="B58" s="64">
        <v>61.7</v>
      </c>
      <c r="C58" s="64">
        <v>61.7</v>
      </c>
      <c r="D58" s="64">
        <v>61.7</v>
      </c>
      <c r="E58" s="56">
        <v>62</v>
      </c>
      <c r="F58" s="56">
        <v>62</v>
      </c>
      <c r="G58" s="56">
        <v>62</v>
      </c>
      <c r="H58" s="56">
        <v>62</v>
      </c>
      <c r="I58" s="56">
        <v>62</v>
      </c>
      <c r="J58" s="56">
        <v>62</v>
      </c>
      <c r="K58" s="56">
        <v>62</v>
      </c>
      <c r="L58" s="56">
        <v>60.2</v>
      </c>
      <c r="M58" s="56">
        <v>60.7</v>
      </c>
      <c r="N58" s="56">
        <v>60.7</v>
      </c>
      <c r="O58" s="56">
        <v>60.7</v>
      </c>
      <c r="P58" s="56">
        <v>60.7</v>
      </c>
      <c r="Q58" s="56">
        <v>59</v>
      </c>
      <c r="R58" s="56">
        <v>60.7</v>
      </c>
      <c r="S58" s="56">
        <v>60.7</v>
      </c>
      <c r="T58" s="45">
        <v>61.4</v>
      </c>
      <c r="U58" s="45">
        <v>61.4</v>
      </c>
      <c r="V58" s="45">
        <v>61.4</v>
      </c>
      <c r="W58" s="45">
        <v>61.4</v>
      </c>
      <c r="X58" s="45">
        <v>61.4</v>
      </c>
      <c r="Y58" s="45">
        <v>61.4</v>
      </c>
      <c r="Z58" s="45">
        <v>30</v>
      </c>
      <c r="AA58" s="45">
        <v>61.4</v>
      </c>
      <c r="AB58" s="45">
        <v>61.4</v>
      </c>
      <c r="AC58" s="45">
        <v>61.4</v>
      </c>
      <c r="AD58" s="45">
        <v>61.4</v>
      </c>
      <c r="AE58" s="45">
        <v>61.4</v>
      </c>
      <c r="AF58" s="45">
        <v>61.4</v>
      </c>
      <c r="AG58" s="54">
        <v>60</v>
      </c>
      <c r="AH58" s="47">
        <f t="shared" si="7"/>
        <v>62</v>
      </c>
      <c r="AI58" s="48">
        <f t="shared" si="8"/>
        <v>30</v>
      </c>
      <c r="AK58" s="74"/>
    </row>
    <row r="59" spans="1:41" x14ac:dyDescent="0.25">
      <c r="A59" s="53" t="s">
        <v>75</v>
      </c>
      <c r="B59" s="64">
        <v>30</v>
      </c>
      <c r="C59" s="64">
        <v>30</v>
      </c>
      <c r="D59" s="64">
        <v>30</v>
      </c>
      <c r="E59" s="56">
        <v>30</v>
      </c>
      <c r="F59" s="56">
        <v>30</v>
      </c>
      <c r="G59" s="56">
        <v>30</v>
      </c>
      <c r="H59" s="56">
        <v>30</v>
      </c>
      <c r="I59" s="56">
        <v>30</v>
      </c>
      <c r="J59" s="56">
        <v>30</v>
      </c>
      <c r="K59" s="56">
        <v>30</v>
      </c>
      <c r="L59" s="56">
        <v>30</v>
      </c>
      <c r="M59" s="56">
        <v>30</v>
      </c>
      <c r="N59" s="56">
        <v>30</v>
      </c>
      <c r="O59" s="56">
        <v>30</v>
      </c>
      <c r="P59" s="56">
        <v>30</v>
      </c>
      <c r="Q59" s="56">
        <v>30</v>
      </c>
      <c r="R59" s="56">
        <v>30</v>
      </c>
      <c r="S59" s="56">
        <v>30</v>
      </c>
      <c r="T59" s="45">
        <v>30</v>
      </c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64">
        <v>18</v>
      </c>
      <c r="AA59" s="64">
        <v>30</v>
      </c>
      <c r="AB59" s="64">
        <v>30</v>
      </c>
      <c r="AC59" s="64">
        <v>30</v>
      </c>
      <c r="AD59" s="64">
        <v>30</v>
      </c>
      <c r="AE59" s="64">
        <v>30</v>
      </c>
      <c r="AF59" s="64">
        <v>30</v>
      </c>
      <c r="AG59" s="54">
        <v>30</v>
      </c>
      <c r="AH59" s="47">
        <f t="shared" si="7"/>
        <v>30</v>
      </c>
      <c r="AI59" s="48">
        <f t="shared" si="8"/>
        <v>18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4</v>
      </c>
      <c r="M60" s="64">
        <v>7.9</v>
      </c>
      <c r="N60" s="64">
        <v>7.6</v>
      </c>
      <c r="O60" s="64">
        <v>15.9</v>
      </c>
      <c r="P60" s="64">
        <v>16.8</v>
      </c>
      <c r="Q60" s="64">
        <v>11.2</v>
      </c>
      <c r="R60" s="64">
        <v>18</v>
      </c>
      <c r="S60" s="64">
        <v>18</v>
      </c>
      <c r="T60" s="64">
        <v>18</v>
      </c>
      <c r="U60" s="64">
        <v>18</v>
      </c>
      <c r="V60" s="64">
        <v>18</v>
      </c>
      <c r="W60" s="64">
        <v>18</v>
      </c>
      <c r="X60" s="64">
        <v>18</v>
      </c>
      <c r="Y60" s="64">
        <v>18</v>
      </c>
      <c r="Z60" s="64">
        <v>14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54">
        <v>25</v>
      </c>
      <c r="AH60" s="47">
        <f t="shared" si="7"/>
        <v>18</v>
      </c>
      <c r="AI60" s="48">
        <f t="shared" si="8"/>
        <v>0</v>
      </c>
      <c r="AK60" s="74"/>
    </row>
    <row r="61" spans="1:41" x14ac:dyDescent="0.25">
      <c r="A61" s="53" t="s">
        <v>77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14</v>
      </c>
      <c r="S61" s="64">
        <v>14</v>
      </c>
      <c r="T61" s="64">
        <v>14</v>
      </c>
      <c r="U61" s="64">
        <v>14</v>
      </c>
      <c r="V61" s="64">
        <v>14</v>
      </c>
      <c r="W61" s="64">
        <v>14</v>
      </c>
      <c r="X61" s="64">
        <v>14</v>
      </c>
      <c r="Y61" s="64">
        <v>14</v>
      </c>
      <c r="Z61" s="64">
        <v>0</v>
      </c>
      <c r="AA61" s="64">
        <v>14</v>
      </c>
      <c r="AB61" s="64">
        <v>14</v>
      </c>
      <c r="AC61" s="64">
        <v>14</v>
      </c>
      <c r="AD61" s="64">
        <v>14</v>
      </c>
      <c r="AE61" s="64">
        <v>14</v>
      </c>
      <c r="AF61" s="64">
        <v>14</v>
      </c>
      <c r="AG61" s="54">
        <v>24</v>
      </c>
      <c r="AH61" s="47">
        <f t="shared" si="7"/>
        <v>15</v>
      </c>
      <c r="AI61" s="48">
        <f t="shared" si="8"/>
        <v>0</v>
      </c>
      <c r="AK61" s="74"/>
    </row>
    <row r="62" spans="1:41" x14ac:dyDescent="0.25">
      <c r="A62" s="53" t="s">
        <v>78</v>
      </c>
      <c r="B62" s="64">
        <v>4.2</v>
      </c>
      <c r="C62" s="64">
        <v>4.2</v>
      </c>
      <c r="D62" s="64">
        <v>4.2</v>
      </c>
      <c r="E62" s="64">
        <v>4.2</v>
      </c>
      <c r="F62" s="64">
        <v>4.2</v>
      </c>
      <c r="G62" s="64">
        <v>4.2</v>
      </c>
      <c r="H62" s="64">
        <v>4.2</v>
      </c>
      <c r="I62" s="64">
        <v>4.2</v>
      </c>
      <c r="J62" s="64">
        <v>4.2</v>
      </c>
      <c r="K62" s="64">
        <v>4.2</v>
      </c>
      <c r="L62" s="64">
        <v>4.2</v>
      </c>
      <c r="M62" s="64">
        <v>4.2</v>
      </c>
      <c r="N62" s="64">
        <v>4.2</v>
      </c>
      <c r="O62" s="64">
        <v>4.2</v>
      </c>
      <c r="P62" s="64">
        <v>4.2</v>
      </c>
      <c r="Q62" s="64">
        <v>0</v>
      </c>
      <c r="R62" s="64">
        <v>0</v>
      </c>
      <c r="S62" s="64">
        <v>5</v>
      </c>
      <c r="T62" s="64">
        <v>5</v>
      </c>
      <c r="U62" s="64">
        <v>5</v>
      </c>
      <c r="V62" s="64">
        <v>5</v>
      </c>
      <c r="W62" s="64">
        <v>5</v>
      </c>
      <c r="X62" s="64">
        <v>5</v>
      </c>
      <c r="Y62" s="64">
        <v>5</v>
      </c>
      <c r="Z62" s="64">
        <v>5</v>
      </c>
      <c r="AA62" s="64">
        <v>5</v>
      </c>
      <c r="AB62" s="64">
        <v>5</v>
      </c>
      <c r="AC62" s="64">
        <v>5</v>
      </c>
      <c r="AD62" s="64">
        <v>5</v>
      </c>
      <c r="AE62" s="64">
        <v>5</v>
      </c>
      <c r="AF62" s="64">
        <v>5</v>
      </c>
      <c r="AG62" s="54">
        <v>15</v>
      </c>
      <c r="AH62" s="47">
        <f t="shared" si="7"/>
        <v>5</v>
      </c>
      <c r="AI62" s="48">
        <f t="shared" si="8"/>
        <v>0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9.1</v>
      </c>
      <c r="C63" s="64">
        <v>9.1</v>
      </c>
      <c r="D63" s="64">
        <v>9.1</v>
      </c>
      <c r="E63" s="64">
        <v>9.1</v>
      </c>
      <c r="F63" s="64">
        <v>9.1</v>
      </c>
      <c r="G63" s="64">
        <v>9.1</v>
      </c>
      <c r="H63" s="64">
        <v>9.1</v>
      </c>
      <c r="I63" s="64">
        <v>9.1</v>
      </c>
      <c r="J63" s="64">
        <v>9.1</v>
      </c>
      <c r="K63" s="64">
        <v>9.1</v>
      </c>
      <c r="L63" s="64">
        <v>9.1</v>
      </c>
      <c r="M63" s="64">
        <v>10.1</v>
      </c>
      <c r="N63" s="64">
        <v>10.1</v>
      </c>
      <c r="O63" s="64">
        <v>10.1</v>
      </c>
      <c r="P63" s="64">
        <v>10.1</v>
      </c>
      <c r="Q63" s="64">
        <v>9.8000000000000007</v>
      </c>
      <c r="R63" s="64">
        <v>8.3000000000000007</v>
      </c>
      <c r="S63" s="64">
        <v>8.3000000000000007</v>
      </c>
      <c r="T63" s="64">
        <v>8.3000000000000007</v>
      </c>
      <c r="U63" s="64">
        <v>8.3000000000000007</v>
      </c>
      <c r="V63" s="64">
        <v>8.3000000000000007</v>
      </c>
      <c r="W63" s="64">
        <v>8.3000000000000007</v>
      </c>
      <c r="X63" s="64">
        <v>8.3000000000000007</v>
      </c>
      <c r="Y63" s="64">
        <v>8.3000000000000007</v>
      </c>
      <c r="Z63" s="64">
        <v>7.2</v>
      </c>
      <c r="AA63" s="64">
        <v>8.3000000000000007</v>
      </c>
      <c r="AB63" s="64">
        <v>8.3000000000000007</v>
      </c>
      <c r="AC63" s="64">
        <v>8.3000000000000007</v>
      </c>
      <c r="AD63" s="64">
        <v>8.3000000000000007</v>
      </c>
      <c r="AE63" s="64">
        <v>8.3000000000000007</v>
      </c>
      <c r="AF63" s="64">
        <v>8.3000000000000007</v>
      </c>
      <c r="AG63" s="54">
        <v>14.1</v>
      </c>
      <c r="AH63" s="47">
        <f t="shared" si="7"/>
        <v>10.1</v>
      </c>
      <c r="AI63" s="48">
        <f t="shared" si="8"/>
        <v>7.2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7.1</v>
      </c>
      <c r="C64" s="64">
        <v>7.1</v>
      </c>
      <c r="D64" s="64">
        <v>7.1</v>
      </c>
      <c r="E64" s="64">
        <v>7.1</v>
      </c>
      <c r="F64" s="64">
        <v>7.1</v>
      </c>
      <c r="G64" s="64">
        <v>7.1</v>
      </c>
      <c r="H64" s="64">
        <v>7.1</v>
      </c>
      <c r="I64" s="64">
        <v>7.1</v>
      </c>
      <c r="J64" s="64">
        <v>7.1</v>
      </c>
      <c r="K64" s="64">
        <v>7.1</v>
      </c>
      <c r="L64" s="64">
        <v>7.1</v>
      </c>
      <c r="M64" s="64">
        <v>7.2</v>
      </c>
      <c r="N64" s="64">
        <v>7.2</v>
      </c>
      <c r="O64" s="64">
        <v>7.2</v>
      </c>
      <c r="P64" s="64">
        <v>7.2</v>
      </c>
      <c r="Q64" s="64">
        <v>7.2</v>
      </c>
      <c r="R64" s="64">
        <v>7.2</v>
      </c>
      <c r="S64" s="64">
        <v>7.2</v>
      </c>
      <c r="T64" s="64">
        <v>7.2</v>
      </c>
      <c r="U64" s="64">
        <v>7.2</v>
      </c>
      <c r="V64" s="64">
        <v>1</v>
      </c>
      <c r="W64" s="64">
        <v>0</v>
      </c>
      <c r="X64" s="64">
        <v>0</v>
      </c>
      <c r="Y64" s="64">
        <v>0</v>
      </c>
      <c r="Z64" s="64">
        <v>0</v>
      </c>
      <c r="AA64" s="64">
        <v>0</v>
      </c>
      <c r="AB64" s="64">
        <v>0</v>
      </c>
      <c r="AC64" s="64">
        <v>0</v>
      </c>
      <c r="AD64" s="64">
        <v>0</v>
      </c>
      <c r="AE64" s="64">
        <v>0</v>
      </c>
      <c r="AF64" s="64">
        <v>0</v>
      </c>
      <c r="AG64" s="54">
        <v>14</v>
      </c>
      <c r="AH64" s="47">
        <f t="shared" si="7"/>
        <v>7.2</v>
      </c>
      <c r="AI64" s="48">
        <f t="shared" si="8"/>
        <v>0</v>
      </c>
      <c r="AK64" s="74"/>
    </row>
    <row r="65" spans="1:40" x14ac:dyDescent="0.25">
      <c r="A65" s="53" t="s">
        <v>81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6.2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7"/>
        <v>9.5</v>
      </c>
      <c r="AI65" s="48">
        <f t="shared" si="8"/>
        <v>6.2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7"/>
        <v>6.2</v>
      </c>
      <c r="AI66" s="48">
        <f t="shared" si="8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v>378.34000000000003</v>
      </c>
      <c r="C68" s="59">
        <v>378.34000000000003</v>
      </c>
      <c r="D68" s="59">
        <f t="shared" ref="D68:AG68" si="9">SUM(D55:D67)</f>
        <v>380.54</v>
      </c>
      <c r="E68" s="59">
        <f t="shared" si="9"/>
        <v>378.54000000000008</v>
      </c>
      <c r="F68" s="59">
        <f t="shared" si="9"/>
        <v>378.54000000000008</v>
      </c>
      <c r="G68" s="59">
        <f t="shared" si="9"/>
        <v>378.54000000000008</v>
      </c>
      <c r="H68" s="59">
        <f t="shared" si="9"/>
        <v>377.94000000000005</v>
      </c>
      <c r="I68" s="59">
        <f t="shared" si="9"/>
        <v>377.94000000000005</v>
      </c>
      <c r="J68" s="59">
        <f t="shared" si="9"/>
        <v>377.94000000000005</v>
      </c>
      <c r="K68" s="59">
        <f t="shared" si="9"/>
        <v>377.94000000000005</v>
      </c>
      <c r="L68" s="59">
        <f t="shared" si="9"/>
        <v>378.64000000000004</v>
      </c>
      <c r="M68" s="59">
        <f t="shared" si="9"/>
        <v>383.43999999999994</v>
      </c>
      <c r="N68" s="59">
        <f t="shared" si="9"/>
        <v>383.14</v>
      </c>
      <c r="O68" s="59">
        <f t="shared" si="9"/>
        <v>392.43999999999994</v>
      </c>
      <c r="P68" s="59">
        <f t="shared" si="9"/>
        <v>393.34</v>
      </c>
      <c r="Q68" s="59">
        <f t="shared" si="9"/>
        <v>382.84</v>
      </c>
      <c r="R68" s="59">
        <f t="shared" si="9"/>
        <v>387.53999999999996</v>
      </c>
      <c r="S68" s="59">
        <f t="shared" si="9"/>
        <v>392.53999999999996</v>
      </c>
      <c r="T68" s="59">
        <f t="shared" si="9"/>
        <v>393.94</v>
      </c>
      <c r="U68" s="59">
        <f t="shared" si="9"/>
        <v>393.94</v>
      </c>
      <c r="V68" s="59">
        <f t="shared" si="9"/>
        <v>387.74</v>
      </c>
      <c r="W68" s="59">
        <f t="shared" si="9"/>
        <v>386.74</v>
      </c>
      <c r="X68" s="59">
        <f t="shared" si="9"/>
        <v>387.24</v>
      </c>
      <c r="Y68" s="59">
        <f t="shared" si="9"/>
        <v>387.24</v>
      </c>
      <c r="Z68" s="59">
        <f>SUM(Z54:Z67)</f>
        <v>824.94</v>
      </c>
      <c r="AA68" s="59">
        <f>SUM(AA55:AA67)</f>
        <v>369.24</v>
      </c>
      <c r="AB68" s="59">
        <f t="shared" si="9"/>
        <v>369.34000000000003</v>
      </c>
      <c r="AC68" s="59">
        <f t="shared" si="9"/>
        <v>369.34000000000003</v>
      </c>
      <c r="AD68" s="59">
        <f t="shared" si="9"/>
        <v>369.34000000000003</v>
      </c>
      <c r="AE68" s="59">
        <f t="shared" si="9"/>
        <v>361.74</v>
      </c>
      <c r="AF68" s="59">
        <f>SUM(AF55:AF67)</f>
        <v>361.74</v>
      </c>
      <c r="AG68" s="60">
        <f t="shared" si="9"/>
        <v>489.91</v>
      </c>
      <c r="AH68" s="47">
        <f t="shared" si="2"/>
        <v>824.94</v>
      </c>
      <c r="AI68" s="48">
        <f t="shared" si="3"/>
        <v>361.74</v>
      </c>
      <c r="AK68" s="74"/>
    </row>
    <row r="69" spans="1:40" x14ac:dyDescent="0.25">
      <c r="A69" s="44" t="s">
        <v>85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25</v>
      </c>
      <c r="K69" s="45">
        <v>30</v>
      </c>
      <c r="L69" s="45">
        <v>30</v>
      </c>
      <c r="M69" s="45">
        <v>20</v>
      </c>
      <c r="N69" s="45">
        <v>20</v>
      </c>
      <c r="O69" s="45">
        <v>20</v>
      </c>
      <c r="P69" s="45">
        <v>20</v>
      </c>
      <c r="Q69" s="45">
        <v>10</v>
      </c>
      <c r="R69" s="45">
        <v>0</v>
      </c>
      <c r="S69" s="45">
        <v>0</v>
      </c>
      <c r="T69" s="45">
        <v>40</v>
      </c>
      <c r="U69" s="45">
        <v>12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24</v>
      </c>
      <c r="AB69" s="45">
        <v>29.9</v>
      </c>
      <c r="AC69" s="45">
        <v>29.9</v>
      </c>
      <c r="AD69" s="45">
        <v>50</v>
      </c>
      <c r="AE69" s="45">
        <v>58</v>
      </c>
      <c r="AF69" s="45">
        <v>54</v>
      </c>
      <c r="AG69" s="51">
        <v>60</v>
      </c>
      <c r="AH69" s="47">
        <f t="shared" si="2"/>
        <v>58</v>
      </c>
      <c r="AI69" s="48">
        <f t="shared" si="3"/>
        <v>0</v>
      </c>
      <c r="AK69" s="74"/>
    </row>
    <row r="70" spans="1:40" x14ac:dyDescent="0.25">
      <c r="A70" s="53" t="s">
        <v>86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64">
        <v>4</v>
      </c>
      <c r="K70" s="64">
        <v>15</v>
      </c>
      <c r="L70" s="64">
        <v>15</v>
      </c>
      <c r="M70" s="64">
        <v>10.8</v>
      </c>
      <c r="N70" s="64">
        <v>9.8000000000000007</v>
      </c>
      <c r="O70" s="64">
        <v>10.8</v>
      </c>
      <c r="P70" s="64">
        <v>10.8</v>
      </c>
      <c r="Q70" s="64">
        <v>4.4000000000000004</v>
      </c>
      <c r="R70" s="64">
        <v>4.5</v>
      </c>
      <c r="S70" s="64">
        <v>4.5</v>
      </c>
      <c r="T70" s="64">
        <v>15.4</v>
      </c>
      <c r="U70" s="64">
        <v>5.4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12.1</v>
      </c>
      <c r="AB70" s="64">
        <v>15</v>
      </c>
      <c r="AC70" s="64">
        <v>15</v>
      </c>
      <c r="AD70" s="64">
        <v>19</v>
      </c>
      <c r="AE70" s="64">
        <v>30.5</v>
      </c>
      <c r="AF70" s="64">
        <v>27</v>
      </c>
      <c r="AG70" s="54">
        <v>32</v>
      </c>
      <c r="AH70" s="47">
        <f t="shared" si="2"/>
        <v>30.5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66">
        <v>1.5</v>
      </c>
      <c r="K71" s="66">
        <v>5.5</v>
      </c>
      <c r="L71" s="66">
        <v>5.4</v>
      </c>
      <c r="M71" s="66">
        <v>4</v>
      </c>
      <c r="N71" s="66">
        <v>3.6</v>
      </c>
      <c r="O71" s="66">
        <v>4</v>
      </c>
      <c r="P71" s="66">
        <v>4</v>
      </c>
      <c r="Q71" s="66">
        <v>1.6</v>
      </c>
      <c r="R71" s="66">
        <v>1.6</v>
      </c>
      <c r="S71" s="66">
        <v>1.6</v>
      </c>
      <c r="T71" s="66">
        <v>5.6</v>
      </c>
      <c r="U71" s="66">
        <v>5.6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4.4000000000000004</v>
      </c>
      <c r="AB71" s="66">
        <v>5.5</v>
      </c>
      <c r="AC71" s="66">
        <v>5.5</v>
      </c>
      <c r="AD71" s="66">
        <v>7</v>
      </c>
      <c r="AE71" s="66">
        <v>11.1</v>
      </c>
      <c r="AF71" s="66">
        <v>9.9</v>
      </c>
      <c r="AG71" s="67">
        <v>14</v>
      </c>
      <c r="AH71" s="47">
        <f t="shared" si="2"/>
        <v>11.1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50.4</v>
      </c>
      <c r="M72" s="59">
        <f t="shared" ref="M72:AF72" si="10">M69+M70+M71</f>
        <v>34.799999999999997</v>
      </c>
      <c r="N72" s="59">
        <f t="shared" si="10"/>
        <v>33.4</v>
      </c>
      <c r="O72" s="59">
        <f t="shared" si="10"/>
        <v>34.799999999999997</v>
      </c>
      <c r="P72" s="59">
        <f t="shared" si="10"/>
        <v>34.799999999999997</v>
      </c>
      <c r="Q72" s="59">
        <f t="shared" si="10"/>
        <v>16</v>
      </c>
      <c r="R72" s="59">
        <f t="shared" si="10"/>
        <v>6.1</v>
      </c>
      <c r="S72" s="59">
        <f t="shared" si="10"/>
        <v>6.1</v>
      </c>
      <c r="T72" s="59">
        <f t="shared" si="10"/>
        <v>61</v>
      </c>
      <c r="U72" s="59">
        <f t="shared" si="10"/>
        <v>23</v>
      </c>
      <c r="V72" s="59">
        <f t="shared" si="10"/>
        <v>0</v>
      </c>
      <c r="W72" s="59">
        <f t="shared" si="10"/>
        <v>0</v>
      </c>
      <c r="X72" s="59">
        <f t="shared" si="10"/>
        <v>0</v>
      </c>
      <c r="Y72" s="59">
        <f t="shared" si="10"/>
        <v>0</v>
      </c>
      <c r="Z72" s="59">
        <f t="shared" si="10"/>
        <v>0</v>
      </c>
      <c r="AA72" s="59">
        <f>SUM(AA69:AA71)</f>
        <v>40.5</v>
      </c>
      <c r="AB72" s="59">
        <f t="shared" si="10"/>
        <v>50.4</v>
      </c>
      <c r="AC72" s="59">
        <f t="shared" si="10"/>
        <v>50.4</v>
      </c>
      <c r="AD72" s="59">
        <f t="shared" si="10"/>
        <v>76</v>
      </c>
      <c r="AE72" s="59">
        <f t="shared" si="10"/>
        <v>99.6</v>
      </c>
      <c r="AF72" s="59">
        <f t="shared" si="10"/>
        <v>90.9</v>
      </c>
      <c r="AG72" s="60">
        <f>SUM(AG69:AG71)</f>
        <v>106</v>
      </c>
      <c r="AH72" s="47">
        <f t="shared" si="2"/>
        <v>99.6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13.1</v>
      </c>
      <c r="C73" s="45">
        <v>13.1</v>
      </c>
      <c r="D73" s="45">
        <v>10.199999999999999</v>
      </c>
      <c r="E73" s="45">
        <v>9.9</v>
      </c>
      <c r="F73" s="45">
        <v>16</v>
      </c>
      <c r="G73" s="45">
        <v>7.8</v>
      </c>
      <c r="H73" s="45">
        <v>7.4</v>
      </c>
      <c r="I73" s="45">
        <v>0</v>
      </c>
      <c r="J73" s="45">
        <v>40.520000000000003</v>
      </c>
      <c r="K73" s="45">
        <v>41</v>
      </c>
      <c r="L73" s="45">
        <v>38</v>
      </c>
      <c r="M73" s="45">
        <v>25.6</v>
      </c>
      <c r="N73" s="45">
        <v>36.9</v>
      </c>
      <c r="O73" s="45">
        <v>40.700000000000003</v>
      </c>
      <c r="P73" s="45">
        <v>39.5</v>
      </c>
      <c r="Q73" s="45">
        <v>27.7</v>
      </c>
      <c r="R73" s="45">
        <v>18</v>
      </c>
      <c r="S73" s="45">
        <v>17.100000000000001</v>
      </c>
      <c r="T73" s="45">
        <v>42.7</v>
      </c>
      <c r="U73" s="45">
        <v>25</v>
      </c>
      <c r="V73" s="45">
        <v>25</v>
      </c>
      <c r="W73" s="45">
        <v>25</v>
      </c>
      <c r="X73" s="45">
        <v>23.3</v>
      </c>
      <c r="Y73" s="45">
        <v>30.5</v>
      </c>
      <c r="Z73" s="45">
        <v>43</v>
      </c>
      <c r="AA73" s="45">
        <v>48</v>
      </c>
      <c r="AB73" s="45">
        <v>59.2</v>
      </c>
      <c r="AC73" s="45">
        <v>68.599999999999994</v>
      </c>
      <c r="AD73" s="45">
        <v>60.4</v>
      </c>
      <c r="AE73" s="45">
        <v>60.6</v>
      </c>
      <c r="AF73" s="45">
        <v>62.6</v>
      </c>
      <c r="AG73" s="51"/>
      <c r="AH73" s="47">
        <f t="shared" si="2"/>
        <v>68.599999999999994</v>
      </c>
      <c r="AI73" s="48">
        <f t="shared" si="3"/>
        <v>0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-326.7</v>
      </c>
      <c r="C75" s="64">
        <v>-320.8</v>
      </c>
      <c r="D75" s="64">
        <v>-333</v>
      </c>
      <c r="E75" s="64">
        <v>-354</v>
      </c>
      <c r="F75" s="64">
        <v>-352</v>
      </c>
      <c r="G75" s="64">
        <v>-382</v>
      </c>
      <c r="H75" s="64">
        <v>-395.9</v>
      </c>
      <c r="I75" s="64">
        <v>-430</v>
      </c>
      <c r="J75" s="64">
        <v>-426</v>
      </c>
      <c r="K75" s="64">
        <v>-421</v>
      </c>
      <c r="L75" s="64">
        <v>-401</v>
      </c>
      <c r="M75" s="64">
        <v>-405</v>
      </c>
      <c r="N75" s="64">
        <v>-437</v>
      </c>
      <c r="O75" s="64">
        <v>-387</v>
      </c>
      <c r="P75" s="64">
        <v>-358.3</v>
      </c>
      <c r="Q75" s="64">
        <v>-323.89999999999998</v>
      </c>
      <c r="R75" s="64">
        <v>-349.1</v>
      </c>
      <c r="S75" s="64">
        <v>-368</v>
      </c>
      <c r="T75" s="64">
        <v>-355</v>
      </c>
      <c r="U75" s="64">
        <v>-404</v>
      </c>
      <c r="V75" s="64">
        <v>-390</v>
      </c>
      <c r="W75" s="64">
        <v>-409</v>
      </c>
      <c r="X75" s="64">
        <v>-412</v>
      </c>
      <c r="Y75" s="64">
        <v>-416</v>
      </c>
      <c r="Z75" s="64">
        <v>-400</v>
      </c>
      <c r="AA75" s="64">
        <v>-305</v>
      </c>
      <c r="AB75" s="64">
        <v>-292.5</v>
      </c>
      <c r="AC75" s="64">
        <v>-275</v>
      </c>
      <c r="AD75" s="64">
        <v>-286</v>
      </c>
      <c r="AE75" s="64">
        <v>-288</v>
      </c>
      <c r="AF75" s="64">
        <v>-272</v>
      </c>
      <c r="AG75" s="75"/>
      <c r="AH75" s="47">
        <f t="shared" si="2"/>
        <v>-272</v>
      </c>
      <c r="AI75" s="48">
        <f t="shared" si="3"/>
        <v>-437</v>
      </c>
      <c r="AK75" s="74"/>
    </row>
    <row r="76" spans="1:40" x14ac:dyDescent="0.25">
      <c r="A76" s="53" t="s">
        <v>92</v>
      </c>
      <c r="B76" s="64">
        <v>20</v>
      </c>
      <c r="C76" s="64">
        <v>16.3</v>
      </c>
      <c r="D76" s="64">
        <v>16.3</v>
      </c>
      <c r="E76" s="64">
        <v>16.3</v>
      </c>
      <c r="F76" s="76">
        <v>16</v>
      </c>
      <c r="G76" s="76">
        <v>15</v>
      </c>
      <c r="H76" s="76">
        <v>15</v>
      </c>
      <c r="I76" s="76">
        <v>15</v>
      </c>
      <c r="J76" s="76">
        <v>11</v>
      </c>
      <c r="K76" s="76">
        <v>11</v>
      </c>
      <c r="L76" s="76">
        <v>11</v>
      </c>
      <c r="M76" s="76">
        <v>12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75"/>
      <c r="AH76" s="47">
        <f t="shared" si="2"/>
        <v>20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11">MAX(B77:AF77)</f>
        <v>0</v>
      </c>
      <c r="AI77" s="48">
        <f t="shared" ref="AI77:AI120" si="12">MIN(B77:AF77)</f>
        <v>0</v>
      </c>
      <c r="AK77" s="74"/>
    </row>
    <row r="78" spans="1:40" x14ac:dyDescent="0.25">
      <c r="A78" s="53" t="s">
        <v>94</v>
      </c>
      <c r="B78" s="45">
        <v>6</v>
      </c>
      <c r="C78" s="45">
        <v>6</v>
      </c>
      <c r="D78" s="45">
        <v>6</v>
      </c>
      <c r="E78" s="45">
        <v>6</v>
      </c>
      <c r="F78" s="45">
        <v>6</v>
      </c>
      <c r="G78" s="45">
        <v>6</v>
      </c>
      <c r="H78" s="45">
        <v>6</v>
      </c>
      <c r="I78" s="45">
        <v>6</v>
      </c>
      <c r="J78" s="45">
        <v>6</v>
      </c>
      <c r="K78" s="45">
        <v>6</v>
      </c>
      <c r="L78" s="45">
        <v>6</v>
      </c>
      <c r="M78" s="77">
        <v>5</v>
      </c>
      <c r="N78" s="77">
        <v>5</v>
      </c>
      <c r="O78" s="77">
        <v>5</v>
      </c>
      <c r="P78" s="77">
        <v>5</v>
      </c>
      <c r="Q78" s="77">
        <v>5</v>
      </c>
      <c r="R78" s="77">
        <v>5</v>
      </c>
      <c r="S78" s="77">
        <v>5</v>
      </c>
      <c r="T78" s="77">
        <v>5</v>
      </c>
      <c r="U78" s="77">
        <v>5</v>
      </c>
      <c r="V78" s="77">
        <v>5</v>
      </c>
      <c r="W78" s="77">
        <v>5</v>
      </c>
      <c r="X78" s="77">
        <v>5</v>
      </c>
      <c r="Y78" s="77">
        <v>5</v>
      </c>
      <c r="Z78" s="77">
        <v>5</v>
      </c>
      <c r="AA78" s="77">
        <v>5</v>
      </c>
      <c r="AB78" s="77">
        <v>5</v>
      </c>
      <c r="AC78" s="77">
        <v>5</v>
      </c>
      <c r="AD78" s="77">
        <v>5</v>
      </c>
      <c r="AE78" s="77">
        <v>5</v>
      </c>
      <c r="AF78" s="77">
        <v>5</v>
      </c>
      <c r="AG78" s="75"/>
      <c r="AH78" s="47">
        <f t="shared" si="11"/>
        <v>6</v>
      </c>
      <c r="AI78" s="48">
        <f t="shared" si="12"/>
        <v>5</v>
      </c>
      <c r="AK78" s="74"/>
    </row>
    <row r="79" spans="1:40" ht="15.75" thickBot="1" x14ac:dyDescent="0.3">
      <c r="A79" s="53" t="s">
        <v>95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1"/>
        <v>0</v>
      </c>
      <c r="AI79" s="48">
        <f t="shared" si="12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11"/>
        <v>0</v>
      </c>
      <c r="AI80" s="48">
        <f t="shared" si="12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1"/>
        <v>0</v>
      </c>
      <c r="AI81" s="48">
        <f t="shared" si="12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1"/>
        <v>0</v>
      </c>
      <c r="AI82" s="48">
        <f t="shared" si="12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1"/>
        <v>0</v>
      </c>
      <c r="AI83" s="48">
        <f t="shared" si="12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v>49.5</v>
      </c>
      <c r="C84" s="59">
        <f t="shared" ref="C84:AF84" si="13">SUMIF(C73:C83,"&gt;0")</f>
        <v>35.4</v>
      </c>
      <c r="D84" s="59">
        <f t="shared" si="13"/>
        <v>32.5</v>
      </c>
      <c r="E84" s="59">
        <f t="shared" si="13"/>
        <v>32.200000000000003</v>
      </c>
      <c r="F84" s="59">
        <f t="shared" si="13"/>
        <v>38</v>
      </c>
      <c r="G84" s="59">
        <f t="shared" si="13"/>
        <v>28.8</v>
      </c>
      <c r="H84" s="59">
        <f t="shared" si="13"/>
        <v>28.4</v>
      </c>
      <c r="I84" s="59">
        <f t="shared" si="13"/>
        <v>21</v>
      </c>
      <c r="J84" s="59">
        <f t="shared" si="13"/>
        <v>57.52</v>
      </c>
      <c r="K84" s="59">
        <f t="shared" si="13"/>
        <v>58</v>
      </c>
      <c r="L84" s="59">
        <f t="shared" si="13"/>
        <v>55</v>
      </c>
      <c r="M84" s="59">
        <f t="shared" si="13"/>
        <v>42.6</v>
      </c>
      <c r="N84" s="59">
        <f t="shared" si="13"/>
        <v>41.9</v>
      </c>
      <c r="O84" s="59">
        <f t="shared" si="13"/>
        <v>45.7</v>
      </c>
      <c r="P84" s="59">
        <f t="shared" si="13"/>
        <v>44.5</v>
      </c>
      <c r="Q84" s="59">
        <f t="shared" si="13"/>
        <v>32.700000000000003</v>
      </c>
      <c r="R84" s="59">
        <f>SUMIF(R73:R83,"&gt;0")</f>
        <v>23</v>
      </c>
      <c r="S84" s="59">
        <f t="shared" si="13"/>
        <v>22.1</v>
      </c>
      <c r="T84" s="59">
        <f t="shared" si="13"/>
        <v>47.7</v>
      </c>
      <c r="U84" s="59">
        <f t="shared" si="13"/>
        <v>30</v>
      </c>
      <c r="V84" s="59">
        <f t="shared" si="13"/>
        <v>30</v>
      </c>
      <c r="W84" s="59">
        <f t="shared" si="13"/>
        <v>30</v>
      </c>
      <c r="X84" s="59">
        <f t="shared" si="13"/>
        <v>28.3</v>
      </c>
      <c r="Y84" s="59">
        <f t="shared" si="13"/>
        <v>35.5</v>
      </c>
      <c r="Z84" s="59">
        <f t="shared" si="13"/>
        <v>48</v>
      </c>
      <c r="AA84" s="59">
        <f>SUMIF(AA73:AA83,"&gt;0")</f>
        <v>53</v>
      </c>
      <c r="AB84" s="59">
        <f t="shared" si="13"/>
        <v>64.2</v>
      </c>
      <c r="AC84" s="59">
        <f t="shared" si="13"/>
        <v>73.599999999999994</v>
      </c>
      <c r="AD84" s="59">
        <f t="shared" si="13"/>
        <v>65.400000000000006</v>
      </c>
      <c r="AE84" s="59">
        <f t="shared" si="13"/>
        <v>65.599999999999994</v>
      </c>
      <c r="AF84" s="59">
        <f t="shared" si="13"/>
        <v>67.599999999999994</v>
      </c>
      <c r="AG84" s="88">
        <f>SUM(AG73:AG83)</f>
        <v>0</v>
      </c>
      <c r="AH84" s="47">
        <f t="shared" si="11"/>
        <v>73.599999999999994</v>
      </c>
      <c r="AI84" s="48">
        <f t="shared" si="12"/>
        <v>21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1"/>
        <v>0</v>
      </c>
      <c r="AI85" s="48">
        <f t="shared" si="12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1"/>
        <v>0</v>
      </c>
      <c r="AI86" s="48">
        <f t="shared" si="12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1"/>
        <v>0</v>
      </c>
      <c r="AI87" s="48">
        <f t="shared" si="12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>
        <f>SUM(AA85:AA87)</f>
        <v>0</v>
      </c>
      <c r="AB88" s="59"/>
      <c r="AC88" s="59"/>
      <c r="AD88" s="59"/>
      <c r="AE88" s="59"/>
      <c r="AF88" s="59"/>
      <c r="AG88" s="88">
        <f>SUM(AG85:AG87)</f>
        <v>55.4</v>
      </c>
      <c r="AH88" s="47">
        <f t="shared" si="11"/>
        <v>0</v>
      </c>
      <c r="AI88" s="48">
        <f t="shared" si="12"/>
        <v>0</v>
      </c>
    </row>
    <row r="89" spans="1:40" ht="15.75" thickBot="1" x14ac:dyDescent="0.3">
      <c r="A89" s="73" t="s">
        <v>108</v>
      </c>
      <c r="B89" s="95">
        <v>1951.94</v>
      </c>
      <c r="C89" s="95">
        <f t="shared" ref="C89:AG89" si="14">C50+C54+C72+C68+C84+C88</f>
        <v>1969.94</v>
      </c>
      <c r="D89" s="95">
        <f t="shared" si="14"/>
        <v>1969.2399999999998</v>
      </c>
      <c r="E89" s="95">
        <f t="shared" si="14"/>
        <v>1971.9399999999998</v>
      </c>
      <c r="F89" s="95">
        <f t="shared" si="14"/>
        <v>1967.44</v>
      </c>
      <c r="G89" s="95">
        <f t="shared" si="14"/>
        <v>1956.24</v>
      </c>
      <c r="H89" s="95">
        <f t="shared" si="14"/>
        <v>1961.14</v>
      </c>
      <c r="I89" s="95">
        <f t="shared" si="14"/>
        <v>1961.7399999999998</v>
      </c>
      <c r="J89" s="95">
        <f t="shared" si="14"/>
        <v>2015.2599999999998</v>
      </c>
      <c r="K89" s="95">
        <f t="shared" si="14"/>
        <v>2011.3400000000001</v>
      </c>
      <c r="L89" s="95">
        <f t="shared" si="14"/>
        <v>2071.34</v>
      </c>
      <c r="M89" s="95">
        <f t="shared" si="14"/>
        <v>2046.8399999999997</v>
      </c>
      <c r="N89" s="95">
        <f t="shared" si="14"/>
        <v>2044.44</v>
      </c>
      <c r="O89" s="95">
        <f t="shared" si="14"/>
        <v>2058.9399999999996</v>
      </c>
      <c r="P89" s="95">
        <f t="shared" si="14"/>
        <v>2058.64</v>
      </c>
      <c r="Q89" s="95">
        <f t="shared" si="14"/>
        <v>2005.54</v>
      </c>
      <c r="R89" s="95">
        <f t="shared" si="14"/>
        <v>2002.6399999999999</v>
      </c>
      <c r="S89" s="95">
        <f t="shared" si="14"/>
        <v>2054.7399999999998</v>
      </c>
      <c r="T89" s="95">
        <f t="shared" si="14"/>
        <v>2136.64</v>
      </c>
      <c r="U89" s="95">
        <f t="shared" si="14"/>
        <v>2080.94</v>
      </c>
      <c r="V89" s="95">
        <f t="shared" si="14"/>
        <v>2045.74</v>
      </c>
      <c r="W89" s="95">
        <f t="shared" si="14"/>
        <v>2042.74</v>
      </c>
      <c r="X89" s="95">
        <f t="shared" si="14"/>
        <v>2002.1399999999999</v>
      </c>
      <c r="Y89" s="95">
        <f t="shared" si="14"/>
        <v>2009.34</v>
      </c>
      <c r="Z89" s="95">
        <f t="shared" si="14"/>
        <v>2463.94</v>
      </c>
      <c r="AA89" s="95">
        <f>SUM(AA50,AA54,AA68,AA72,AA84,AA88)</f>
        <v>2074.2399999999998</v>
      </c>
      <c r="AB89" s="95">
        <f t="shared" si="14"/>
        <v>2085.2400000000002</v>
      </c>
      <c r="AC89" s="95">
        <f t="shared" si="14"/>
        <v>2094.1400000000003</v>
      </c>
      <c r="AD89" s="95">
        <f t="shared" si="14"/>
        <v>2075.5400000000004</v>
      </c>
      <c r="AE89" s="95">
        <f t="shared" si="14"/>
        <v>2019.74</v>
      </c>
      <c r="AF89" s="95">
        <f t="shared" si="14"/>
        <v>1993.0400000000002</v>
      </c>
      <c r="AG89" s="60">
        <f t="shared" si="14"/>
        <v>2111.5500000000002</v>
      </c>
      <c r="AH89" s="47">
        <f t="shared" si="11"/>
        <v>2463.94</v>
      </c>
      <c r="AI89" s="48">
        <f t="shared" si="12"/>
        <v>1951.94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11"/>
        <v>0</v>
      </c>
      <c r="AI90" s="48">
        <f t="shared" si="12"/>
        <v>0</v>
      </c>
    </row>
    <row r="91" spans="1:40" ht="15.75" thickBot="1" x14ac:dyDescent="0.3">
      <c r="A91" s="73" t="s">
        <v>110</v>
      </c>
      <c r="B91" s="95">
        <v>1951.94</v>
      </c>
      <c r="C91" s="95">
        <f t="shared" ref="C91:AF91" si="15">C89+C90</f>
        <v>1969.94</v>
      </c>
      <c r="D91" s="95">
        <f t="shared" si="15"/>
        <v>1969.2399999999998</v>
      </c>
      <c r="E91" s="95">
        <f t="shared" si="15"/>
        <v>1971.9399999999998</v>
      </c>
      <c r="F91" s="95">
        <f t="shared" si="15"/>
        <v>1967.44</v>
      </c>
      <c r="G91" s="95">
        <f t="shared" si="15"/>
        <v>1956.24</v>
      </c>
      <c r="H91" s="95">
        <f t="shared" si="15"/>
        <v>1961.14</v>
      </c>
      <c r="I91" s="95">
        <f t="shared" si="15"/>
        <v>1961.7399999999998</v>
      </c>
      <c r="J91" s="95">
        <f t="shared" si="15"/>
        <v>2015.2599999999998</v>
      </c>
      <c r="K91" s="95">
        <f t="shared" si="15"/>
        <v>2011.3400000000001</v>
      </c>
      <c r="L91" s="95">
        <f t="shared" si="15"/>
        <v>2071.34</v>
      </c>
      <c r="M91" s="95">
        <f t="shared" si="15"/>
        <v>2046.8399999999997</v>
      </c>
      <c r="N91" s="95">
        <f t="shared" si="15"/>
        <v>2044.44</v>
      </c>
      <c r="O91" s="95">
        <f t="shared" si="15"/>
        <v>2058.9399999999996</v>
      </c>
      <c r="P91" s="95">
        <f t="shared" si="15"/>
        <v>2058.64</v>
      </c>
      <c r="Q91" s="95">
        <f t="shared" si="15"/>
        <v>2005.54</v>
      </c>
      <c r="R91" s="95">
        <f t="shared" si="15"/>
        <v>2002.6399999999999</v>
      </c>
      <c r="S91" s="95">
        <f t="shared" si="15"/>
        <v>2054.7399999999998</v>
      </c>
      <c r="T91" s="95">
        <f t="shared" si="15"/>
        <v>2136.64</v>
      </c>
      <c r="U91" s="95">
        <f t="shared" si="15"/>
        <v>2080.94</v>
      </c>
      <c r="V91" s="95">
        <f t="shared" si="15"/>
        <v>2045.74</v>
      </c>
      <c r="W91" s="95">
        <f t="shared" si="15"/>
        <v>2042.74</v>
      </c>
      <c r="X91" s="95">
        <f t="shared" si="15"/>
        <v>2002.1399999999999</v>
      </c>
      <c r="Y91" s="95">
        <f t="shared" si="15"/>
        <v>2009.34</v>
      </c>
      <c r="Z91" s="95">
        <f t="shared" si="15"/>
        <v>2463.94</v>
      </c>
      <c r="AA91" s="95">
        <f>SUM(AA89+AA90)</f>
        <v>2074.2399999999998</v>
      </c>
      <c r="AB91" s="95">
        <f t="shared" si="15"/>
        <v>2085.2400000000002</v>
      </c>
      <c r="AC91" s="95">
        <f t="shared" si="15"/>
        <v>2094.1400000000003</v>
      </c>
      <c r="AD91" s="95">
        <f t="shared" si="15"/>
        <v>2075.5400000000004</v>
      </c>
      <c r="AE91" s="95">
        <f t="shared" si="15"/>
        <v>2019.74</v>
      </c>
      <c r="AF91" s="95">
        <f t="shared" si="15"/>
        <v>1993.0400000000002</v>
      </c>
      <c r="AG91" s="88">
        <f>AG88+AG84+AG72+AG68+AG50+AG90</f>
        <v>1573.45</v>
      </c>
      <c r="AH91" s="47">
        <f t="shared" si="11"/>
        <v>2463.94</v>
      </c>
      <c r="AI91" s="48">
        <f t="shared" si="12"/>
        <v>1951.94</v>
      </c>
    </row>
    <row r="92" spans="1:40" ht="15.75" thickBot="1" x14ac:dyDescent="0.3">
      <c r="A92" s="73" t="s">
        <v>111</v>
      </c>
      <c r="B92" s="95">
        <v>1951.94</v>
      </c>
      <c r="C92" s="95">
        <f t="shared" ref="C92:AF92" si="16">C91-C99</f>
        <v>1969.94</v>
      </c>
      <c r="D92" s="95">
        <f t="shared" si="16"/>
        <v>1969.2399999999998</v>
      </c>
      <c r="E92" s="95">
        <f t="shared" si="16"/>
        <v>1971.9399999999998</v>
      </c>
      <c r="F92" s="95">
        <f t="shared" si="16"/>
        <v>1967.44</v>
      </c>
      <c r="G92" s="95">
        <f t="shared" si="16"/>
        <v>1956.24</v>
      </c>
      <c r="H92" s="95">
        <f t="shared" si="16"/>
        <v>1961.14</v>
      </c>
      <c r="I92" s="95">
        <f t="shared" si="16"/>
        <v>1961.7399999999998</v>
      </c>
      <c r="J92" s="95">
        <f t="shared" si="16"/>
        <v>2015.2599999999998</v>
      </c>
      <c r="K92" s="95">
        <f t="shared" si="16"/>
        <v>2011.3400000000001</v>
      </c>
      <c r="L92" s="95">
        <f t="shared" si="16"/>
        <v>2071.34</v>
      </c>
      <c r="M92" s="95">
        <f t="shared" si="16"/>
        <v>2046.8399999999997</v>
      </c>
      <c r="N92" s="95">
        <f t="shared" si="16"/>
        <v>2044.44</v>
      </c>
      <c r="O92" s="95">
        <f t="shared" si="16"/>
        <v>2058.9399999999996</v>
      </c>
      <c r="P92" s="95">
        <f t="shared" si="16"/>
        <v>2058.64</v>
      </c>
      <c r="Q92" s="95">
        <f t="shared" si="16"/>
        <v>2005.54</v>
      </c>
      <c r="R92" s="95">
        <f t="shared" si="16"/>
        <v>2002.6399999999999</v>
      </c>
      <c r="S92" s="95">
        <f t="shared" si="16"/>
        <v>2054.7399999999998</v>
      </c>
      <c r="T92" s="95">
        <f t="shared" si="16"/>
        <v>2136.64</v>
      </c>
      <c r="U92" s="95">
        <f t="shared" si="16"/>
        <v>2080.94</v>
      </c>
      <c r="V92" s="95">
        <f t="shared" si="16"/>
        <v>2045.74</v>
      </c>
      <c r="W92" s="95">
        <f t="shared" si="16"/>
        <v>2042.74</v>
      </c>
      <c r="X92" s="95">
        <f t="shared" si="16"/>
        <v>2002.1399999999999</v>
      </c>
      <c r="Y92" s="95">
        <f t="shared" si="16"/>
        <v>2009.34</v>
      </c>
      <c r="Z92" s="95">
        <f t="shared" si="16"/>
        <v>2463.94</v>
      </c>
      <c r="AA92" s="95">
        <f>AA91-AA99</f>
        <v>2074.2399999999998</v>
      </c>
      <c r="AB92" s="95">
        <f t="shared" si="16"/>
        <v>2085.2400000000002</v>
      </c>
      <c r="AC92" s="95">
        <f t="shared" si="16"/>
        <v>2094.1400000000003</v>
      </c>
      <c r="AD92" s="95">
        <f t="shared" si="16"/>
        <v>2075.5400000000004</v>
      </c>
      <c r="AE92" s="95">
        <f t="shared" si="16"/>
        <v>2019.74</v>
      </c>
      <c r="AF92" s="95">
        <f t="shared" si="16"/>
        <v>1993.0400000000002</v>
      </c>
      <c r="AG92" s="88"/>
      <c r="AH92" s="47">
        <f t="shared" si="11"/>
        <v>2463.94</v>
      </c>
      <c r="AI92" s="48">
        <f t="shared" si="12"/>
        <v>1951.94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1"/>
        <v>0</v>
      </c>
      <c r="AI93" s="48">
        <f t="shared" si="12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1"/>
        <v>0</v>
      </c>
      <c r="AI94" s="48">
        <f t="shared" si="12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1"/>
        <v>0</v>
      </c>
      <c r="AI95" s="48">
        <f t="shared" si="12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1"/>
        <v>0</v>
      </c>
      <c r="AI96" s="48">
        <f t="shared" si="12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1"/>
        <v>0</v>
      </c>
      <c r="AI97" s="48">
        <f t="shared" si="12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1"/>
        <v>0</v>
      </c>
      <c r="AI98" s="48">
        <f t="shared" si="12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>
        <f>SUM(AA93:AA98)</f>
        <v>0</v>
      </c>
      <c r="AB99" s="59"/>
      <c r="AC99" s="59"/>
      <c r="AD99" s="59"/>
      <c r="AE99" s="59"/>
      <c r="AF99" s="59"/>
      <c r="AG99" s="88"/>
      <c r="AH99" s="47">
        <f t="shared" si="11"/>
        <v>0</v>
      </c>
      <c r="AI99" s="48">
        <f t="shared" si="12"/>
        <v>0</v>
      </c>
      <c r="AK99" s="74"/>
    </row>
    <row r="100" spans="1:37" ht="15.75" thickBot="1" x14ac:dyDescent="0.3">
      <c r="A100" s="73" t="s">
        <v>116</v>
      </c>
      <c r="B100" s="59">
        <v>49.5</v>
      </c>
      <c r="C100" s="59">
        <f t="shared" ref="C100:AF100" si="17">C84-C99</f>
        <v>35.4</v>
      </c>
      <c r="D100" s="59">
        <f t="shared" si="17"/>
        <v>32.5</v>
      </c>
      <c r="E100" s="59">
        <f t="shared" si="17"/>
        <v>32.200000000000003</v>
      </c>
      <c r="F100" s="59">
        <f t="shared" si="17"/>
        <v>38</v>
      </c>
      <c r="G100" s="59">
        <f t="shared" si="17"/>
        <v>28.8</v>
      </c>
      <c r="H100" s="59">
        <f t="shared" si="17"/>
        <v>28.4</v>
      </c>
      <c r="I100" s="59">
        <f t="shared" si="17"/>
        <v>21</v>
      </c>
      <c r="J100" s="59">
        <f t="shared" si="17"/>
        <v>57.52</v>
      </c>
      <c r="K100" s="59">
        <f t="shared" si="17"/>
        <v>58</v>
      </c>
      <c r="L100" s="59">
        <f t="shared" si="17"/>
        <v>55</v>
      </c>
      <c r="M100" s="59">
        <f t="shared" si="17"/>
        <v>42.6</v>
      </c>
      <c r="N100" s="59">
        <f t="shared" si="17"/>
        <v>41.9</v>
      </c>
      <c r="O100" s="59">
        <f t="shared" si="17"/>
        <v>45.7</v>
      </c>
      <c r="P100" s="59">
        <f t="shared" si="17"/>
        <v>44.5</v>
      </c>
      <c r="Q100" s="59">
        <f t="shared" si="17"/>
        <v>32.700000000000003</v>
      </c>
      <c r="R100" s="59">
        <f t="shared" si="17"/>
        <v>23</v>
      </c>
      <c r="S100" s="59">
        <f t="shared" si="17"/>
        <v>22.1</v>
      </c>
      <c r="T100" s="59">
        <f t="shared" si="17"/>
        <v>47.7</v>
      </c>
      <c r="U100" s="59">
        <f t="shared" si="17"/>
        <v>30</v>
      </c>
      <c r="V100" s="59">
        <f t="shared" si="17"/>
        <v>30</v>
      </c>
      <c r="W100" s="59">
        <f t="shared" si="17"/>
        <v>30</v>
      </c>
      <c r="X100" s="59">
        <f t="shared" si="17"/>
        <v>28.3</v>
      </c>
      <c r="Y100" s="59">
        <f t="shared" si="17"/>
        <v>35.5</v>
      </c>
      <c r="Z100" s="59">
        <f t="shared" si="17"/>
        <v>48</v>
      </c>
      <c r="AA100" s="59">
        <f>AA84-AA99</f>
        <v>53</v>
      </c>
      <c r="AB100" s="59">
        <f t="shared" si="17"/>
        <v>64.2</v>
      </c>
      <c r="AC100" s="59">
        <f t="shared" si="17"/>
        <v>73.599999999999994</v>
      </c>
      <c r="AD100" s="59">
        <f t="shared" si="17"/>
        <v>65.400000000000006</v>
      </c>
      <c r="AE100" s="59">
        <f t="shared" si="17"/>
        <v>65.599999999999994</v>
      </c>
      <c r="AF100" s="59">
        <f t="shared" si="17"/>
        <v>67.599999999999994</v>
      </c>
      <c r="AG100" s="88"/>
      <c r="AH100" s="47">
        <f t="shared" si="11"/>
        <v>73.599999999999994</v>
      </c>
      <c r="AI100" s="48">
        <f t="shared" si="12"/>
        <v>21</v>
      </c>
    </row>
    <row r="101" spans="1:37" x14ac:dyDescent="0.25">
      <c r="A101" s="100" t="s">
        <v>117</v>
      </c>
      <c r="B101" s="101">
        <v>49.996000000000002</v>
      </c>
      <c r="C101" s="101">
        <v>50.04</v>
      </c>
      <c r="D101" s="101">
        <v>49.972999999999999</v>
      </c>
      <c r="E101" s="101">
        <v>49.963000000000001</v>
      </c>
      <c r="F101" s="101">
        <v>50.036000000000001</v>
      </c>
      <c r="G101" s="101">
        <v>50</v>
      </c>
      <c r="H101" s="101">
        <v>50</v>
      </c>
      <c r="I101" s="101">
        <v>49.924999999999997</v>
      </c>
      <c r="J101" s="101">
        <v>49.887</v>
      </c>
      <c r="K101" s="101">
        <v>49.932000000000002</v>
      </c>
      <c r="L101" s="101">
        <v>49.914999999999999</v>
      </c>
      <c r="M101" s="101">
        <v>49.988999999999997</v>
      </c>
      <c r="N101" s="101">
        <v>50.042999999999999</v>
      </c>
      <c r="O101" s="101">
        <v>49.823999999999998</v>
      </c>
      <c r="P101" s="101">
        <v>49.923999999999999</v>
      </c>
      <c r="Q101" s="101">
        <v>49.991999999999997</v>
      </c>
      <c r="R101" s="101">
        <v>49.890999999999998</v>
      </c>
      <c r="S101" s="101">
        <v>49.9</v>
      </c>
      <c r="T101" s="101">
        <v>49.95</v>
      </c>
      <c r="U101" s="101">
        <v>50.09</v>
      </c>
      <c r="V101" s="101">
        <v>50.05</v>
      </c>
      <c r="W101" s="101">
        <v>50.1</v>
      </c>
      <c r="X101" s="101">
        <v>50.02</v>
      </c>
      <c r="Y101" s="101">
        <v>49.96</v>
      </c>
      <c r="Z101" s="101">
        <v>50.04</v>
      </c>
      <c r="AA101" s="101">
        <v>50.07</v>
      </c>
      <c r="AB101" s="101">
        <v>50.012</v>
      </c>
      <c r="AC101" s="101">
        <v>50.006</v>
      </c>
      <c r="AD101" s="101">
        <v>49.99</v>
      </c>
      <c r="AE101" s="101">
        <v>50.085000000000001</v>
      </c>
      <c r="AF101" s="101">
        <v>50.026000000000003</v>
      </c>
      <c r="AG101" s="102"/>
      <c r="AH101" s="47">
        <f t="shared" si="11"/>
        <v>50.1</v>
      </c>
      <c r="AI101" s="48">
        <f t="shared" si="12"/>
        <v>49.823999999999998</v>
      </c>
    </row>
    <row r="102" spans="1:37" x14ac:dyDescent="0.25">
      <c r="A102" s="103" t="s">
        <v>118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4"/>
      <c r="AH102" s="47">
        <f t="shared" si="11"/>
        <v>0</v>
      </c>
      <c r="AI102" s="48">
        <f t="shared" si="12"/>
        <v>0</v>
      </c>
    </row>
    <row r="103" spans="1:37" x14ac:dyDescent="0.25">
      <c r="A103" s="103" t="s">
        <v>119</v>
      </c>
      <c r="B103" s="64">
        <v>128.1</v>
      </c>
      <c r="C103" s="64">
        <v>128.1</v>
      </c>
      <c r="D103" s="64">
        <v>128.1</v>
      </c>
      <c r="E103" s="64">
        <v>128.5</v>
      </c>
      <c r="F103" s="64">
        <v>128.80000000000001</v>
      </c>
      <c r="G103" s="64">
        <v>129.9</v>
      </c>
      <c r="H103" s="64">
        <v>129.9</v>
      </c>
      <c r="I103" s="64">
        <v>129.69999999999999</v>
      </c>
      <c r="J103" s="64">
        <v>127.6</v>
      </c>
      <c r="K103" s="64">
        <v>127</v>
      </c>
      <c r="L103" s="64">
        <v>126.5</v>
      </c>
      <c r="M103" s="64">
        <v>126.3</v>
      </c>
      <c r="N103" s="64">
        <v>126.2</v>
      </c>
      <c r="O103" s="64">
        <v>125.2</v>
      </c>
      <c r="P103" s="64">
        <v>124.7</v>
      </c>
      <c r="Q103" s="64">
        <v>123.5</v>
      </c>
      <c r="R103" s="64">
        <v>123.6</v>
      </c>
      <c r="S103" s="64">
        <v>123.9</v>
      </c>
      <c r="T103" s="64">
        <v>126.8</v>
      </c>
      <c r="U103" s="64">
        <v>125.3</v>
      </c>
      <c r="V103" s="64">
        <v>126</v>
      </c>
      <c r="W103" s="64">
        <v>126.6</v>
      </c>
      <c r="X103" s="64">
        <v>127.8</v>
      </c>
      <c r="Y103" s="64">
        <v>128.19999999999999</v>
      </c>
      <c r="Z103" s="64">
        <v>126.7</v>
      </c>
      <c r="AA103" s="64">
        <v>127.7</v>
      </c>
      <c r="AB103" s="64">
        <v>127.5</v>
      </c>
      <c r="AC103" s="64">
        <v>128.69999999999999</v>
      </c>
      <c r="AD103" s="64">
        <v>129.80000000000001</v>
      </c>
      <c r="AE103" s="64">
        <v>132.30000000000001</v>
      </c>
      <c r="AF103" s="64">
        <v>131.4</v>
      </c>
      <c r="AG103" s="104"/>
      <c r="AH103" s="47">
        <f t="shared" si="11"/>
        <v>132.30000000000001</v>
      </c>
      <c r="AI103" s="48">
        <f t="shared" si="12"/>
        <v>123.5</v>
      </c>
    </row>
    <row r="104" spans="1:37" x14ac:dyDescent="0.25">
      <c r="A104" s="103" t="s">
        <v>120</v>
      </c>
      <c r="B104" s="64">
        <v>128.19999999999999</v>
      </c>
      <c r="C104" s="64">
        <v>128.19999999999999</v>
      </c>
      <c r="D104" s="64">
        <v>128.19999999999999</v>
      </c>
      <c r="E104" s="64">
        <v>129.69999999999999</v>
      </c>
      <c r="F104" s="64">
        <v>128.74700000000001</v>
      </c>
      <c r="G104" s="64">
        <v>129.5</v>
      </c>
      <c r="H104" s="64">
        <v>129.5</v>
      </c>
      <c r="I104" s="64">
        <v>130.6</v>
      </c>
      <c r="J104" s="64">
        <v>127.7</v>
      </c>
      <c r="K104" s="64">
        <v>129.19999999999999</v>
      </c>
      <c r="L104" s="64">
        <v>129</v>
      </c>
      <c r="M104" s="64">
        <v>128.1</v>
      </c>
      <c r="N104" s="64">
        <v>128.9</v>
      </c>
      <c r="O104" s="64">
        <v>129.30000000000001</v>
      </c>
      <c r="P104" s="64">
        <v>128.1</v>
      </c>
      <c r="Q104" s="64">
        <v>130.1</v>
      </c>
      <c r="R104" s="64">
        <v>127.1</v>
      </c>
      <c r="S104" s="64">
        <v>123.9</v>
      </c>
      <c r="T104" s="64">
        <v>127.2</v>
      </c>
      <c r="U104" s="64">
        <v>129.4</v>
      </c>
      <c r="V104" s="64">
        <v>128.4</v>
      </c>
      <c r="W104" s="64">
        <v>128.4</v>
      </c>
      <c r="X104" s="64">
        <v>128.6</v>
      </c>
      <c r="Y104" s="64">
        <v>128.4</v>
      </c>
      <c r="Z104" s="64">
        <v>125.7</v>
      </c>
      <c r="AA104" s="64">
        <v>127.7</v>
      </c>
      <c r="AB104" s="64">
        <v>126.8</v>
      </c>
      <c r="AC104" s="64">
        <v>129</v>
      </c>
      <c r="AD104" s="64">
        <v>128.9</v>
      </c>
      <c r="AE104" s="64">
        <v>126.7</v>
      </c>
      <c r="AF104" s="64">
        <v>128.30000000000001</v>
      </c>
      <c r="AG104" s="104"/>
      <c r="AH104" s="47">
        <f t="shared" si="11"/>
        <v>130.6</v>
      </c>
      <c r="AI104" s="48">
        <f t="shared" si="12"/>
        <v>123.9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1"/>
        <v>0</v>
      </c>
      <c r="AI105" s="48">
        <f t="shared" si="12"/>
        <v>0</v>
      </c>
    </row>
    <row r="106" spans="1:37" x14ac:dyDescent="0.25">
      <c r="A106" s="105" t="s">
        <v>122</v>
      </c>
      <c r="B106" s="106">
        <v>129.69999999999999</v>
      </c>
      <c r="C106" s="106">
        <v>129.69999999999999</v>
      </c>
      <c r="D106" s="106">
        <v>129.69999999999999</v>
      </c>
      <c r="E106" s="106">
        <v>130</v>
      </c>
      <c r="F106" s="106">
        <v>132.4</v>
      </c>
      <c r="G106" s="106">
        <v>132.77000000000001</v>
      </c>
      <c r="H106" s="106">
        <v>132.77000000000001</v>
      </c>
      <c r="I106" s="106">
        <v>130.9</v>
      </c>
      <c r="J106" s="106">
        <v>131.5</v>
      </c>
      <c r="K106" s="106">
        <v>131.6</v>
      </c>
      <c r="L106" s="106">
        <v>131.80000000000001</v>
      </c>
      <c r="M106" s="106">
        <v>132.1</v>
      </c>
      <c r="N106" s="106">
        <v>123</v>
      </c>
      <c r="O106" s="106">
        <v>127.9</v>
      </c>
      <c r="P106" s="106">
        <v>127.1</v>
      </c>
      <c r="Q106" s="106">
        <v>130.30000000000001</v>
      </c>
      <c r="R106" s="106">
        <v>131</v>
      </c>
      <c r="S106" s="106">
        <v>126.3</v>
      </c>
      <c r="T106" s="106">
        <v>131.30000000000001</v>
      </c>
      <c r="U106" s="106">
        <v>130</v>
      </c>
      <c r="V106" s="106">
        <v>130</v>
      </c>
      <c r="W106" s="106">
        <v>130</v>
      </c>
      <c r="X106" s="106">
        <v>130.69999999999999</v>
      </c>
      <c r="Y106" s="106">
        <v>134.19999999999999</v>
      </c>
      <c r="Z106" s="106">
        <v>130.5</v>
      </c>
      <c r="AA106" s="106">
        <v>130.69999999999999</v>
      </c>
      <c r="AB106" s="106">
        <v>128.9</v>
      </c>
      <c r="AC106" s="106">
        <v>132.69999999999999</v>
      </c>
      <c r="AD106" s="106">
        <v>132</v>
      </c>
      <c r="AE106" s="106">
        <v>134</v>
      </c>
      <c r="AF106" s="106">
        <v>134</v>
      </c>
      <c r="AG106" s="107"/>
      <c r="AH106" s="47">
        <f t="shared" si="11"/>
        <v>134.19999999999999</v>
      </c>
      <c r="AI106" s="48">
        <f t="shared" si="12"/>
        <v>123</v>
      </c>
    </row>
    <row r="107" spans="1:37" x14ac:dyDescent="0.25">
      <c r="A107" s="103" t="s">
        <v>123</v>
      </c>
      <c r="B107" s="64">
        <v>125.4</v>
      </c>
      <c r="C107" s="64">
        <v>125.4</v>
      </c>
      <c r="D107" s="64">
        <v>125.4</v>
      </c>
      <c r="E107" s="64">
        <v>129.6</v>
      </c>
      <c r="F107" s="64">
        <v>130</v>
      </c>
      <c r="G107" s="64">
        <v>131</v>
      </c>
      <c r="H107" s="64">
        <v>131</v>
      </c>
      <c r="I107" s="64">
        <v>130</v>
      </c>
      <c r="J107" s="64">
        <v>128.6</v>
      </c>
      <c r="K107" s="64">
        <v>128</v>
      </c>
      <c r="L107" s="64">
        <v>125</v>
      </c>
      <c r="M107" s="64">
        <v>122.7</v>
      </c>
      <c r="N107" s="64">
        <v>130</v>
      </c>
      <c r="O107" s="64">
        <v>123.3</v>
      </c>
      <c r="P107" s="64">
        <v>128.5</v>
      </c>
      <c r="Q107" s="64">
        <v>132.6</v>
      </c>
      <c r="R107" s="64">
        <v>133.9</v>
      </c>
      <c r="S107" s="64">
        <v>132.6</v>
      </c>
      <c r="T107" s="64">
        <v>127.3</v>
      </c>
      <c r="U107" s="64">
        <v>128.6</v>
      </c>
      <c r="V107" s="64">
        <v>125.9</v>
      </c>
      <c r="W107" s="64">
        <v>125.9</v>
      </c>
      <c r="X107" s="64">
        <v>129.80000000000001</v>
      </c>
      <c r="Y107" s="64">
        <v>128.6</v>
      </c>
      <c r="Z107" s="64">
        <v>124.5</v>
      </c>
      <c r="AA107" s="64">
        <v>126.6</v>
      </c>
      <c r="AB107" s="64">
        <v>124.8</v>
      </c>
      <c r="AC107" s="64">
        <v>129.30000000000001</v>
      </c>
      <c r="AD107" s="64">
        <v>127.1</v>
      </c>
      <c r="AE107" s="64">
        <v>122</v>
      </c>
      <c r="AF107" s="64">
        <v>122</v>
      </c>
      <c r="AG107" s="104"/>
      <c r="AH107" s="47">
        <f t="shared" si="11"/>
        <v>133.9</v>
      </c>
      <c r="AI107" s="48">
        <f t="shared" si="12"/>
        <v>122</v>
      </c>
    </row>
    <row r="108" spans="1:37" ht="15.75" thickBot="1" x14ac:dyDescent="0.3">
      <c r="A108" s="103" t="s">
        <v>124</v>
      </c>
      <c r="B108" s="92">
        <v>64.8</v>
      </c>
      <c r="C108" s="92">
        <v>64.8</v>
      </c>
      <c r="D108" s="92">
        <v>64.8</v>
      </c>
      <c r="E108" s="92">
        <v>64.5</v>
      </c>
      <c r="F108" s="92">
        <v>64.849999999999994</v>
      </c>
      <c r="G108" s="92">
        <v>65.400000000000006</v>
      </c>
      <c r="H108" s="92">
        <v>65.400000000000006</v>
      </c>
      <c r="I108" s="92">
        <v>64.900000000000006</v>
      </c>
      <c r="J108" s="92">
        <v>64</v>
      </c>
      <c r="K108" s="92">
        <v>63.8</v>
      </c>
      <c r="L108" s="92">
        <v>63.3</v>
      </c>
      <c r="M108" s="92">
        <v>63.3</v>
      </c>
      <c r="N108" s="92">
        <v>63.2</v>
      </c>
      <c r="O108" s="92">
        <v>62.8</v>
      </c>
      <c r="P108" s="92">
        <v>62.3</v>
      </c>
      <c r="Q108" s="92">
        <v>61.6</v>
      </c>
      <c r="R108" s="92">
        <v>61.6</v>
      </c>
      <c r="S108" s="92">
        <v>62</v>
      </c>
      <c r="T108" s="92">
        <v>63.3</v>
      </c>
      <c r="U108" s="92">
        <v>63</v>
      </c>
      <c r="V108" s="92">
        <v>63.7</v>
      </c>
      <c r="W108" s="92">
        <v>63.7</v>
      </c>
      <c r="X108" s="92">
        <v>63.9</v>
      </c>
      <c r="Y108" s="92">
        <v>64.2</v>
      </c>
      <c r="Z108" s="92">
        <v>63.6</v>
      </c>
      <c r="AA108" s="92">
        <v>64.3</v>
      </c>
      <c r="AB108" s="92">
        <v>64.099999999999994</v>
      </c>
      <c r="AC108" s="92">
        <v>64.599999999999994</v>
      </c>
      <c r="AD108" s="92">
        <v>65.099999999999994</v>
      </c>
      <c r="AE108" s="92">
        <v>132.1</v>
      </c>
      <c r="AF108" s="92">
        <v>132.1</v>
      </c>
      <c r="AG108" s="108"/>
      <c r="AH108" s="47">
        <f t="shared" si="11"/>
        <v>132.1</v>
      </c>
      <c r="AI108" s="48">
        <f t="shared" si="12"/>
        <v>61.6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 t="str">
        <f>IF(AA92=MAX($B$93:$F$93),"PN","")</f>
        <v/>
      </c>
      <c r="AB109" s="92"/>
      <c r="AC109" s="92"/>
      <c r="AD109" s="92"/>
      <c r="AE109" s="92"/>
      <c r="AF109" s="92"/>
      <c r="AG109" s="108"/>
      <c r="AH109" s="47">
        <f t="shared" si="11"/>
        <v>0</v>
      </c>
      <c r="AI109" s="48">
        <f t="shared" si="12"/>
        <v>0</v>
      </c>
    </row>
    <row r="110" spans="1:37" ht="15.75" thickBot="1" x14ac:dyDescent="0.3">
      <c r="A110" s="110" t="s">
        <v>126</v>
      </c>
      <c r="B110" s="111">
        <v>89</v>
      </c>
      <c r="C110" s="111">
        <f t="shared" ref="C110:O110" si="18">SUM(C20,C26,C29:C30,C58,C60:C61,C63,C65,C111:C115,C138,C144,C150,C159,C161,C173,C180,C183:C184,C191,C193,C195,C199:C201,C203:C205,C210,C216:C217,C219:C221,C229,C234)</f>
        <v>142.04</v>
      </c>
      <c r="D110" s="111">
        <f t="shared" si="18"/>
        <v>80.439999999999969</v>
      </c>
      <c r="E110" s="111">
        <f t="shared" si="18"/>
        <v>88.94000000000004</v>
      </c>
      <c r="F110" s="111">
        <f t="shared" si="18"/>
        <v>87.539999999999978</v>
      </c>
      <c r="G110" s="111">
        <f t="shared" si="18"/>
        <v>97.340000000000018</v>
      </c>
      <c r="H110" s="111">
        <f t="shared" ref="H110" si="19">SUM(H20,H26,H29:H30,H58,H60:H61,H63,H65,H111:H115,H138,H144,H150,H159,H161,H173,H180,H183:H184,H191,H193,H195,H199:H201,H203:H205,H210,H216:H217,H219:H221,H229,H234)</f>
        <v>107.24</v>
      </c>
      <c r="I110" s="111">
        <f t="shared" si="18"/>
        <v>121.24000000000001</v>
      </c>
      <c r="J110" s="111">
        <f t="shared" si="18"/>
        <v>188.94</v>
      </c>
      <c r="K110" s="111">
        <f t="shared" si="18"/>
        <v>190.34</v>
      </c>
      <c r="L110" s="111">
        <f t="shared" si="18"/>
        <v>214.34000000000003</v>
      </c>
      <c r="M110" s="111">
        <f t="shared" si="18"/>
        <v>208.34</v>
      </c>
      <c r="N110" s="111">
        <f t="shared" si="18"/>
        <v>223.24</v>
      </c>
      <c r="O110" s="111">
        <f t="shared" si="18"/>
        <v>235.04000000000002</v>
      </c>
      <c r="P110" s="111">
        <v>42</v>
      </c>
      <c r="Q110" s="111">
        <f t="shared" ref="Q110:AC110" si="20">SUM(Q20,Q26,Q29:Q30,Q58,Q60:Q61,Q63,Q65,Q111:Q115,Q138,Q144,Q150,Q159,Q161,Q173,Q180,Q183:Q184,Q191,Q193,Q195,Q199:Q201,Q203:Q205,Q210,Q216:Q217,Q219:Q221,Q229,Q234)</f>
        <v>253.3</v>
      </c>
      <c r="R110" s="111">
        <f t="shared" si="20"/>
        <v>232.80000000000007</v>
      </c>
      <c r="S110" s="111">
        <f t="shared" si="20"/>
        <v>214.60000000000005</v>
      </c>
      <c r="T110" s="111">
        <f t="shared" si="20"/>
        <v>167.99999999999997</v>
      </c>
      <c r="U110" s="111">
        <f t="shared" si="20"/>
        <v>222.1</v>
      </c>
      <c r="V110" s="111">
        <f t="shared" si="20"/>
        <v>222.1</v>
      </c>
      <c r="W110" s="111">
        <f t="shared" si="20"/>
        <v>230</v>
      </c>
      <c r="X110" s="111">
        <f t="shared" si="20"/>
        <v>221.50000000000003</v>
      </c>
      <c r="Y110" s="111">
        <f t="shared" si="20"/>
        <v>216.90000000000003</v>
      </c>
      <c r="Z110" s="111">
        <f>SUM(Z20,Z26,Z29:Z30,Z57,Z59:Z60,Z62,Z64,Z111:Z115,Z138,Z144,Z150,Z159,Z161,Z173,Z180,Z183:Z184,Z191,Z193,Z195,Z199:Z201,Z203:Z205,Z210,Z216:Z217,Z219:Z221,Z229,Z234)</f>
        <v>214.99999999999997</v>
      </c>
      <c r="AA110" s="111">
        <f>SUM(AA155,AA111:AA115,AA14,AA23,AA29,AA37,AA40,AA58,AA60:AA61,AA63,AA65)</f>
        <v>257.39999999999998</v>
      </c>
      <c r="AB110" s="111">
        <f t="shared" si="20"/>
        <v>210.9</v>
      </c>
      <c r="AC110" s="111">
        <f t="shared" si="20"/>
        <v>224.4</v>
      </c>
      <c r="AD110" s="111"/>
      <c r="AE110" s="111">
        <f>SUM(AE20,AE26,AE29:AE30,AE58,AE60:AE61,AE63,AE65,AE111:AE115,AE138,AE144,AE150,AE159,AE161,AE173,AE180,AE183:AE184,AE191,AE193,AE195,AE199:AE201,AE203:AE205,AE210,AE216:AE217,AE219:AE221,AE229,AE234)</f>
        <v>149.4</v>
      </c>
      <c r="AF110" s="111">
        <f>SUM(AF20,AF26,AF29:AF30,AF58,AF60:AF61,AF63,AF65,AF111:AF115,AF138,AF144,AF150,AF159,AF161,AF173,AF180,AF183:AF184,AF191,AF193,AF195,AF199:AF201,AF203:AF205,AF210,AF216:AF217,AF219:AF221,AF229,AF234)</f>
        <v>149.4</v>
      </c>
      <c r="AG110" s="112"/>
      <c r="AH110" s="47">
        <f t="shared" si="11"/>
        <v>257.39999999999998</v>
      </c>
      <c r="AI110" s="48">
        <f t="shared" si="12"/>
        <v>42</v>
      </c>
    </row>
    <row r="111" spans="1:37" x14ac:dyDescent="0.25">
      <c r="A111" s="100" t="s">
        <v>127</v>
      </c>
      <c r="B111" s="113">
        <v>44.7</v>
      </c>
      <c r="C111" s="113">
        <v>40.9</v>
      </c>
      <c r="D111" s="113">
        <v>31.7</v>
      </c>
      <c r="E111" s="113">
        <v>36.200000000000003</v>
      </c>
      <c r="F111" s="113">
        <v>36.1</v>
      </c>
      <c r="G111" s="113">
        <v>39.9</v>
      </c>
      <c r="H111" s="113">
        <v>39.9</v>
      </c>
      <c r="I111" s="113">
        <v>41.8</v>
      </c>
      <c r="J111" s="113">
        <v>47.8</v>
      </c>
      <c r="K111" s="113">
        <v>52.5</v>
      </c>
      <c r="L111" s="113">
        <v>53.5</v>
      </c>
      <c r="M111" s="113">
        <v>63.7</v>
      </c>
      <c r="N111" s="113">
        <v>48.2</v>
      </c>
      <c r="O111" s="113">
        <v>54.7</v>
      </c>
      <c r="P111" s="113">
        <v>56.3</v>
      </c>
      <c r="Q111" s="113">
        <v>50.9</v>
      </c>
      <c r="R111" s="113">
        <v>64.900000000000006</v>
      </c>
      <c r="S111" s="113">
        <v>66.8</v>
      </c>
      <c r="T111" s="113">
        <v>63.6</v>
      </c>
      <c r="U111" s="113">
        <v>70.5</v>
      </c>
      <c r="V111" s="113">
        <v>70.5</v>
      </c>
      <c r="W111" s="113">
        <v>71.5</v>
      </c>
      <c r="X111" s="113">
        <v>72.400000000000006</v>
      </c>
      <c r="Y111" s="113">
        <v>68.7</v>
      </c>
      <c r="Z111" s="113">
        <v>71.099999999999994</v>
      </c>
      <c r="AA111" s="113">
        <v>63.7</v>
      </c>
      <c r="AB111" s="113">
        <v>53.9</v>
      </c>
      <c r="AC111" s="113">
        <v>54.5</v>
      </c>
      <c r="AD111" s="113">
        <v>40</v>
      </c>
      <c r="AE111" s="113">
        <v>6.1</v>
      </c>
      <c r="AF111" s="113">
        <v>6.1</v>
      </c>
      <c r="AG111" s="114">
        <v>75</v>
      </c>
      <c r="AH111" s="47">
        <f t="shared" si="11"/>
        <v>72.400000000000006</v>
      </c>
      <c r="AI111" s="48">
        <f t="shared" si="12"/>
        <v>6.1</v>
      </c>
    </row>
    <row r="112" spans="1:37" x14ac:dyDescent="0.25">
      <c r="A112" s="103" t="s">
        <v>128</v>
      </c>
      <c r="B112" s="115">
        <v>78.3</v>
      </c>
      <c r="C112" s="115">
        <v>71.400000000000006</v>
      </c>
      <c r="D112" s="115">
        <v>60.3</v>
      </c>
      <c r="E112" s="115">
        <v>64.599999999999994</v>
      </c>
      <c r="F112" s="115">
        <v>63.2</v>
      </c>
      <c r="G112" s="115">
        <v>67.3</v>
      </c>
      <c r="H112" s="115">
        <v>67.3</v>
      </c>
      <c r="I112" s="115">
        <v>71.3</v>
      </c>
      <c r="J112" s="115">
        <v>82</v>
      </c>
      <c r="K112" s="115">
        <v>85.3</v>
      </c>
      <c r="L112" s="115">
        <v>84</v>
      </c>
      <c r="M112" s="115">
        <v>96</v>
      </c>
      <c r="N112" s="115">
        <v>75.3</v>
      </c>
      <c r="O112" s="115">
        <v>83.8</v>
      </c>
      <c r="P112" s="115">
        <v>86.4</v>
      </c>
      <c r="Q112" s="115">
        <v>79</v>
      </c>
      <c r="R112" s="115">
        <v>98</v>
      </c>
      <c r="S112" s="115">
        <v>101.5</v>
      </c>
      <c r="T112" s="115">
        <v>22.3</v>
      </c>
      <c r="U112" s="115">
        <v>106</v>
      </c>
      <c r="V112" s="115">
        <v>106</v>
      </c>
      <c r="W112" s="115">
        <v>106.2</v>
      </c>
      <c r="X112" s="115">
        <v>104.7</v>
      </c>
      <c r="Y112" s="115">
        <v>100.1</v>
      </c>
      <c r="Z112" s="115">
        <v>105.7</v>
      </c>
      <c r="AA112" s="115">
        <v>93.3</v>
      </c>
      <c r="AB112" s="115">
        <v>81.900000000000006</v>
      </c>
      <c r="AC112" s="115">
        <v>81.8</v>
      </c>
      <c r="AD112" s="115">
        <v>61.85</v>
      </c>
      <c r="AE112" s="115">
        <v>13.5</v>
      </c>
      <c r="AF112" s="115">
        <v>13.5</v>
      </c>
      <c r="AG112" s="114">
        <v>240</v>
      </c>
      <c r="AH112" s="47">
        <f t="shared" si="11"/>
        <v>106.2</v>
      </c>
      <c r="AI112" s="48">
        <f t="shared" si="12"/>
        <v>13.5</v>
      </c>
    </row>
    <row r="113" spans="1:37" x14ac:dyDescent="0.25">
      <c r="A113" s="103" t="s">
        <v>129</v>
      </c>
      <c r="B113" s="115">
        <v>-169</v>
      </c>
      <c r="C113" s="115">
        <v>-176.7</v>
      </c>
      <c r="D113" s="115">
        <v>-190</v>
      </c>
      <c r="E113" s="115">
        <v>-188</v>
      </c>
      <c r="F113" s="115">
        <v>-184</v>
      </c>
      <c r="G113" s="115">
        <v>-184</v>
      </c>
      <c r="H113" s="115">
        <v>-184</v>
      </c>
      <c r="I113" s="115">
        <v>-180</v>
      </c>
      <c r="J113" s="115">
        <v>-168</v>
      </c>
      <c r="K113" s="115">
        <v>-174</v>
      </c>
      <c r="L113" s="115">
        <v>-167</v>
      </c>
      <c r="M113" s="115">
        <v>-187</v>
      </c>
      <c r="N113" s="115">
        <v>-145</v>
      </c>
      <c r="O113" s="115">
        <v>-156</v>
      </c>
      <c r="P113" s="115">
        <v>-152</v>
      </c>
      <c r="Q113" s="115">
        <v>-138</v>
      </c>
      <c r="R113" s="115">
        <v>-164</v>
      </c>
      <c r="S113" s="115">
        <f>-78.8-84.8</f>
        <v>-163.6</v>
      </c>
      <c r="T113" s="115">
        <f>-82.7-69.9</f>
        <v>-152.60000000000002</v>
      </c>
      <c r="U113" s="115">
        <f>-88-86.9</f>
        <v>-174.9</v>
      </c>
      <c r="V113" s="115">
        <f t="shared" ref="V113" si="21">-88-86.9</f>
        <v>-174.9</v>
      </c>
      <c r="W113" s="115">
        <f>-78.2-84.1</f>
        <v>-162.30000000000001</v>
      </c>
      <c r="X113" s="115">
        <f>-76-80.8</f>
        <v>-156.80000000000001</v>
      </c>
      <c r="Y113" s="115">
        <f>-73.8-79.3</f>
        <v>-153.1</v>
      </c>
      <c r="Z113" s="115">
        <f>-74.3-81</f>
        <v>-155.30000000000001</v>
      </c>
      <c r="AA113" s="115">
        <f>-70.6-62.1</f>
        <v>-132.69999999999999</v>
      </c>
      <c r="AB113" s="115">
        <v>-130.6</v>
      </c>
      <c r="AC113" s="115">
        <v>-120</v>
      </c>
      <c r="AD113" s="115">
        <v>-97</v>
      </c>
      <c r="AE113" s="115">
        <v>-92</v>
      </c>
      <c r="AF113" s="115">
        <v>-92</v>
      </c>
      <c r="AG113" s="114">
        <v>240</v>
      </c>
      <c r="AH113" s="47">
        <f t="shared" si="11"/>
        <v>-92</v>
      </c>
      <c r="AI113" s="48">
        <f t="shared" si="12"/>
        <v>-190</v>
      </c>
    </row>
    <row r="114" spans="1:37" x14ac:dyDescent="0.25">
      <c r="A114" s="103" t="s">
        <v>130</v>
      </c>
      <c r="B114" s="115">
        <v>-12.5</v>
      </c>
      <c r="C114" s="115">
        <v>13.7</v>
      </c>
      <c r="D114" s="115">
        <v>-13.8</v>
      </c>
      <c r="E114" s="115">
        <v>-16.5</v>
      </c>
      <c r="F114" s="115">
        <v>-15</v>
      </c>
      <c r="G114" s="115">
        <v>-12.6</v>
      </c>
      <c r="H114" s="115">
        <v>-12.6</v>
      </c>
      <c r="I114" s="115">
        <v>-8.4</v>
      </c>
      <c r="J114" s="115">
        <v>8.9</v>
      </c>
      <c r="K114" s="115">
        <v>14.6</v>
      </c>
      <c r="L114" s="115">
        <v>12.5</v>
      </c>
      <c r="M114" s="115">
        <v>7.5</v>
      </c>
      <c r="N114" s="115">
        <v>9.6</v>
      </c>
      <c r="O114" s="115">
        <v>14.8</v>
      </c>
      <c r="P114" s="115">
        <v>11.1</v>
      </c>
      <c r="Q114" s="115">
        <v>11.9</v>
      </c>
      <c r="R114" s="115">
        <v>-3.7</v>
      </c>
      <c r="S114" s="115">
        <v>-2.2000000000000002</v>
      </c>
      <c r="T114" s="115">
        <v>27.5</v>
      </c>
      <c r="U114" s="115">
        <v>8.1999999999999993</v>
      </c>
      <c r="V114" s="115">
        <v>8.1999999999999993</v>
      </c>
      <c r="W114" s="115">
        <v>2</v>
      </c>
      <c r="X114" s="115">
        <v>3</v>
      </c>
      <c r="Y114" s="115">
        <v>3.4</v>
      </c>
      <c r="Z114" s="115">
        <v>3.7</v>
      </c>
      <c r="AA114" s="115">
        <v>19.5</v>
      </c>
      <c r="AB114" s="115">
        <v>21.8</v>
      </c>
      <c r="AC114" s="115">
        <v>23.8</v>
      </c>
      <c r="AD114" s="115">
        <v>30</v>
      </c>
      <c r="AE114" s="115">
        <v>35.799999999999997</v>
      </c>
      <c r="AF114" s="115">
        <v>35.799999999999997</v>
      </c>
      <c r="AG114" s="114">
        <v>60</v>
      </c>
      <c r="AH114" s="47">
        <f t="shared" si="11"/>
        <v>35.799999999999997</v>
      </c>
      <c r="AI114" s="48">
        <f t="shared" si="12"/>
        <v>-16.5</v>
      </c>
    </row>
    <row r="115" spans="1:37" x14ac:dyDescent="0.25">
      <c r="A115" s="116" t="s">
        <v>131</v>
      </c>
      <c r="B115" s="117">
        <v>24.2</v>
      </c>
      <c r="C115" s="117">
        <v>24.2</v>
      </c>
      <c r="D115" s="117">
        <v>23.7</v>
      </c>
      <c r="E115" s="117">
        <v>23.8</v>
      </c>
      <c r="F115" s="117">
        <v>23.7</v>
      </c>
      <c r="G115" s="117">
        <v>23.2</v>
      </c>
      <c r="H115" s="117">
        <v>23.2</v>
      </c>
      <c r="I115" s="117">
        <v>23.1</v>
      </c>
      <c r="J115" s="117">
        <v>44.8</v>
      </c>
      <c r="K115" s="117">
        <v>38.5</v>
      </c>
      <c r="L115" s="117">
        <v>55.7</v>
      </c>
      <c r="M115" s="117">
        <v>47.1</v>
      </c>
      <c r="N115" s="117">
        <v>54.4</v>
      </c>
      <c r="O115" s="117">
        <v>48.7</v>
      </c>
      <c r="P115" s="117">
        <v>50.4</v>
      </c>
      <c r="Q115" s="117">
        <v>68.099999999999994</v>
      </c>
      <c r="R115" s="117">
        <v>50.2</v>
      </c>
      <c r="S115" s="117">
        <v>24.7</v>
      </c>
      <c r="T115" s="117">
        <v>19.100000000000001</v>
      </c>
      <c r="U115" s="117">
        <v>24.2</v>
      </c>
      <c r="V115" s="117">
        <v>24.2</v>
      </c>
      <c r="W115" s="117">
        <v>24.5</v>
      </c>
      <c r="X115" s="117">
        <v>24.4</v>
      </c>
      <c r="Y115" s="117">
        <v>24</v>
      </c>
      <c r="Z115" s="117">
        <v>24.4</v>
      </c>
      <c r="AA115" s="117">
        <v>22.1</v>
      </c>
      <c r="AB115" s="117">
        <v>22.2</v>
      </c>
      <c r="AC115" s="117">
        <v>22.6</v>
      </c>
      <c r="AD115" s="117">
        <v>23.1</v>
      </c>
      <c r="AE115" s="117">
        <v>24.3</v>
      </c>
      <c r="AF115" s="117">
        <v>24.3</v>
      </c>
      <c r="AG115" s="118">
        <v>120</v>
      </c>
      <c r="AH115" s="47">
        <f t="shared" si="11"/>
        <v>68.099999999999994</v>
      </c>
      <c r="AI115" s="48">
        <f t="shared" si="12"/>
        <v>19.100000000000001</v>
      </c>
    </row>
    <row r="116" spans="1:37" x14ac:dyDescent="0.25">
      <c r="A116" s="116" t="s">
        <v>132</v>
      </c>
      <c r="B116" s="117">
        <v>60.7</v>
      </c>
      <c r="C116" s="117">
        <v>55.1</v>
      </c>
      <c r="D116" s="117">
        <v>52.2</v>
      </c>
      <c r="E116" s="117">
        <v>45.8</v>
      </c>
      <c r="F116" s="117">
        <v>54.4</v>
      </c>
      <c r="G116" s="117">
        <v>50.8</v>
      </c>
      <c r="H116" s="117">
        <v>50.8</v>
      </c>
      <c r="I116" s="117">
        <v>44.7</v>
      </c>
      <c r="J116" s="117">
        <v>36.200000000000003</v>
      </c>
      <c r="K116" s="117">
        <v>34.799999999999997</v>
      </c>
      <c r="L116" s="117">
        <v>42</v>
      </c>
      <c r="M116" s="117">
        <v>38.1</v>
      </c>
      <c r="N116" s="117">
        <v>44.3</v>
      </c>
      <c r="O116" s="117">
        <v>44.2</v>
      </c>
      <c r="P116" s="117">
        <v>44.8</v>
      </c>
      <c r="Q116" s="117">
        <v>63.1</v>
      </c>
      <c r="R116" s="117">
        <v>47.1</v>
      </c>
      <c r="S116" s="117">
        <v>37.700000000000003</v>
      </c>
      <c r="T116" s="117">
        <v>38.6</v>
      </c>
      <c r="U116" s="117">
        <v>32.5</v>
      </c>
      <c r="V116" s="117">
        <v>32.5</v>
      </c>
      <c r="W116" s="117">
        <v>27.6</v>
      </c>
      <c r="X116" s="117">
        <v>30.1</v>
      </c>
      <c r="Y116" s="117">
        <v>22.9</v>
      </c>
      <c r="Z116" s="117">
        <v>27.1</v>
      </c>
      <c r="AA116" s="117">
        <v>49.1</v>
      </c>
      <c r="AB116" s="117">
        <v>43.6</v>
      </c>
      <c r="AC116" s="117">
        <v>66.400000000000006</v>
      </c>
      <c r="AD116" s="117">
        <v>64.7</v>
      </c>
      <c r="AE116" s="117">
        <v>57</v>
      </c>
      <c r="AF116" s="117">
        <v>57</v>
      </c>
      <c r="AG116" s="118"/>
      <c r="AH116" s="47">
        <f t="shared" si="11"/>
        <v>66.400000000000006</v>
      </c>
      <c r="AI116" s="48">
        <f t="shared" si="12"/>
        <v>22.9</v>
      </c>
    </row>
    <row r="117" spans="1:37" x14ac:dyDescent="0.25">
      <c r="A117" s="116" t="s">
        <v>133</v>
      </c>
      <c r="B117" s="117">
        <v>44.5</v>
      </c>
      <c r="C117" s="117">
        <v>47.9</v>
      </c>
      <c r="D117" s="117">
        <v>57.4</v>
      </c>
      <c r="E117" s="117">
        <v>49.8</v>
      </c>
      <c r="F117" s="117">
        <v>48.4</v>
      </c>
      <c r="G117" s="117">
        <v>47.2</v>
      </c>
      <c r="H117" s="117">
        <v>47.2</v>
      </c>
      <c r="I117" s="117">
        <v>48.1</v>
      </c>
      <c r="J117" s="117">
        <v>40.200000000000003</v>
      </c>
      <c r="K117" s="117">
        <v>37.299999999999997</v>
      </c>
      <c r="L117" s="117">
        <v>33.4</v>
      </c>
      <c r="M117" s="117">
        <v>26.6</v>
      </c>
      <c r="N117" s="117">
        <v>36</v>
      </c>
      <c r="O117" s="117">
        <v>35.700000000000003</v>
      </c>
      <c r="P117" s="117">
        <v>30.8</v>
      </c>
      <c r="Q117" s="117">
        <v>31.8</v>
      </c>
      <c r="R117" s="117">
        <v>21.3</v>
      </c>
      <c r="S117" s="117">
        <v>17.7</v>
      </c>
      <c r="T117" s="117">
        <v>25.8</v>
      </c>
      <c r="U117" s="117">
        <v>6.6</v>
      </c>
      <c r="V117" s="117">
        <v>6.6</v>
      </c>
      <c r="W117" s="117">
        <v>2</v>
      </c>
      <c r="X117" s="117">
        <v>2.5</v>
      </c>
      <c r="Y117" s="117">
        <v>3.3</v>
      </c>
      <c r="Z117" s="117">
        <v>0.4</v>
      </c>
      <c r="AA117" s="117">
        <v>15.6</v>
      </c>
      <c r="AB117" s="117">
        <v>29.5</v>
      </c>
      <c r="AC117" s="117">
        <v>31.3</v>
      </c>
      <c r="AD117" s="117">
        <v>41</v>
      </c>
      <c r="AE117" s="117">
        <v>42.5</v>
      </c>
      <c r="AF117" s="117">
        <v>42.5</v>
      </c>
      <c r="AG117" s="119"/>
      <c r="AH117" s="47">
        <f t="shared" si="11"/>
        <v>57.4</v>
      </c>
      <c r="AI117" s="48">
        <f t="shared" si="12"/>
        <v>0.4</v>
      </c>
    </row>
    <row r="118" spans="1:37" x14ac:dyDescent="0.25">
      <c r="A118" s="120" t="s">
        <v>134</v>
      </c>
      <c r="B118" s="106">
        <v>40.9</v>
      </c>
      <c r="C118" s="106">
        <v>127.3</v>
      </c>
      <c r="D118" s="106">
        <v>36.799999999999997</v>
      </c>
      <c r="E118" s="106">
        <v>29.6</v>
      </c>
      <c r="F118" s="106">
        <v>38</v>
      </c>
      <c r="G118" s="106">
        <v>44.8</v>
      </c>
      <c r="H118" s="106">
        <v>44.8</v>
      </c>
      <c r="I118" s="106">
        <v>35.299999999999997</v>
      </c>
      <c r="J118" s="106">
        <v>41.8</v>
      </c>
      <c r="K118" s="106">
        <v>37.4</v>
      </c>
      <c r="L118" s="106">
        <v>35</v>
      </c>
      <c r="M118" s="106">
        <v>31.1</v>
      </c>
      <c r="N118" s="106">
        <v>41.5</v>
      </c>
      <c r="O118" s="106">
        <v>39.700000000000003</v>
      </c>
      <c r="P118" s="106">
        <v>33.6</v>
      </c>
      <c r="Q118" s="106">
        <v>33.299999999999997</v>
      </c>
      <c r="R118" s="106">
        <v>30.7</v>
      </c>
      <c r="S118" s="106">
        <v>29.1</v>
      </c>
      <c r="T118" s="106">
        <v>28.6</v>
      </c>
      <c r="U118" s="106">
        <v>30</v>
      </c>
      <c r="V118" s="106">
        <v>30</v>
      </c>
      <c r="W118" s="106">
        <v>29</v>
      </c>
      <c r="X118" s="106">
        <v>27.5</v>
      </c>
      <c r="Y118" s="106">
        <v>27</v>
      </c>
      <c r="Z118" s="106">
        <v>18.399999999999999</v>
      </c>
      <c r="AA118" s="106">
        <v>12.4</v>
      </c>
      <c r="AB118" s="106">
        <v>15.2</v>
      </c>
      <c r="AC118" s="106">
        <v>17</v>
      </c>
      <c r="AD118" s="106">
        <v>18.399999999999999</v>
      </c>
      <c r="AE118" s="106">
        <v>22.6</v>
      </c>
      <c r="AF118" s="106">
        <v>22.6</v>
      </c>
      <c r="AG118" s="119"/>
      <c r="AH118" s="47">
        <f t="shared" si="11"/>
        <v>127.3</v>
      </c>
      <c r="AI118" s="48">
        <f t="shared" si="12"/>
        <v>12.4</v>
      </c>
    </row>
    <row r="119" spans="1:37" x14ac:dyDescent="0.25">
      <c r="A119" s="121" t="s">
        <v>135</v>
      </c>
      <c r="B119" s="106">
        <v>85.7</v>
      </c>
      <c r="C119" s="106">
        <v>88.1</v>
      </c>
      <c r="D119" s="106">
        <v>91.2</v>
      </c>
      <c r="E119" s="106">
        <v>95</v>
      </c>
      <c r="F119" s="106">
        <v>92.5</v>
      </c>
      <c r="G119" s="106">
        <v>92</v>
      </c>
      <c r="H119" s="106">
        <v>92</v>
      </c>
      <c r="I119" s="106">
        <v>85.2</v>
      </c>
      <c r="J119" s="106">
        <v>92.8</v>
      </c>
      <c r="K119" s="106">
        <v>90.63</v>
      </c>
      <c r="L119" s="106">
        <v>86.5</v>
      </c>
      <c r="M119" s="106">
        <v>85.7</v>
      </c>
      <c r="N119" s="106">
        <v>86</v>
      </c>
      <c r="O119" s="106">
        <v>78.3</v>
      </c>
      <c r="P119" s="106">
        <v>77.8</v>
      </c>
      <c r="Q119" s="106">
        <v>65.7</v>
      </c>
      <c r="R119" s="106">
        <v>77.5</v>
      </c>
      <c r="S119" s="106">
        <v>75.900000000000006</v>
      </c>
      <c r="T119" s="106">
        <v>76.2</v>
      </c>
      <c r="U119" s="106">
        <v>88.9</v>
      </c>
      <c r="V119" s="106">
        <v>88.9</v>
      </c>
      <c r="W119" s="106">
        <v>85</v>
      </c>
      <c r="X119" s="106">
        <v>90</v>
      </c>
      <c r="Y119" s="106">
        <v>76.2</v>
      </c>
      <c r="Z119" s="106">
        <v>76.900000000000006</v>
      </c>
      <c r="AA119" s="106">
        <v>64.099999999999994</v>
      </c>
      <c r="AB119" s="106">
        <v>69.8</v>
      </c>
      <c r="AC119" s="106">
        <v>60.6</v>
      </c>
      <c r="AD119" s="106">
        <v>68</v>
      </c>
      <c r="AE119" s="106">
        <v>78.5</v>
      </c>
      <c r="AF119" s="106">
        <v>78.5</v>
      </c>
      <c r="AG119" s="119"/>
      <c r="AH119" s="47">
        <f t="shared" si="11"/>
        <v>95</v>
      </c>
      <c r="AI119" s="48">
        <f t="shared" si="12"/>
        <v>60.6</v>
      </c>
    </row>
    <row r="120" spans="1:37" ht="15.75" thickBot="1" x14ac:dyDescent="0.3">
      <c r="A120" s="120" t="s">
        <v>136</v>
      </c>
      <c r="B120" s="106">
        <v>24.8</v>
      </c>
      <c r="C120" s="106">
        <v>27.9</v>
      </c>
      <c r="D120" s="106">
        <v>26.6</v>
      </c>
      <c r="E120" s="106">
        <v>31</v>
      </c>
      <c r="F120" s="106">
        <v>22.4</v>
      </c>
      <c r="G120" s="106">
        <v>11</v>
      </c>
      <c r="H120" s="106">
        <v>11</v>
      </c>
      <c r="I120" s="106">
        <v>12.9</v>
      </c>
      <c r="J120" s="106">
        <v>6.9</v>
      </c>
      <c r="K120" s="106">
        <v>12.9</v>
      </c>
      <c r="L120" s="106">
        <v>24</v>
      </c>
      <c r="M120" s="106">
        <v>16.600000000000001</v>
      </c>
      <c r="N120" s="106">
        <v>6.9</v>
      </c>
      <c r="O120" s="106">
        <v>20.6</v>
      </c>
      <c r="P120" s="106">
        <v>30.6</v>
      </c>
      <c r="Q120" s="106">
        <v>24.9</v>
      </c>
      <c r="R120" s="106">
        <v>32.1</v>
      </c>
      <c r="S120" s="106">
        <v>43.1</v>
      </c>
      <c r="T120" s="106">
        <v>38</v>
      </c>
      <c r="U120" s="106">
        <v>30.4</v>
      </c>
      <c r="V120" s="106">
        <v>30.4</v>
      </c>
      <c r="W120" s="106">
        <v>23.9</v>
      </c>
      <c r="X120" s="106">
        <v>27.1</v>
      </c>
      <c r="Y120" s="106">
        <v>26.4</v>
      </c>
      <c r="Z120" s="106">
        <v>43.1</v>
      </c>
      <c r="AA120" s="106">
        <v>56</v>
      </c>
      <c r="AB120" s="106">
        <v>49.8</v>
      </c>
      <c r="AC120" s="106">
        <v>49.3</v>
      </c>
      <c r="AD120" s="106">
        <v>51.8</v>
      </c>
      <c r="AE120" s="106">
        <v>58.5</v>
      </c>
      <c r="AF120" s="106">
        <v>58.5</v>
      </c>
      <c r="AG120" s="119"/>
      <c r="AH120" s="47">
        <f t="shared" si="11"/>
        <v>58.5</v>
      </c>
      <c r="AI120" s="48">
        <f t="shared" si="12"/>
        <v>6.9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22">SUM(B122:B226)</f>
        <v>0</v>
      </c>
      <c r="C227" s="137">
        <f t="shared" si="22"/>
        <v>0</v>
      </c>
      <c r="D227" s="137">
        <f t="shared" si="22"/>
        <v>0</v>
      </c>
      <c r="E227" s="137">
        <f t="shared" si="22"/>
        <v>0</v>
      </c>
      <c r="F227" s="137">
        <f t="shared" si="22"/>
        <v>0</v>
      </c>
      <c r="G227" s="137">
        <f t="shared" si="22"/>
        <v>0</v>
      </c>
      <c r="H227" s="137">
        <f t="shared" si="22"/>
        <v>0</v>
      </c>
      <c r="I227" s="137">
        <f t="shared" si="22"/>
        <v>0</v>
      </c>
      <c r="J227" s="137">
        <f t="shared" si="22"/>
        <v>0</v>
      </c>
      <c r="K227" s="137">
        <f t="shared" si="22"/>
        <v>0</v>
      </c>
      <c r="L227" s="137">
        <f t="shared" si="22"/>
        <v>0</v>
      </c>
      <c r="M227" s="137">
        <f t="shared" si="22"/>
        <v>0</v>
      </c>
      <c r="N227" s="137">
        <f t="shared" si="22"/>
        <v>0</v>
      </c>
      <c r="O227" s="137">
        <f t="shared" si="22"/>
        <v>0</v>
      </c>
      <c r="P227" s="137">
        <f t="shared" si="22"/>
        <v>0</v>
      </c>
      <c r="Q227" s="137">
        <f t="shared" si="22"/>
        <v>0</v>
      </c>
      <c r="R227" s="137">
        <f t="shared" si="22"/>
        <v>0</v>
      </c>
      <c r="S227" s="137">
        <f t="shared" si="22"/>
        <v>0</v>
      </c>
      <c r="T227" s="137">
        <f t="shared" si="22"/>
        <v>0</v>
      </c>
      <c r="U227" s="137">
        <f t="shared" si="22"/>
        <v>0</v>
      </c>
      <c r="V227" s="137">
        <f t="shared" si="22"/>
        <v>0</v>
      </c>
      <c r="W227" s="137">
        <f t="shared" si="22"/>
        <v>0</v>
      </c>
      <c r="X227" s="137">
        <f t="shared" si="22"/>
        <v>0</v>
      </c>
      <c r="Y227" s="137">
        <f t="shared" si="22"/>
        <v>0</v>
      </c>
      <c r="Z227" s="137">
        <f t="shared" si="22"/>
        <v>0</v>
      </c>
      <c r="AA227" s="137">
        <f t="shared" si="22"/>
        <v>0</v>
      </c>
      <c r="AB227" s="137">
        <f t="shared" si="22"/>
        <v>0</v>
      </c>
      <c r="AC227" s="137">
        <f t="shared" si="22"/>
        <v>0</v>
      </c>
      <c r="AD227" s="137">
        <f t="shared" si="22"/>
        <v>0</v>
      </c>
      <c r="AE227" s="137">
        <f t="shared" si="22"/>
        <v>0</v>
      </c>
      <c r="AF227" s="138">
        <f t="shared" si="22"/>
        <v>0</v>
      </c>
      <c r="AG227" s="139">
        <f t="shared" si="22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23">AF229</f>
        <v>0</v>
      </c>
      <c r="C229" s="141">
        <v>0.3</v>
      </c>
      <c r="D229" s="141">
        <f t="shared" ref="D229:P234" si="24">C229</f>
        <v>0.3</v>
      </c>
      <c r="E229" s="141">
        <f t="shared" si="24"/>
        <v>0.3</v>
      </c>
      <c r="F229" s="141">
        <f t="shared" si="24"/>
        <v>0.3</v>
      </c>
      <c r="G229" s="141">
        <f t="shared" si="24"/>
        <v>0.3</v>
      </c>
      <c r="H229" s="141">
        <f t="shared" si="24"/>
        <v>0.3</v>
      </c>
      <c r="I229" s="141">
        <f t="shared" si="24"/>
        <v>0.3</v>
      </c>
      <c r="J229" s="141">
        <f t="shared" si="24"/>
        <v>0.3</v>
      </c>
      <c r="K229" s="141">
        <f t="shared" si="24"/>
        <v>0.3</v>
      </c>
      <c r="L229" s="141">
        <f t="shared" si="24"/>
        <v>0.3</v>
      </c>
      <c r="M229" s="141">
        <f t="shared" si="24"/>
        <v>0.3</v>
      </c>
      <c r="N229" s="141">
        <f t="shared" si="24"/>
        <v>0.3</v>
      </c>
      <c r="O229" s="141">
        <f t="shared" si="24"/>
        <v>0.3</v>
      </c>
      <c r="P229" s="141">
        <f t="shared" si="24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23"/>
        <v>0</v>
      </c>
      <c r="C230" s="129">
        <v>0.4</v>
      </c>
      <c r="D230" s="129">
        <f t="shared" si="24"/>
        <v>0.4</v>
      </c>
      <c r="E230" s="129">
        <f t="shared" si="24"/>
        <v>0.4</v>
      </c>
      <c r="F230" s="129">
        <f t="shared" si="24"/>
        <v>0.4</v>
      </c>
      <c r="G230" s="129">
        <f t="shared" si="24"/>
        <v>0.4</v>
      </c>
      <c r="H230" s="129">
        <f t="shared" si="24"/>
        <v>0.4</v>
      </c>
      <c r="I230" s="129">
        <f t="shared" si="24"/>
        <v>0.4</v>
      </c>
      <c r="J230" s="129">
        <f t="shared" si="24"/>
        <v>0.4</v>
      </c>
      <c r="K230" s="129">
        <f t="shared" si="24"/>
        <v>0.4</v>
      </c>
      <c r="L230" s="129">
        <f t="shared" si="24"/>
        <v>0.4</v>
      </c>
      <c r="M230" s="129">
        <f t="shared" si="24"/>
        <v>0.4</v>
      </c>
      <c r="N230" s="129">
        <f t="shared" si="24"/>
        <v>0.4</v>
      </c>
      <c r="O230" s="129">
        <f t="shared" si="24"/>
        <v>0.4</v>
      </c>
      <c r="P230" s="129">
        <f t="shared" si="24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23"/>
        <v>0</v>
      </c>
      <c r="C231" s="129">
        <v>1.5</v>
      </c>
      <c r="D231" s="129">
        <f t="shared" si="24"/>
        <v>1.5</v>
      </c>
      <c r="E231" s="129">
        <f t="shared" si="24"/>
        <v>1.5</v>
      </c>
      <c r="F231" s="129">
        <f t="shared" si="24"/>
        <v>1.5</v>
      </c>
      <c r="G231" s="129">
        <f t="shared" si="24"/>
        <v>1.5</v>
      </c>
      <c r="H231" s="129">
        <f t="shared" si="24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24"/>
        <v>123.21900000000009</v>
      </c>
      <c r="K231" s="129">
        <f t="shared" ca="1" si="24"/>
        <v>123.21900000000009</v>
      </c>
      <c r="L231" s="129">
        <f t="shared" ca="1" si="24"/>
        <v>123.21900000000009</v>
      </c>
      <c r="M231" s="129">
        <f t="shared" ca="1" si="24"/>
        <v>119.19900000000008</v>
      </c>
      <c r="N231" s="129">
        <f t="shared" ca="1" si="24"/>
        <v>119.19900000000008</v>
      </c>
      <c r="O231" s="129">
        <f t="shared" ca="1" si="24"/>
        <v>119.19900000000008</v>
      </c>
      <c r="P231" s="129">
        <f t="shared" ca="1" si="24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23"/>
        <v>0</v>
      </c>
      <c r="C232" s="129">
        <v>0.3</v>
      </c>
      <c r="D232" s="129">
        <f t="shared" si="24"/>
        <v>0.3</v>
      </c>
      <c r="E232" s="129">
        <f t="shared" si="24"/>
        <v>0.3</v>
      </c>
      <c r="F232" s="129">
        <f t="shared" si="24"/>
        <v>0.3</v>
      </c>
      <c r="G232" s="129">
        <f t="shared" si="24"/>
        <v>0.3</v>
      </c>
      <c r="H232" s="129">
        <f t="shared" si="24"/>
        <v>0.3</v>
      </c>
      <c r="I232" s="129">
        <f t="shared" si="24"/>
        <v>0.3</v>
      </c>
      <c r="J232" s="129">
        <f t="shared" si="24"/>
        <v>0.3</v>
      </c>
      <c r="K232" s="129">
        <f t="shared" si="24"/>
        <v>0.3</v>
      </c>
      <c r="L232" s="129">
        <f t="shared" si="24"/>
        <v>0.3</v>
      </c>
      <c r="M232" s="129">
        <f t="shared" si="24"/>
        <v>0.3</v>
      </c>
      <c r="N232" s="129">
        <f t="shared" si="24"/>
        <v>0.3</v>
      </c>
      <c r="O232" s="129">
        <f t="shared" si="24"/>
        <v>0.3</v>
      </c>
      <c r="P232" s="129">
        <f t="shared" si="24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23"/>
        <v>0</v>
      </c>
      <c r="C233" s="129">
        <v>0.4</v>
      </c>
      <c r="D233" s="129">
        <f t="shared" si="24"/>
        <v>0.4</v>
      </c>
      <c r="E233" s="129">
        <f t="shared" si="24"/>
        <v>0.4</v>
      </c>
      <c r="F233" s="129">
        <f t="shared" si="24"/>
        <v>0.4</v>
      </c>
      <c r="G233" s="129">
        <f t="shared" si="24"/>
        <v>0.4</v>
      </c>
      <c r="H233" s="129">
        <f t="shared" si="24"/>
        <v>0.4</v>
      </c>
      <c r="I233" s="129">
        <f t="shared" si="24"/>
        <v>0.4</v>
      </c>
      <c r="J233" s="129">
        <f t="shared" si="24"/>
        <v>0.4</v>
      </c>
      <c r="K233" s="129">
        <f t="shared" si="24"/>
        <v>0.4</v>
      </c>
      <c r="L233" s="129">
        <f t="shared" si="24"/>
        <v>0.4</v>
      </c>
      <c r="M233" s="129">
        <f t="shared" si="24"/>
        <v>0.4</v>
      </c>
      <c r="N233" s="129">
        <f t="shared" si="24"/>
        <v>0.4</v>
      </c>
      <c r="O233" s="129">
        <f t="shared" si="24"/>
        <v>0.4</v>
      </c>
      <c r="P233" s="129">
        <f t="shared" si="24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23"/>
        <v>0</v>
      </c>
      <c r="C234" s="133">
        <v>0.64</v>
      </c>
      <c r="D234" s="133">
        <f t="shared" si="24"/>
        <v>0.64</v>
      </c>
      <c r="E234" s="133">
        <f t="shared" si="24"/>
        <v>0.64</v>
      </c>
      <c r="F234" s="133">
        <f t="shared" si="24"/>
        <v>0.64</v>
      </c>
      <c r="G234" s="133">
        <f t="shared" si="24"/>
        <v>0.64</v>
      </c>
      <c r="H234" s="133">
        <f t="shared" si="24"/>
        <v>0.64</v>
      </c>
      <c r="I234" s="133">
        <f t="shared" si="24"/>
        <v>0.64</v>
      </c>
      <c r="J234" s="133">
        <f t="shared" si="24"/>
        <v>0.64</v>
      </c>
      <c r="K234" s="133">
        <f t="shared" si="24"/>
        <v>0.64</v>
      </c>
      <c r="L234" s="133">
        <f t="shared" si="24"/>
        <v>0.64</v>
      </c>
      <c r="M234" s="133">
        <f t="shared" si="24"/>
        <v>0.64</v>
      </c>
      <c r="N234" s="133">
        <f t="shared" si="24"/>
        <v>0.64</v>
      </c>
      <c r="O234" s="133">
        <f t="shared" si="24"/>
        <v>0.64</v>
      </c>
      <c r="P234" s="133">
        <f t="shared" si="24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5">SUM(B229:B234)</f>
        <v>0</v>
      </c>
      <c r="C235" s="137">
        <f t="shared" si="25"/>
        <v>3.54</v>
      </c>
      <c r="D235" s="137">
        <f t="shared" si="25"/>
        <v>3.54</v>
      </c>
      <c r="E235" s="137">
        <f t="shared" si="25"/>
        <v>3.54</v>
      </c>
      <c r="F235" s="137">
        <f t="shared" si="25"/>
        <v>3.54</v>
      </c>
      <c r="G235" s="137">
        <f t="shared" si="25"/>
        <v>3.54</v>
      </c>
      <c r="H235" s="137">
        <f t="shared" si="25"/>
        <v>3.54</v>
      </c>
      <c r="I235" s="137">
        <f t="shared" ca="1" si="25"/>
        <v>121.23900000000009</v>
      </c>
      <c r="J235" s="137">
        <f t="shared" ca="1" si="25"/>
        <v>121.23900000000009</v>
      </c>
      <c r="K235" s="137">
        <f t="shared" ca="1" si="25"/>
        <v>121.23900000000009</v>
      </c>
      <c r="L235" s="137">
        <f t="shared" ca="1" si="25"/>
        <v>125.2590000000001</v>
      </c>
      <c r="M235" s="137">
        <f t="shared" ca="1" si="25"/>
        <v>121.23900000000009</v>
      </c>
      <c r="N235" s="137">
        <f t="shared" ca="1" si="25"/>
        <v>121.23900000000009</v>
      </c>
      <c r="O235" s="137">
        <f t="shared" ca="1" si="25"/>
        <v>121.23900000000009</v>
      </c>
      <c r="P235" s="137">
        <f t="shared" ca="1" si="25"/>
        <v>121.23900000000009</v>
      </c>
      <c r="Q235" s="137">
        <f t="shared" si="25"/>
        <v>0</v>
      </c>
      <c r="R235" s="137">
        <f t="shared" si="25"/>
        <v>0</v>
      </c>
      <c r="S235" s="137">
        <f t="shared" si="25"/>
        <v>0</v>
      </c>
      <c r="T235" s="137">
        <f t="shared" si="25"/>
        <v>0</v>
      </c>
      <c r="U235" s="137">
        <f t="shared" si="25"/>
        <v>0</v>
      </c>
      <c r="V235" s="137">
        <f t="shared" si="25"/>
        <v>0</v>
      </c>
      <c r="W235" s="137">
        <f t="shared" si="25"/>
        <v>0</v>
      </c>
      <c r="X235" s="137">
        <f t="shared" si="25"/>
        <v>0</v>
      </c>
      <c r="Y235" s="137">
        <f t="shared" si="25"/>
        <v>0</v>
      </c>
      <c r="Z235" s="137">
        <f t="shared" si="25"/>
        <v>0</v>
      </c>
      <c r="AA235" s="137">
        <f t="shared" si="25"/>
        <v>0</v>
      </c>
      <c r="AB235" s="137">
        <f t="shared" si="25"/>
        <v>0</v>
      </c>
      <c r="AC235" s="137">
        <f t="shared" si="25"/>
        <v>0</v>
      </c>
      <c r="AD235" s="137">
        <f t="shared" si="25"/>
        <v>0</v>
      </c>
      <c r="AE235" s="137">
        <f t="shared" si="25"/>
        <v>0</v>
      </c>
      <c r="AF235" s="137">
        <f t="shared" si="25"/>
        <v>0</v>
      </c>
      <c r="AG235" s="146">
        <f t="shared" si="25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2071.34</v>
      </c>
      <c r="C244" s="162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22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2080/03/22)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2080/03/22)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6">B91</f>
        <v>1951.94</v>
      </c>
      <c r="U249" s="171">
        <f t="shared" si="26"/>
        <v>1969.94</v>
      </c>
      <c r="V249" s="171">
        <f t="shared" si="26"/>
        <v>1969.2399999999998</v>
      </c>
      <c r="W249" s="171">
        <f t="shared" si="26"/>
        <v>1971.9399999999998</v>
      </c>
      <c r="X249" s="171">
        <f t="shared" si="26"/>
        <v>1967.44</v>
      </c>
      <c r="Y249" s="171">
        <f t="shared" si="26"/>
        <v>1956.24</v>
      </c>
      <c r="Z249" s="171">
        <f t="shared" si="26"/>
        <v>1961.14</v>
      </c>
      <c r="AA249" s="171">
        <f t="shared" si="26"/>
        <v>1961.7399999999998</v>
      </c>
      <c r="AB249" s="171">
        <f t="shared" si="26"/>
        <v>2015.2599999999998</v>
      </c>
      <c r="AC249" s="171">
        <f t="shared" si="26"/>
        <v>2011.3400000000001</v>
      </c>
      <c r="AD249" s="171">
        <f t="shared" si="26"/>
        <v>2071.34</v>
      </c>
      <c r="AE249" s="171">
        <f t="shared" si="26"/>
        <v>2046.8399999999997</v>
      </c>
      <c r="AF249" s="171">
        <f t="shared" si="26"/>
        <v>2044.44</v>
      </c>
      <c r="AG249" s="171">
        <f t="shared" si="26"/>
        <v>2058.9399999999996</v>
      </c>
      <c r="AH249" s="171">
        <f t="shared" si="26"/>
        <v>2058.64</v>
      </c>
      <c r="AI249" s="171">
        <f t="shared" si="26"/>
        <v>2005.54</v>
      </c>
      <c r="AJ249" s="171">
        <f t="shared" si="26"/>
        <v>2002.6399999999999</v>
      </c>
      <c r="AK249" s="171">
        <f t="shared" si="26"/>
        <v>2054.7399999999998</v>
      </c>
      <c r="AL249" s="171">
        <f t="shared" si="26"/>
        <v>2136.64</v>
      </c>
      <c r="AM249" s="171">
        <f t="shared" si="26"/>
        <v>2080.94</v>
      </c>
      <c r="AN249" s="171">
        <f t="shared" si="26"/>
        <v>2045.74</v>
      </c>
      <c r="AO249" s="171">
        <f t="shared" si="26"/>
        <v>2042.74</v>
      </c>
      <c r="AP249" s="171">
        <f t="shared" si="26"/>
        <v>2002.1399999999999</v>
      </c>
      <c r="AQ249" s="171">
        <f t="shared" si="26"/>
        <v>2009.34</v>
      </c>
      <c r="AR249" s="171">
        <f t="shared" si="26"/>
        <v>2463.94</v>
      </c>
      <c r="AS249" s="171">
        <f t="shared" si="26"/>
        <v>2074.2399999999998</v>
      </c>
      <c r="AT249" s="171">
        <f t="shared" si="26"/>
        <v>2085.2400000000002</v>
      </c>
      <c r="AU249" s="171">
        <f t="shared" si="26"/>
        <v>2094.1400000000003</v>
      </c>
      <c r="AV249" s="171">
        <f t="shared" si="26"/>
        <v>2075.5400000000004</v>
      </c>
      <c r="AW249" s="171">
        <f t="shared" si="26"/>
        <v>2019.74</v>
      </c>
      <c r="AX249" s="171">
        <f t="shared" si="26"/>
        <v>1993.0400000000002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27">C234</f>
        <v>0.64</v>
      </c>
      <c r="C270" s="174">
        <f t="shared" si="27"/>
        <v>0.64</v>
      </c>
      <c r="D270" s="174">
        <f t="shared" si="27"/>
        <v>0.64</v>
      </c>
      <c r="E270" s="174">
        <f t="shared" si="27"/>
        <v>0.64</v>
      </c>
      <c r="F270" s="174">
        <f t="shared" si="27"/>
        <v>0.64</v>
      </c>
      <c r="G270" s="174">
        <f t="shared" si="27"/>
        <v>0.64</v>
      </c>
      <c r="H270" s="174">
        <f t="shared" si="27"/>
        <v>0.64</v>
      </c>
      <c r="I270" s="174">
        <f t="shared" si="27"/>
        <v>0.64</v>
      </c>
      <c r="J270" s="174">
        <f t="shared" si="27"/>
        <v>0.64</v>
      </c>
      <c r="K270" s="174">
        <f t="shared" si="27"/>
        <v>0.64</v>
      </c>
      <c r="L270" s="174">
        <f t="shared" si="27"/>
        <v>0.64</v>
      </c>
      <c r="M270" s="174">
        <f t="shared" si="27"/>
        <v>0.64</v>
      </c>
      <c r="N270" s="174">
        <f t="shared" si="27"/>
        <v>0.64</v>
      </c>
      <c r="O270" s="174">
        <f t="shared" si="27"/>
        <v>0.64</v>
      </c>
      <c r="P270" s="174">
        <f t="shared" si="27"/>
        <v>0</v>
      </c>
      <c r="Q270" s="174">
        <f t="shared" si="27"/>
        <v>0</v>
      </c>
      <c r="R270" s="174">
        <f t="shared" si="27"/>
        <v>0</v>
      </c>
      <c r="S270" s="174">
        <f t="shared" si="27"/>
        <v>0</v>
      </c>
      <c r="T270" s="174">
        <f t="shared" si="27"/>
        <v>0</v>
      </c>
      <c r="U270" s="174">
        <f t="shared" si="27"/>
        <v>0</v>
      </c>
      <c r="V270" s="174">
        <f t="shared" si="27"/>
        <v>0</v>
      </c>
      <c r="W270" s="174">
        <f t="shared" si="27"/>
        <v>0</v>
      </c>
      <c r="X270" s="174">
        <f t="shared" si="27"/>
        <v>0</v>
      </c>
      <c r="Y270" s="174">
        <f t="shared" si="27"/>
        <v>0</v>
      </c>
      <c r="Z270" s="174">
        <f t="shared" si="27"/>
        <v>0</v>
      </c>
      <c r="AA270" s="174">
        <f t="shared" si="27"/>
        <v>0</v>
      </c>
      <c r="AB270" s="174">
        <f t="shared" si="27"/>
        <v>0</v>
      </c>
      <c r="AC270" s="174">
        <f t="shared" si="27"/>
        <v>0</v>
      </c>
      <c r="AD270" s="174">
        <f t="shared" si="27"/>
        <v>0</v>
      </c>
      <c r="AE270" s="174">
        <f t="shared" si="27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28">IF(B238&lt;100,"",B238-520)</f>
        <v/>
      </c>
      <c r="C271" s="175" t="str">
        <f t="shared" si="28"/>
        <v/>
      </c>
      <c r="D271" s="175" t="str">
        <f t="shared" si="28"/>
        <v/>
      </c>
      <c r="E271" s="175" t="str">
        <f t="shared" si="28"/>
        <v/>
      </c>
      <c r="F271" s="175" t="str">
        <f t="shared" si="28"/>
        <v/>
      </c>
      <c r="G271" s="175" t="str">
        <f t="shared" si="28"/>
        <v/>
      </c>
      <c r="H271" s="175" t="str">
        <f t="shared" si="28"/>
        <v/>
      </c>
      <c r="I271" s="175" t="str">
        <f t="shared" si="28"/>
        <v/>
      </c>
      <c r="J271" s="175" t="str">
        <f t="shared" si="28"/>
        <v/>
      </c>
      <c r="K271" s="175" t="str">
        <f t="shared" si="28"/>
        <v/>
      </c>
      <c r="L271" s="175" t="str">
        <f t="shared" si="28"/>
        <v/>
      </c>
      <c r="M271" s="175" t="str">
        <f t="shared" si="28"/>
        <v/>
      </c>
      <c r="N271" s="175" t="str">
        <f t="shared" si="28"/>
        <v/>
      </c>
      <c r="O271" s="175" t="str">
        <f t="shared" si="28"/>
        <v/>
      </c>
      <c r="P271" s="175" t="str">
        <f t="shared" si="28"/>
        <v/>
      </c>
      <c r="Q271" s="175" t="str">
        <f t="shared" si="28"/>
        <v/>
      </c>
      <c r="R271" s="175" t="str">
        <f t="shared" si="28"/>
        <v/>
      </c>
      <c r="S271" s="175" t="str">
        <f t="shared" si="28"/>
        <v/>
      </c>
      <c r="T271" s="175" t="str">
        <f t="shared" si="28"/>
        <v/>
      </c>
      <c r="U271" s="175" t="str">
        <f t="shared" si="28"/>
        <v/>
      </c>
      <c r="V271" s="175" t="str">
        <f t="shared" si="28"/>
        <v/>
      </c>
      <c r="W271" s="175" t="str">
        <f t="shared" si="28"/>
        <v/>
      </c>
      <c r="X271" s="175" t="str">
        <f t="shared" si="28"/>
        <v/>
      </c>
      <c r="Y271" s="175" t="str">
        <f t="shared" si="28"/>
        <v/>
      </c>
      <c r="Z271" s="175" t="str">
        <f t="shared" si="28"/>
        <v/>
      </c>
      <c r="AA271" s="175" t="str">
        <f t="shared" si="28"/>
        <v/>
      </c>
      <c r="AB271" s="175" t="str">
        <f t="shared" si="28"/>
        <v/>
      </c>
      <c r="AC271" s="175" t="str">
        <f t="shared" si="28"/>
        <v/>
      </c>
      <c r="AD271" s="175" t="str">
        <f t="shared" si="28"/>
        <v/>
      </c>
      <c r="AE271" s="175" t="str">
        <f t="shared" si="28"/>
        <v/>
      </c>
      <c r="AF271" s="175" t="str">
        <f t="shared" si="28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29">IF(B239&lt;100,"",B239-620)</f>
        <v/>
      </c>
      <c r="C272" s="175" t="str">
        <f t="shared" si="29"/>
        <v/>
      </c>
      <c r="D272" s="175" t="str">
        <f t="shared" si="29"/>
        <v/>
      </c>
      <c r="E272" s="175" t="str">
        <f t="shared" si="29"/>
        <v/>
      </c>
      <c r="F272" s="175" t="str">
        <f t="shared" si="29"/>
        <v/>
      </c>
      <c r="G272" s="175" t="str">
        <f t="shared" si="29"/>
        <v/>
      </c>
      <c r="H272" s="175" t="str">
        <f t="shared" si="29"/>
        <v/>
      </c>
      <c r="I272" s="175" t="str">
        <f t="shared" si="29"/>
        <v/>
      </c>
      <c r="J272" s="175" t="str">
        <f t="shared" si="29"/>
        <v/>
      </c>
      <c r="K272" s="175" t="str">
        <f t="shared" si="29"/>
        <v/>
      </c>
      <c r="L272" s="175" t="str">
        <f t="shared" si="29"/>
        <v/>
      </c>
      <c r="M272" s="175" t="str">
        <f t="shared" si="29"/>
        <v/>
      </c>
      <c r="N272" s="175" t="str">
        <f t="shared" si="29"/>
        <v/>
      </c>
      <c r="O272" s="175" t="str">
        <f t="shared" si="29"/>
        <v/>
      </c>
      <c r="P272" s="175" t="str">
        <f t="shared" si="29"/>
        <v/>
      </c>
      <c r="Q272" s="175" t="str">
        <f t="shared" si="29"/>
        <v/>
      </c>
      <c r="R272" s="175" t="str">
        <f t="shared" si="29"/>
        <v/>
      </c>
      <c r="S272" s="175" t="str">
        <f t="shared" si="29"/>
        <v/>
      </c>
      <c r="T272" s="175" t="str">
        <f t="shared" si="29"/>
        <v/>
      </c>
      <c r="U272" s="175" t="str">
        <f t="shared" si="29"/>
        <v/>
      </c>
      <c r="V272" s="175" t="str">
        <f t="shared" si="29"/>
        <v/>
      </c>
      <c r="W272" s="175" t="str">
        <f t="shared" si="29"/>
        <v/>
      </c>
      <c r="X272" s="175" t="str">
        <f t="shared" si="29"/>
        <v/>
      </c>
      <c r="Y272" s="175" t="str">
        <f t="shared" si="29"/>
        <v/>
      </c>
      <c r="Z272" s="175" t="str">
        <f t="shared" si="29"/>
        <v/>
      </c>
      <c r="AA272" s="175" t="str">
        <f t="shared" si="29"/>
        <v/>
      </c>
      <c r="AB272" s="175" t="str">
        <f t="shared" si="29"/>
        <v/>
      </c>
      <c r="AC272" s="175" t="str">
        <f t="shared" si="29"/>
        <v/>
      </c>
      <c r="AD272" s="175" t="str">
        <f t="shared" si="29"/>
        <v/>
      </c>
      <c r="AE272" s="175" t="str">
        <f t="shared" si="29"/>
        <v/>
      </c>
      <c r="AF272" s="175" t="str">
        <f t="shared" si="29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30">IF(B240&lt;100,"",B240-330)</f>
        <v/>
      </c>
      <c r="C273" s="175" t="str">
        <f t="shared" si="30"/>
        <v/>
      </c>
      <c r="D273" s="175" t="str">
        <f t="shared" si="30"/>
        <v/>
      </c>
      <c r="E273" s="175" t="str">
        <f t="shared" si="30"/>
        <v/>
      </c>
      <c r="F273" s="175" t="str">
        <f t="shared" si="30"/>
        <v/>
      </c>
      <c r="G273" s="175" t="str">
        <f t="shared" si="30"/>
        <v/>
      </c>
      <c r="H273" s="175" t="str">
        <f t="shared" si="30"/>
        <v/>
      </c>
      <c r="I273" s="175" t="str">
        <f t="shared" si="30"/>
        <v/>
      </c>
      <c r="J273" s="175" t="str">
        <f t="shared" si="30"/>
        <v/>
      </c>
      <c r="K273" s="175" t="str">
        <f t="shared" si="30"/>
        <v/>
      </c>
      <c r="L273" s="175" t="str">
        <f t="shared" si="30"/>
        <v/>
      </c>
      <c r="M273" s="175" t="str">
        <f t="shared" si="30"/>
        <v/>
      </c>
      <c r="N273" s="175" t="str">
        <f t="shared" si="30"/>
        <v/>
      </c>
      <c r="O273" s="175" t="str">
        <f t="shared" si="30"/>
        <v/>
      </c>
      <c r="P273" s="175" t="str">
        <f t="shared" si="30"/>
        <v/>
      </c>
      <c r="Q273" s="175" t="str">
        <f t="shared" si="30"/>
        <v/>
      </c>
      <c r="R273" s="175" t="str">
        <f t="shared" si="30"/>
        <v/>
      </c>
      <c r="S273" s="175" t="str">
        <f t="shared" si="30"/>
        <v/>
      </c>
      <c r="T273" s="175" t="str">
        <f t="shared" si="30"/>
        <v/>
      </c>
      <c r="U273" s="175" t="str">
        <f t="shared" si="30"/>
        <v/>
      </c>
      <c r="V273" s="175" t="str">
        <f t="shared" si="30"/>
        <v/>
      </c>
      <c r="W273" s="175" t="str">
        <f t="shared" si="30"/>
        <v/>
      </c>
      <c r="X273" s="175" t="str">
        <f t="shared" si="30"/>
        <v/>
      </c>
      <c r="Y273" s="175" t="str">
        <f t="shared" si="30"/>
        <v/>
      </c>
      <c r="Z273" s="175" t="str">
        <f t="shared" si="30"/>
        <v/>
      </c>
      <c r="AA273" s="175" t="str">
        <f t="shared" si="30"/>
        <v/>
      </c>
      <c r="AB273" s="175" t="str">
        <f t="shared" si="30"/>
        <v/>
      </c>
      <c r="AC273" s="175" t="str">
        <f t="shared" si="30"/>
        <v/>
      </c>
      <c r="AD273" s="175" t="str">
        <f t="shared" si="30"/>
        <v/>
      </c>
      <c r="AE273" s="175" t="str">
        <f t="shared" si="30"/>
        <v/>
      </c>
      <c r="AF273" s="175" t="str">
        <f t="shared" si="30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31">IF(B241&lt;100,"",B241-1500)</f>
        <v/>
      </c>
      <c r="C274" s="175" t="str">
        <f t="shared" si="31"/>
        <v/>
      </c>
      <c r="D274" s="175" t="str">
        <f t="shared" si="31"/>
        <v/>
      </c>
      <c r="E274" s="175" t="str">
        <f t="shared" si="31"/>
        <v/>
      </c>
      <c r="F274" s="175" t="str">
        <f t="shared" si="31"/>
        <v/>
      </c>
      <c r="G274" s="175" t="str">
        <f t="shared" si="31"/>
        <v/>
      </c>
      <c r="H274" s="175" t="str">
        <f t="shared" si="31"/>
        <v/>
      </c>
      <c r="I274" s="175" t="str">
        <f t="shared" si="31"/>
        <v/>
      </c>
      <c r="J274" s="175" t="str">
        <f t="shared" si="31"/>
        <v/>
      </c>
      <c r="K274" s="175" t="str">
        <f t="shared" si="31"/>
        <v/>
      </c>
      <c r="L274" s="175" t="str">
        <f t="shared" si="31"/>
        <v/>
      </c>
      <c r="M274" s="175" t="str">
        <f t="shared" si="31"/>
        <v/>
      </c>
      <c r="N274" s="175" t="str">
        <f t="shared" si="31"/>
        <v/>
      </c>
      <c r="O274" s="175" t="str">
        <f t="shared" si="31"/>
        <v/>
      </c>
      <c r="P274" s="175" t="str">
        <f t="shared" si="31"/>
        <v/>
      </c>
      <c r="Q274" s="175" t="str">
        <f t="shared" si="31"/>
        <v/>
      </c>
      <c r="R274" s="175" t="str">
        <f t="shared" si="31"/>
        <v/>
      </c>
      <c r="S274" s="175" t="str">
        <f t="shared" si="31"/>
        <v/>
      </c>
      <c r="T274" s="175" t="str">
        <f t="shared" si="31"/>
        <v/>
      </c>
      <c r="U274" s="175" t="str">
        <f t="shared" si="31"/>
        <v/>
      </c>
      <c r="V274" s="175" t="str">
        <f t="shared" si="31"/>
        <v/>
      </c>
      <c r="W274" s="175" t="str">
        <f t="shared" si="31"/>
        <v/>
      </c>
      <c r="X274" s="175" t="str">
        <f t="shared" si="31"/>
        <v/>
      </c>
      <c r="Y274" s="175" t="str">
        <f t="shared" si="31"/>
        <v/>
      </c>
      <c r="Z274" s="175" t="str">
        <f t="shared" si="31"/>
        <v/>
      </c>
      <c r="AA274" s="175" t="str">
        <f t="shared" si="31"/>
        <v/>
      </c>
      <c r="AB274" s="175" t="str">
        <f t="shared" si="31"/>
        <v/>
      </c>
      <c r="AC274" s="175" t="str">
        <f t="shared" si="31"/>
        <v/>
      </c>
      <c r="AD274" s="175" t="str">
        <f t="shared" si="31"/>
        <v/>
      </c>
      <c r="AE274" s="175" t="str">
        <f t="shared" si="31"/>
        <v/>
      </c>
      <c r="AF274" s="175" t="str">
        <f t="shared" si="31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225" priority="156">
      <formula>$AH11=0</formula>
    </cfRule>
  </conditionalFormatting>
  <conditionalFormatting sqref="B8 M8 S8 AB8">
    <cfRule type="expression" dxfId="224" priority="409">
      <formula>AND(C$9&gt;=8/24,C$9&lt;14/24)</formula>
    </cfRule>
    <cfRule type="expression" dxfId="223" priority="408">
      <formula>AND(C$9&gt;=14/24,C$9&lt;20/24)</formula>
    </cfRule>
    <cfRule type="expression" dxfId="222" priority="410">
      <formula>C$9&lt;8/24</formula>
    </cfRule>
  </conditionalFormatting>
  <conditionalFormatting sqref="B55:D59">
    <cfRule type="expression" dxfId="221" priority="130">
      <formula>B$9&lt;8/24</formula>
    </cfRule>
    <cfRule type="expression" dxfId="220" priority="128">
      <formula>AND(B$9&gt;=14/24,B$9&lt;20/24)</formula>
    </cfRule>
    <cfRule type="expression" dxfId="219" priority="129">
      <formula>AND(B$9&gt;=8/24,B$9&lt;14/24)</formula>
    </cfRule>
    <cfRule type="expression" dxfId="218" priority="127">
      <formula>B$9&gt;=20/24</formula>
    </cfRule>
  </conditionalFormatting>
  <conditionalFormatting sqref="B77:L83">
    <cfRule type="expression" dxfId="217" priority="88">
      <formula>AND(B$9&gt;=8/24,B$9&lt;14/24)</formula>
    </cfRule>
    <cfRule type="expression" dxfId="216" priority="87">
      <formula>AND(B$9&gt;=14/24,B$9&lt;20/24)</formula>
    </cfRule>
    <cfRule type="expression" dxfId="215" priority="86">
      <formula>B$9&gt;=20/24</formula>
    </cfRule>
    <cfRule type="expression" dxfId="214" priority="89">
      <formula>B$9&lt;8/24</formula>
    </cfRule>
  </conditionalFormatting>
  <conditionalFormatting sqref="B55:Y61">
    <cfRule type="expression" dxfId="213" priority="126">
      <formula>B55&gt;$AG55</formula>
    </cfRule>
  </conditionalFormatting>
  <conditionalFormatting sqref="B9:AF45">
    <cfRule type="expression" dxfId="212" priority="40">
      <formula>B$9&lt;8/24</formula>
    </cfRule>
    <cfRule type="expression" dxfId="211" priority="38">
      <formula>AND(B$9&gt;=14/24,B$9&lt;20/24)</formula>
    </cfRule>
    <cfRule type="expression" dxfId="210" priority="39">
      <formula>AND(B$9&gt;=8/24,B$9&lt;14/24)</formula>
    </cfRule>
    <cfRule type="expression" dxfId="209" priority="37">
      <formula>B$9&gt;=20/24</formula>
    </cfRule>
  </conditionalFormatting>
  <conditionalFormatting sqref="B11:AF46">
    <cfRule type="expression" dxfId="208" priority="35">
      <formula>B11&gt;$AG11</formula>
    </cfRule>
  </conditionalFormatting>
  <conditionalFormatting sqref="B46:AF46">
    <cfRule type="expression" dxfId="207" priority="31">
      <formula>B$9&gt;=20/24</formula>
    </cfRule>
    <cfRule type="expression" dxfId="206" priority="32">
      <formula>AND(B$9&gt;=14/24,B$9&lt;20/24)</formula>
    </cfRule>
    <cfRule type="expression" dxfId="205" priority="33">
      <formula>AND(B$9&gt;=8/24,B$9&lt;14/24)</formula>
    </cfRule>
    <cfRule type="expression" dxfId="204" priority="34">
      <formula>B$9&lt;8/24</formula>
    </cfRule>
  </conditionalFormatting>
  <conditionalFormatting sqref="B47:AF47">
    <cfRule type="expression" dxfId="203" priority="66">
      <formula>B47&gt;$AG47</formula>
    </cfRule>
  </conditionalFormatting>
  <conditionalFormatting sqref="B47:AF49">
    <cfRule type="expression" dxfId="202" priority="56">
      <formula>B$9&lt;8/24</formula>
    </cfRule>
    <cfRule type="expression" dxfId="201" priority="53">
      <formula>B$9&gt;=20/24</formula>
    </cfRule>
    <cfRule type="expression" dxfId="200" priority="54">
      <formula>AND(B$9&gt;=14/24,B$9&lt;20/24)</formula>
    </cfRule>
    <cfRule type="expression" dxfId="199" priority="55">
      <formula>AND(B$9&gt;=8/24,B$9&lt;14/24)</formula>
    </cfRule>
  </conditionalFormatting>
  <conditionalFormatting sqref="B48:AF53">
    <cfRule type="expression" dxfId="198" priority="51">
      <formula>B48&gt;$AG48</formula>
    </cfRule>
  </conditionalFormatting>
  <conditionalFormatting sqref="B51:AF53">
    <cfRule type="expression" dxfId="197" priority="107">
      <formula>B$9&lt;8/24</formula>
    </cfRule>
    <cfRule type="expression" dxfId="196" priority="105">
      <formula>AND(B$9&gt;=14/24,B$9&lt;20/24)</formula>
    </cfRule>
    <cfRule type="expression" dxfId="195" priority="104">
      <formula>B$9&gt;=20/24</formula>
    </cfRule>
    <cfRule type="expression" dxfId="194" priority="106">
      <formula>AND(B$9&gt;=8/24,B$9&lt;14/24)</formula>
    </cfRule>
  </conditionalFormatting>
  <conditionalFormatting sqref="B62:AF62 B63:Y63 B64:AF64 B65:Y66 Z66:AF66">
    <cfRule type="expression" dxfId="193" priority="399">
      <formula>B62&gt;$AG62</formula>
    </cfRule>
  </conditionalFormatting>
  <conditionalFormatting sqref="B69:AF71 B74:E76">
    <cfRule type="expression" dxfId="192" priority="122">
      <formula>B$9&gt;=20/24</formula>
    </cfRule>
    <cfRule type="expression" dxfId="191" priority="123">
      <formula>AND(B$9&gt;=14/24,B$9&lt;20/24)</formula>
    </cfRule>
    <cfRule type="expression" dxfId="190" priority="124">
      <formula>AND(B$9&gt;=8/24,B$9&lt;14/24)</formula>
    </cfRule>
    <cfRule type="expression" dxfId="189" priority="125">
      <formula>B$9&lt;8/24</formula>
    </cfRule>
  </conditionalFormatting>
  <conditionalFormatting sqref="B69:AF71">
    <cfRule type="expression" dxfId="188" priority="121">
      <formula>B69&gt;$AG69</formula>
    </cfRule>
  </conditionalFormatting>
  <conditionalFormatting sqref="B73:AF73">
    <cfRule type="expression" dxfId="187" priority="15">
      <formula>AND(B$9&gt;=8/24,B$9&lt;14/24)</formula>
    </cfRule>
    <cfRule type="expression" dxfId="186" priority="16">
      <formula>B$9&lt;8/24</formula>
    </cfRule>
    <cfRule type="expression" dxfId="185" priority="13">
      <formula>B$9&gt;=20/24</formula>
    </cfRule>
    <cfRule type="expression" dxfId="184" priority="14">
      <formula>AND(B$9&gt;=14/24,B$9&lt;20/24)</formula>
    </cfRule>
  </conditionalFormatting>
  <conditionalFormatting sqref="B84:AF91">
    <cfRule type="expression" dxfId="183" priority="77">
      <formula>B$9&gt;=20/24</formula>
    </cfRule>
    <cfRule type="expression" dxfId="182" priority="80">
      <formula>B$9&lt;8/24</formula>
    </cfRule>
    <cfRule type="expression" dxfId="181" priority="79">
      <formula>AND(B$9&gt;=8/24,B$9&lt;14/24)</formula>
    </cfRule>
    <cfRule type="expression" dxfId="180" priority="78">
      <formula>AND(B$9&gt;=14/24,B$9&lt;20/24)</formula>
    </cfRule>
  </conditionalFormatting>
  <conditionalFormatting sqref="B111:AF120">
    <cfRule type="expression" dxfId="179" priority="27">
      <formula>B$9&gt;=20/24</formula>
    </cfRule>
    <cfRule type="expression" dxfId="178" priority="28">
      <formula>AND(B$9&gt;=14/24,B$9&lt;20/24)</formula>
    </cfRule>
    <cfRule type="expression" dxfId="177" priority="29">
      <formula>AND(B$9&gt;=8/24,B$9&lt;14/24)</formula>
    </cfRule>
    <cfRule type="expression" dxfId="176" priority="30">
      <formula>B$9&lt;8/24</formula>
    </cfRule>
  </conditionalFormatting>
  <conditionalFormatting sqref="B54:AG54">
    <cfRule type="expression" dxfId="175" priority="75">
      <formula>AND(B$9&gt;=8/24,B$9&lt;14/24)</formula>
    </cfRule>
    <cfRule type="expression" dxfId="174" priority="74">
      <formula>AND(B$9&gt;=14/24,B$9&lt;20/24)</formula>
    </cfRule>
    <cfRule type="expression" dxfId="173" priority="73">
      <formula>B$9&gt;=20/24</formula>
    </cfRule>
    <cfRule type="expression" dxfId="172" priority="72">
      <formula>B54&gt;$AG54</formula>
    </cfRule>
    <cfRule type="expression" dxfId="171" priority="76">
      <formula>B$9&lt;8/24</formula>
    </cfRule>
  </conditionalFormatting>
  <conditionalFormatting sqref="B67:AG68 B72:AG72">
    <cfRule type="expression" dxfId="170" priority="81">
      <formula>B67&gt;$AG67</formula>
    </cfRule>
  </conditionalFormatting>
  <conditionalFormatting sqref="B72:AG72 B93:AF109">
    <cfRule type="expression" dxfId="169" priority="85">
      <formula>B$9&lt;8/24</formula>
    </cfRule>
    <cfRule type="expression" dxfId="168" priority="83">
      <formula>AND(B$9&gt;=14/24,B$9&lt;20/24)</formula>
    </cfRule>
    <cfRule type="expression" dxfId="167" priority="82">
      <formula>B$9&gt;=20/24</formula>
    </cfRule>
    <cfRule type="expression" dxfId="166" priority="84">
      <formula>AND(B$9&gt;=8/24,B$9&lt;14/24)</formula>
    </cfRule>
  </conditionalFormatting>
  <conditionalFormatting sqref="E55:S57">
    <cfRule type="expression" dxfId="165" priority="340">
      <formula>AND(E$9&gt;=14/24,E$9&lt;20/24)</formula>
    </cfRule>
    <cfRule type="expression" dxfId="164" priority="341">
      <formula>AND(E$9&gt;=8/24,E$9&lt;14/24)</formula>
    </cfRule>
    <cfRule type="expression" dxfId="163" priority="342">
      <formula>E$9&lt;8/24</formula>
    </cfRule>
    <cfRule type="expression" dxfId="162" priority="339">
      <formula>E$9&gt;=20/24</formula>
    </cfRule>
  </conditionalFormatting>
  <conditionalFormatting sqref="F76:O76 P76:AF78 M77:O78">
    <cfRule type="expression" dxfId="161" priority="271">
      <formula>F$9&gt;=20/24</formula>
    </cfRule>
    <cfRule type="expression" dxfId="160" priority="274">
      <formula>F$9&lt;8/24</formula>
    </cfRule>
    <cfRule type="expression" dxfId="159" priority="273">
      <formula>AND(F$9&gt;=8/24,F$9&lt;14/24)</formula>
    </cfRule>
    <cfRule type="expression" dxfId="158" priority="272">
      <formula>AND(F$9&gt;=14/24,F$9&lt;20/24)</formula>
    </cfRule>
  </conditionalFormatting>
  <conditionalFormatting sqref="F74:AF75">
    <cfRule type="expression" dxfId="157" priority="362">
      <formula>F$9&gt;=20/24</formula>
    </cfRule>
    <cfRule type="expression" dxfId="156" priority="363">
      <formula>AND(F$9&gt;=14/24,F$9&lt;20/24)</formula>
    </cfRule>
    <cfRule type="expression" dxfId="155" priority="364">
      <formula>AND(F$9&gt;=8/24,F$9&lt;14/24)</formula>
    </cfRule>
    <cfRule type="expression" dxfId="154" priority="365">
      <formula>F$9&lt;8/24</formula>
    </cfRule>
  </conditionalFormatting>
  <conditionalFormatting sqref="M79:AF83">
    <cfRule type="expression" dxfId="153" priority="232">
      <formula>M$9&lt;8/24</formula>
    </cfRule>
    <cfRule type="expression" dxfId="152" priority="231">
      <formula>AND(M$9&gt;=8/24,M$9&lt;14/24)</formula>
    </cfRule>
    <cfRule type="expression" dxfId="151" priority="230">
      <formula>AND(M$9&gt;=14/24,M$9&lt;20/24)</formula>
    </cfRule>
    <cfRule type="expression" dxfId="150" priority="229">
      <formula>M$9&gt;=20/24</formula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49" priority="407">
      <formula>C$9&gt;=20/24</formula>
    </cfRule>
  </conditionalFormatting>
  <conditionalFormatting sqref="S8">
    <cfRule type="expression" dxfId="148" priority="380">
      <formula>U$9&gt;=20/24</formula>
    </cfRule>
    <cfRule type="expression" dxfId="147" priority="381">
      <formula>AND(U$9&gt;=14/24,U$9&lt;20/24)</formula>
    </cfRule>
    <cfRule type="expression" dxfId="146" priority="382">
      <formula>AND(U$9&gt;=8/24,U$9&lt;14/24)</formula>
    </cfRule>
    <cfRule type="expression" dxfId="145" priority="383">
      <formula>U$9&lt;8/24</formula>
    </cfRule>
  </conditionalFormatting>
  <conditionalFormatting sqref="T248">
    <cfRule type="expression" dxfId="144" priority="423">
      <formula>AX$9&lt;8/24</formula>
    </cfRule>
    <cfRule type="expression" dxfId="143" priority="420">
      <formula>AX$9&gt;=20/24</formula>
    </cfRule>
    <cfRule type="expression" dxfId="142" priority="421">
      <formula>AND(AX$9&gt;=14/24,AX$9&lt;20/24)</formula>
    </cfRule>
    <cfRule type="expression" dxfId="141" priority="422">
      <formula>AND(AX$9&gt;=8/24,AX$9&lt;14/24)</formula>
    </cfRule>
  </conditionalFormatting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Z54:AA61 T55:Y59 AB55:AB61 AC55:AF66 B60:Y61 B62:AB66 B227:AF227 D229:AF230 B229:B235 D231:H231 J231:AF231 D232:AF235 U248:AF248">
    <cfRule type="expression" dxfId="140" priority="402">
      <formula>AND(B$9&gt;=14/24,B$9&lt;20/24)</formula>
    </cfRule>
    <cfRule type="expression" dxfId="139" priority="404">
      <formula>B$9&lt;8/24</formula>
    </cfRule>
    <cfRule type="expression" dxfId="138" priority="403">
      <formula>AND(B$9&gt;=8/24,B$9&lt;14/24)</formula>
    </cfRule>
  </conditionalFormatting>
  <conditionalFormatting sqref="Z54:AA61 AB55:AF61 Z63:AF63 Z65:AF65">
    <cfRule type="expression" dxfId="137" priority="688">
      <formula>Z54&gt;$AG55</formula>
    </cfRule>
  </conditionalFormatting>
  <conditionalFormatting sqref="AB8">
    <cfRule type="expression" dxfId="136" priority="376">
      <formula>AD$9&gt;=20/24</formula>
    </cfRule>
    <cfRule type="expression" dxfId="135" priority="377">
      <formula>AND(AD$9&gt;=14/24,AD$9&lt;20/24)</formula>
    </cfRule>
    <cfRule type="expression" dxfId="134" priority="378">
      <formula>AND(AD$9&gt;=8/24,AD$9&lt;14/24)</formula>
    </cfRule>
    <cfRule type="expression" dxfId="133" priority="379">
      <formula>AD$9&lt;8/24</formula>
    </cfRule>
  </conditionalFormatting>
  <conditionalFormatting sqref="AC55:AF66 B62:AB66 T55:Y59 B60:Y61 Z54:AA61 AB55:AB61 B227:AF227 D229:AF230 B229:B235 D231:H231 J231:AF231 D232:AF235 U248:AF248">
    <cfRule type="expression" dxfId="132" priority="401">
      <formula>B$9&gt;=20/24</formula>
    </cfRule>
  </conditionalFormatting>
  <conditionalFormatting sqref="AG50">
    <cfRule type="expression" dxfId="131" priority="333">
      <formula>AG50&gt;$AG50</formula>
    </cfRule>
  </conditionalFormatting>
  <conditionalFormatting sqref="AG89">
    <cfRule type="expression" dxfId="130" priority="336">
      <formula>AND(AG$9&gt;=8/24,AG$9&lt;14/24)</formula>
    </cfRule>
    <cfRule type="expression" dxfId="129" priority="337">
      <formula>AG$9&lt;8/24</formula>
    </cfRule>
    <cfRule type="expression" dxfId="128" priority="334">
      <formula>AG$9&gt;=20/24</formula>
    </cfRule>
    <cfRule type="expression" dxfId="127" priority="335">
      <formula>AND(AG$9&gt;=14/24,AG$9&lt;20/24)</formula>
    </cfRule>
  </conditionalFormatting>
  <conditionalFormatting sqref="AG248">
    <cfRule type="expression" dxfId="126" priority="414">
      <formula>AND(B$9&gt;=8/24,B$9&lt;14/24)</formula>
    </cfRule>
    <cfRule type="expression" dxfId="125" priority="415">
      <formula>B$9&lt;8/24</formula>
    </cfRule>
    <cfRule type="expression" dxfId="124" priority="413">
      <formula>AND(B$9&gt;=14/24,B$9&lt;20/24)</formula>
    </cfRule>
    <cfRule type="expression" dxfId="123" priority="412">
      <formula>B$9&gt;=20/24</formula>
    </cfRule>
  </conditionalFormatting>
  <conditionalFormatting sqref="AH248:AX248">
    <cfRule type="expression" dxfId="122" priority="416">
      <formula>AG$9&gt;=20/24</formula>
    </cfRule>
    <cfRule type="expression" dxfId="121" priority="417">
      <formula>AND(AG$9&gt;=14/24,AG$9&lt;20/24)</formula>
    </cfRule>
    <cfRule type="expression" dxfId="120" priority="418">
      <formula>AND(AG$9&gt;=8/24,AG$9&lt;14/24)</formula>
    </cfRule>
    <cfRule type="expression" dxfId="119" priority="419">
      <formula>AG$9&lt;8/24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18" priority="425">
      <formula>AJ$9&gt;=20/24</formula>
    </cfRule>
    <cfRule type="expression" dxfId="117" priority="426">
      <formula>AND(AJ$9&gt;=14/24,AJ$9&lt;20/24)</formula>
    </cfRule>
    <cfRule type="expression" dxfId="116" priority="427">
      <formula>AND(AJ$9&gt;=8/24,AJ$9&lt;14/24)</formula>
    </cfRule>
    <cfRule type="expression" dxfId="115" priority="428">
      <formula>AJ$9&lt;8/24</formula>
    </cfRule>
  </conditionalFormatting>
  <conditionalFormatting sqref="AL80:AN80 AL86:AN86">
    <cfRule type="expression" dxfId="114" priority="227">
      <formula>AND(AL$9&gt;=8/24,AL$9&lt;14/24)</formula>
    </cfRule>
    <cfRule type="expression" dxfId="113" priority="225">
      <formula>AL$9&gt;=20/24</formula>
    </cfRule>
    <cfRule type="expression" dxfId="112" priority="228">
      <formula>AL$9&lt;8/24</formula>
    </cfRule>
    <cfRule type="expression" dxfId="111" priority="226">
      <formula>AND(AL$9&gt;=14/24,AL$9&lt;20/24)</formula>
    </cfRule>
  </conditionalFormatting>
  <conditionalFormatting sqref="AN81:AN84">
    <cfRule type="expression" dxfId="110" priority="224">
      <formula>AN$9&lt;8/24</formula>
    </cfRule>
    <cfRule type="expression" dxfId="109" priority="223">
      <formula>AND(AN$9&gt;=8/24,AN$9&lt;14/24)</formula>
    </cfRule>
    <cfRule type="expression" dxfId="108" priority="222">
      <formula>AND(AN$9&gt;=14/24,AN$9&lt;20/24)</formula>
    </cfRule>
    <cfRule type="expression" dxfId="107" priority="221">
      <formula>AN$9&gt;=20/24</formula>
    </cfRule>
  </conditionalFormatting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9396-1DE1-4C20-8D70-8C878EF3EAC6}">
  <dimension ref="A1:CJ281"/>
  <sheetViews>
    <sheetView zoomScale="89" zoomScaleNormal="89" workbookViewId="0">
      <selection activeCell="W73" sqref="W7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2080/03/23</v>
      </c>
      <c r="C4" s="187"/>
      <c r="D4" s="187"/>
      <c r="E4" s="188" t="str">
        <f ca="1">"2079/"&amp;"12/"&amp;INT(MID(CELL("filename",G6),FIND("]",CELL("filename",G6))+1,200))</f>
        <v>2079/12/23</v>
      </c>
      <c r="F4" s="188"/>
      <c r="G4" s="188"/>
      <c r="H4" s="188" t="str">
        <f ca="1">TEXT(E4,"dddd")</f>
        <v>Saturday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110</v>
      </c>
      <c r="C5" s="30">
        <f t="shared" si="0"/>
        <v>96.7</v>
      </c>
      <c r="D5" s="30">
        <f t="shared" si="0"/>
        <v>17.3</v>
      </c>
      <c r="E5" s="30">
        <f t="shared" si="0"/>
        <v>22.1</v>
      </c>
      <c r="F5" s="30">
        <f t="shared" si="0"/>
        <v>15</v>
      </c>
      <c r="G5" s="30">
        <f t="shared" si="0"/>
        <v>15</v>
      </c>
      <c r="H5" s="30">
        <f t="shared" si="0"/>
        <v>42</v>
      </c>
      <c r="I5" s="30">
        <f t="shared" si="0"/>
        <v>50.2</v>
      </c>
      <c r="J5" s="30">
        <f t="shared" si="0"/>
        <v>46.2</v>
      </c>
      <c r="K5" s="30">
        <f t="shared" si="0"/>
        <v>41</v>
      </c>
      <c r="L5" s="30">
        <f t="shared" si="0"/>
        <v>13</v>
      </c>
      <c r="M5" s="30">
        <f t="shared" si="0"/>
        <v>1.6</v>
      </c>
      <c r="N5" s="30">
        <f t="shared" si="0"/>
        <v>31.8</v>
      </c>
      <c r="O5" s="30">
        <f t="shared" si="0"/>
        <v>32.9</v>
      </c>
      <c r="P5" s="30">
        <f t="shared" si="0"/>
        <v>0</v>
      </c>
      <c r="Q5" s="30">
        <f t="shared" si="0"/>
        <v>22.1</v>
      </c>
      <c r="R5" s="30">
        <f t="shared" si="0"/>
        <v>46.1</v>
      </c>
      <c r="S5" s="30">
        <f t="shared" si="0"/>
        <v>9.6999999999999993</v>
      </c>
      <c r="T5" s="30">
        <f t="shared" si="0"/>
        <v>18.2</v>
      </c>
      <c r="U5" s="30">
        <f t="shared" si="0"/>
        <v>64.5</v>
      </c>
      <c r="V5" s="30">
        <f t="shared" si="0"/>
        <v>26.5</v>
      </c>
      <c r="W5" s="30">
        <f t="shared" si="0"/>
        <v>21.4</v>
      </c>
      <c r="X5" s="30">
        <f t="shared" si="0"/>
        <v>6.7</v>
      </c>
      <c r="Y5" s="30">
        <f t="shared" si="0"/>
        <v>0</v>
      </c>
      <c r="Z5" s="30">
        <f t="shared" si="0"/>
        <v>8.6</v>
      </c>
      <c r="AA5" s="30">
        <f t="shared" si="0"/>
        <v>21.5</v>
      </c>
      <c r="AB5" s="30">
        <f t="shared" si="0"/>
        <v>23.2</v>
      </c>
      <c r="AC5" s="30">
        <f t="shared" si="0"/>
        <v>30</v>
      </c>
      <c r="AD5" s="30">
        <f t="shared" si="0"/>
        <v>47</v>
      </c>
      <c r="AE5" s="30">
        <f t="shared" si="0"/>
        <v>60</v>
      </c>
      <c r="AF5" s="30">
        <f>B84</f>
        <v>100.1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1965MW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Load=1853</v>
      </c>
      <c r="B7" s="35">
        <f t="shared" ref="B7:AF7" si="1">B91</f>
        <v>1950.74</v>
      </c>
      <c r="C7" s="35">
        <f t="shared" si="1"/>
        <v>1905.7400000000002</v>
      </c>
      <c r="D7" s="35">
        <f t="shared" si="1"/>
        <v>1910.1400000000003</v>
      </c>
      <c r="E7" s="35">
        <f t="shared" si="1"/>
        <v>1860.14</v>
      </c>
      <c r="F7" s="35">
        <f t="shared" si="1"/>
        <v>1908.54</v>
      </c>
      <c r="G7" s="35">
        <f t="shared" si="1"/>
        <v>1861.44</v>
      </c>
      <c r="H7" s="35">
        <f t="shared" si="1"/>
        <v>1861.44</v>
      </c>
      <c r="I7" s="35">
        <f t="shared" si="1"/>
        <v>1913.8400000000001</v>
      </c>
      <c r="J7" s="35">
        <f t="shared" si="1"/>
        <v>1922.0400000000002</v>
      </c>
      <c r="K7" s="35">
        <f t="shared" si="1"/>
        <v>1926.3400000000001</v>
      </c>
      <c r="L7" s="35">
        <f t="shared" si="1"/>
        <v>1965.44</v>
      </c>
      <c r="M7" s="35">
        <f t="shared" si="1"/>
        <v>1922.5399999999997</v>
      </c>
      <c r="N7" s="35">
        <f>N91</f>
        <v>1934.1399999999999</v>
      </c>
      <c r="O7" s="35">
        <f t="shared" si="1"/>
        <v>1962.74</v>
      </c>
      <c r="P7" s="35">
        <f t="shared" si="1"/>
        <v>1938.2400000000002</v>
      </c>
      <c r="Q7" s="35">
        <f t="shared" si="1"/>
        <v>1913.14</v>
      </c>
      <c r="R7" s="35">
        <f t="shared" si="1"/>
        <v>1929.04</v>
      </c>
      <c r="S7" s="35">
        <f t="shared" si="1"/>
        <v>1936.34</v>
      </c>
      <c r="T7" s="35">
        <f t="shared" si="1"/>
        <v>1913.04</v>
      </c>
      <c r="U7" s="35">
        <f t="shared" si="1"/>
        <v>1911.04</v>
      </c>
      <c r="V7" s="35">
        <f t="shared" si="1"/>
        <v>1896.64</v>
      </c>
      <c r="W7" s="35">
        <f t="shared" si="1"/>
        <v>1852.8400000000001</v>
      </c>
      <c r="X7" s="35">
        <f t="shared" si="1"/>
        <v>1884.3400000000001</v>
      </c>
      <c r="Y7" s="35">
        <f t="shared" si="1"/>
        <v>1890.8400000000001</v>
      </c>
      <c r="Z7" s="35">
        <f t="shared" si="1"/>
        <v>1884.14</v>
      </c>
      <c r="AA7" s="35">
        <f t="shared" si="1"/>
        <v>2030.44</v>
      </c>
      <c r="AB7" s="35">
        <f t="shared" si="1"/>
        <v>2010.1400000000003</v>
      </c>
      <c r="AC7" s="35">
        <f t="shared" si="1"/>
        <v>1990.0400000000002</v>
      </c>
      <c r="AD7" s="35">
        <f t="shared" si="1"/>
        <v>1988.2400000000002</v>
      </c>
      <c r="AE7" s="35">
        <f t="shared" si="1"/>
        <v>1940.2400000000002</v>
      </c>
      <c r="AF7" s="35">
        <f t="shared" si="1"/>
        <v>1923.2400000000002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60.3</v>
      </c>
      <c r="C11" s="45">
        <v>60.3</v>
      </c>
      <c r="D11" s="45">
        <v>60.3</v>
      </c>
      <c r="E11" s="45">
        <v>60.3</v>
      </c>
      <c r="F11" s="45">
        <v>60.3</v>
      </c>
      <c r="G11" s="45">
        <v>60.3</v>
      </c>
      <c r="H11" s="45">
        <v>60.3</v>
      </c>
      <c r="I11" s="45">
        <v>60.3</v>
      </c>
      <c r="J11" s="45">
        <v>60.3</v>
      </c>
      <c r="K11" s="45">
        <v>60.3</v>
      </c>
      <c r="L11" s="45">
        <v>60.3</v>
      </c>
      <c r="M11" s="45">
        <v>60.3</v>
      </c>
      <c r="N11" s="45">
        <v>60.3</v>
      </c>
      <c r="O11" s="45">
        <v>60.3</v>
      </c>
      <c r="P11" s="45">
        <v>60.3</v>
      </c>
      <c r="Q11" s="45">
        <v>60.3</v>
      </c>
      <c r="R11" s="45">
        <v>60.3</v>
      </c>
      <c r="S11" s="45">
        <v>60.3</v>
      </c>
      <c r="T11" s="45">
        <v>60.3</v>
      </c>
      <c r="U11" s="45">
        <v>60.3</v>
      </c>
      <c r="V11" s="45">
        <v>60.3</v>
      </c>
      <c r="W11" s="45">
        <v>60.3</v>
      </c>
      <c r="X11" s="45">
        <v>60.3</v>
      </c>
      <c r="Y11" s="45">
        <v>60.3</v>
      </c>
      <c r="Z11" s="45">
        <v>60.3</v>
      </c>
      <c r="AA11" s="45">
        <v>60.3</v>
      </c>
      <c r="AB11" s="45">
        <v>60.3</v>
      </c>
      <c r="AC11" s="45">
        <v>60.3</v>
      </c>
      <c r="AD11" s="45">
        <v>60.3</v>
      </c>
      <c r="AE11" s="45">
        <v>60.3</v>
      </c>
      <c r="AF11" s="45">
        <v>60.3</v>
      </c>
      <c r="AG11" s="46">
        <v>86</v>
      </c>
      <c r="AH11" s="47">
        <f t="shared" ref="AH11:AH76" si="2">MAX(B11:AF11)</f>
        <v>60.3</v>
      </c>
      <c r="AI11" s="48">
        <f t="shared" ref="AI11:AI76" si="3">MIN(B11:AF11)</f>
        <v>60.3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26</v>
      </c>
      <c r="C12" s="45">
        <v>26</v>
      </c>
      <c r="D12" s="45">
        <v>20</v>
      </c>
      <c r="E12" s="45">
        <v>26.6</v>
      </c>
      <c r="F12" s="45">
        <v>26.6</v>
      </c>
      <c r="G12" s="45">
        <v>26.6</v>
      </c>
      <c r="H12" s="45">
        <v>26.6</v>
      </c>
      <c r="I12" s="45">
        <v>26.6</v>
      </c>
      <c r="J12" s="45">
        <v>26.6</v>
      </c>
      <c r="K12" s="45">
        <v>26.6</v>
      </c>
      <c r="L12" s="45">
        <v>26.6</v>
      </c>
      <c r="M12" s="45">
        <v>26.6</v>
      </c>
      <c r="N12" s="45">
        <v>26.6</v>
      </c>
      <c r="O12" s="45">
        <v>26.6</v>
      </c>
      <c r="P12" s="45">
        <v>26.6</v>
      </c>
      <c r="Q12" s="45">
        <v>26.6</v>
      </c>
      <c r="R12" s="45">
        <v>26.6</v>
      </c>
      <c r="S12" s="45">
        <v>26.6</v>
      </c>
      <c r="T12" s="45">
        <v>26.6</v>
      </c>
      <c r="U12" s="45">
        <v>26.6</v>
      </c>
      <c r="V12" s="45">
        <v>0</v>
      </c>
      <c r="W12" s="45">
        <v>0</v>
      </c>
      <c r="X12" s="45">
        <v>26</v>
      </c>
      <c r="Y12" s="45">
        <v>26</v>
      </c>
      <c r="Z12" s="45">
        <v>26</v>
      </c>
      <c r="AA12" s="45">
        <v>26</v>
      </c>
      <c r="AB12" s="45">
        <v>26</v>
      </c>
      <c r="AC12" s="45">
        <v>26</v>
      </c>
      <c r="AD12" s="45">
        <v>26</v>
      </c>
      <c r="AE12" s="45">
        <v>26</v>
      </c>
      <c r="AF12" s="45">
        <v>26</v>
      </c>
      <c r="AG12" s="49">
        <v>54</v>
      </c>
      <c r="AH12" s="47">
        <f t="shared" si="2"/>
        <v>26.6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54.6</v>
      </c>
      <c r="C13" s="45">
        <v>54.6</v>
      </c>
      <c r="D13" s="45">
        <v>54.6</v>
      </c>
      <c r="E13" s="45">
        <v>54.6</v>
      </c>
      <c r="F13" s="45">
        <v>54.6</v>
      </c>
      <c r="G13" s="45">
        <v>54.6</v>
      </c>
      <c r="H13" s="45">
        <v>54.6</v>
      </c>
      <c r="I13" s="45">
        <v>54.6</v>
      </c>
      <c r="J13" s="45">
        <v>54.6</v>
      </c>
      <c r="K13" s="45">
        <v>54.6</v>
      </c>
      <c r="L13" s="45">
        <v>54.6</v>
      </c>
      <c r="M13" s="45">
        <v>54.6</v>
      </c>
      <c r="N13" s="45">
        <v>54.6</v>
      </c>
      <c r="O13" s="45">
        <v>54.6</v>
      </c>
      <c r="P13" s="45">
        <v>54.7</v>
      </c>
      <c r="Q13" s="45">
        <v>54.7</v>
      </c>
      <c r="R13" s="45">
        <v>54.7</v>
      </c>
      <c r="S13" s="45">
        <v>54.7</v>
      </c>
      <c r="T13" s="45">
        <v>54.7</v>
      </c>
      <c r="U13" s="45">
        <v>54.7</v>
      </c>
      <c r="V13" s="45">
        <v>54.7</v>
      </c>
      <c r="W13" s="45">
        <v>54.7</v>
      </c>
      <c r="X13" s="45">
        <v>54.7</v>
      </c>
      <c r="Y13" s="45">
        <v>54.7</v>
      </c>
      <c r="Z13" s="45">
        <v>54.7</v>
      </c>
      <c r="AA13" s="45">
        <v>54.7</v>
      </c>
      <c r="AB13" s="45">
        <v>54.7</v>
      </c>
      <c r="AC13" s="45">
        <v>54.7</v>
      </c>
      <c r="AD13" s="45">
        <v>54.7</v>
      </c>
      <c r="AE13" s="45">
        <v>54.7</v>
      </c>
      <c r="AF13" s="45">
        <v>54.7</v>
      </c>
      <c r="AG13" s="46">
        <v>52.4</v>
      </c>
      <c r="AH13" s="47">
        <f t="shared" si="2"/>
        <v>54.7</v>
      </c>
      <c r="AI13" s="48">
        <f t="shared" si="3"/>
        <v>54.6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50.5</v>
      </c>
      <c r="C14" s="50">
        <v>50.5</v>
      </c>
      <c r="D14" s="50">
        <v>50.5</v>
      </c>
      <c r="E14" s="50">
        <v>0</v>
      </c>
      <c r="F14" s="50">
        <v>50</v>
      </c>
      <c r="G14" s="50">
        <v>50</v>
      </c>
      <c r="H14" s="50">
        <v>50</v>
      </c>
      <c r="I14" s="50">
        <v>50</v>
      </c>
      <c r="J14" s="50">
        <v>50</v>
      </c>
      <c r="K14" s="50">
        <v>50.3</v>
      </c>
      <c r="L14" s="50">
        <v>50.3</v>
      </c>
      <c r="M14" s="50">
        <v>50.3</v>
      </c>
      <c r="N14" s="50">
        <v>50.3</v>
      </c>
      <c r="O14" s="50">
        <v>50.3</v>
      </c>
      <c r="P14" s="50">
        <v>50.5</v>
      </c>
      <c r="Q14" s="50">
        <v>50.5</v>
      </c>
      <c r="R14" s="50">
        <v>50.5</v>
      </c>
      <c r="S14" s="50">
        <v>50.5</v>
      </c>
      <c r="T14" s="50">
        <v>50.5</v>
      </c>
      <c r="U14" s="50">
        <v>50.5</v>
      </c>
      <c r="V14" s="50">
        <v>50.5</v>
      </c>
      <c r="W14" s="50">
        <v>50.5</v>
      </c>
      <c r="X14" s="50">
        <v>50.5</v>
      </c>
      <c r="Y14" s="50">
        <v>50.5</v>
      </c>
      <c r="Z14" s="50">
        <v>50.5</v>
      </c>
      <c r="AA14" s="45">
        <v>50.5</v>
      </c>
      <c r="AB14" s="45">
        <v>50.5</v>
      </c>
      <c r="AC14" s="45">
        <v>50.5</v>
      </c>
      <c r="AD14" s="45">
        <v>50.5</v>
      </c>
      <c r="AE14" s="45">
        <v>50.5</v>
      </c>
      <c r="AF14" s="45">
        <v>50.5</v>
      </c>
      <c r="AG14" s="49">
        <v>50</v>
      </c>
      <c r="AH14" s="47">
        <f t="shared" si="2"/>
        <v>50.5</v>
      </c>
      <c r="AI14" s="48">
        <f t="shared" si="3"/>
        <v>0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45.9</v>
      </c>
      <c r="C15" s="45">
        <v>45.9</v>
      </c>
      <c r="D15" s="45">
        <v>45.9</v>
      </c>
      <c r="E15" s="45">
        <v>45.9</v>
      </c>
      <c r="F15" s="45">
        <v>45.9</v>
      </c>
      <c r="G15" s="45">
        <v>45.9</v>
      </c>
      <c r="H15" s="45">
        <v>45.9</v>
      </c>
      <c r="I15" s="45">
        <v>45.9</v>
      </c>
      <c r="J15" s="45">
        <v>45.9</v>
      </c>
      <c r="K15" s="45">
        <v>45.9</v>
      </c>
      <c r="L15" s="45">
        <v>45.9</v>
      </c>
      <c r="M15" s="45">
        <v>45.9</v>
      </c>
      <c r="N15" s="45">
        <v>45.9</v>
      </c>
      <c r="O15" s="45">
        <v>45.9</v>
      </c>
      <c r="P15" s="45">
        <v>45.7</v>
      </c>
      <c r="Q15" s="45">
        <v>45.7</v>
      </c>
      <c r="R15" s="45">
        <v>45.7</v>
      </c>
      <c r="S15" s="45">
        <v>45.7</v>
      </c>
      <c r="T15" s="45">
        <v>45.7</v>
      </c>
      <c r="U15" s="45">
        <v>45.7</v>
      </c>
      <c r="V15" s="45">
        <v>45.7</v>
      </c>
      <c r="W15" s="45">
        <v>45.7</v>
      </c>
      <c r="X15" s="45">
        <v>45.7</v>
      </c>
      <c r="Y15" s="45">
        <v>45.7</v>
      </c>
      <c r="Z15" s="45">
        <v>45.7</v>
      </c>
      <c r="AA15" s="45">
        <v>45.7</v>
      </c>
      <c r="AB15" s="45">
        <v>45.7</v>
      </c>
      <c r="AC15" s="45">
        <v>45.7</v>
      </c>
      <c r="AD15" s="45">
        <v>45.7</v>
      </c>
      <c r="AE15" s="45">
        <v>45.7</v>
      </c>
      <c r="AF15" s="45">
        <v>45.7</v>
      </c>
      <c r="AG15" s="49">
        <v>45</v>
      </c>
      <c r="AH15" s="47">
        <f t="shared" si="2"/>
        <v>45.9</v>
      </c>
      <c r="AI15" s="48">
        <f t="shared" si="3"/>
        <v>45.7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0</v>
      </c>
      <c r="C16" s="45">
        <v>0</v>
      </c>
      <c r="D16" s="45">
        <v>0</v>
      </c>
      <c r="E16" s="45">
        <v>44</v>
      </c>
      <c r="F16" s="45">
        <v>44</v>
      </c>
      <c r="G16" s="45">
        <v>44</v>
      </c>
      <c r="H16" s="45">
        <v>44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30</v>
      </c>
      <c r="AF16" s="45">
        <v>0</v>
      </c>
      <c r="AG16" s="49">
        <v>44</v>
      </c>
      <c r="AH16" s="47">
        <f>MAX(B16:AG16)</f>
        <v>44</v>
      </c>
      <c r="AI16" s="48">
        <f>MIN(B16:AG16)</f>
        <v>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35</v>
      </c>
      <c r="C17" s="45">
        <v>35</v>
      </c>
      <c r="D17" s="45">
        <v>35</v>
      </c>
      <c r="E17" s="45">
        <v>42.2</v>
      </c>
      <c r="F17" s="45">
        <v>42.2</v>
      </c>
      <c r="G17" s="45">
        <v>42.2</v>
      </c>
      <c r="H17" s="45">
        <v>42.2</v>
      </c>
      <c r="I17" s="45">
        <v>42.2</v>
      </c>
      <c r="J17" s="45">
        <v>42.2</v>
      </c>
      <c r="K17" s="45">
        <v>42.2</v>
      </c>
      <c r="L17" s="45">
        <v>42.2</v>
      </c>
      <c r="M17" s="45">
        <v>42.2</v>
      </c>
      <c r="N17" s="45">
        <v>42.2</v>
      </c>
      <c r="O17" s="45">
        <v>42.2</v>
      </c>
      <c r="P17" s="45">
        <v>33</v>
      </c>
      <c r="Q17" s="45">
        <v>33</v>
      </c>
      <c r="R17" s="45">
        <v>33</v>
      </c>
      <c r="S17" s="45">
        <v>33</v>
      </c>
      <c r="T17" s="45">
        <v>33</v>
      </c>
      <c r="U17" s="45">
        <v>33</v>
      </c>
      <c r="V17" s="45">
        <v>33</v>
      </c>
      <c r="W17" s="45">
        <v>33</v>
      </c>
      <c r="X17" s="45">
        <v>33</v>
      </c>
      <c r="Y17" s="45">
        <v>33</v>
      </c>
      <c r="Z17" s="45">
        <v>33</v>
      </c>
      <c r="AA17" s="45">
        <v>42</v>
      </c>
      <c r="AB17" s="45">
        <v>31</v>
      </c>
      <c r="AC17" s="45">
        <v>31</v>
      </c>
      <c r="AD17" s="45">
        <v>31</v>
      </c>
      <c r="AE17" s="45">
        <v>31</v>
      </c>
      <c r="AF17" s="45">
        <v>31</v>
      </c>
      <c r="AG17" s="49">
        <v>42</v>
      </c>
      <c r="AH17" s="47">
        <f t="shared" si="2"/>
        <v>42.2</v>
      </c>
      <c r="AI17" s="48">
        <f t="shared" si="3"/>
        <v>31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0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9">
        <v>36</v>
      </c>
      <c r="AH19" s="47">
        <f t="shared" si="2"/>
        <v>0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21.5</v>
      </c>
      <c r="C20" s="45">
        <v>25</v>
      </c>
      <c r="D20" s="45">
        <v>20</v>
      </c>
      <c r="E20" s="45">
        <v>25</v>
      </c>
      <c r="F20" s="45">
        <v>25</v>
      </c>
      <c r="G20" s="45">
        <v>25</v>
      </c>
      <c r="H20" s="45">
        <v>25</v>
      </c>
      <c r="I20" s="45">
        <v>25</v>
      </c>
      <c r="J20" s="45">
        <v>25</v>
      </c>
      <c r="K20" s="45">
        <v>25</v>
      </c>
      <c r="L20" s="45">
        <v>25</v>
      </c>
      <c r="M20" s="45">
        <v>29</v>
      </c>
      <c r="N20" s="45">
        <v>29</v>
      </c>
      <c r="O20" s="45">
        <v>29</v>
      </c>
      <c r="P20" s="45">
        <v>21.5</v>
      </c>
      <c r="Q20" s="45">
        <v>30.2</v>
      </c>
      <c r="R20" s="45">
        <v>30.2</v>
      </c>
      <c r="S20" s="45">
        <v>26</v>
      </c>
      <c r="T20" s="45">
        <v>26</v>
      </c>
      <c r="U20" s="45">
        <v>15</v>
      </c>
      <c r="V20" s="45">
        <v>15</v>
      </c>
      <c r="W20" s="45">
        <v>5.5</v>
      </c>
      <c r="X20" s="45">
        <v>15</v>
      </c>
      <c r="Y20" s="45">
        <v>16</v>
      </c>
      <c r="Z20" s="45">
        <v>16</v>
      </c>
      <c r="AA20" s="45">
        <v>30</v>
      </c>
      <c r="AB20" s="45">
        <v>30</v>
      </c>
      <c r="AC20" s="45">
        <v>30</v>
      </c>
      <c r="AD20" s="45">
        <v>30</v>
      </c>
      <c r="AE20" s="45">
        <v>21</v>
      </c>
      <c r="AF20" s="45">
        <v>21</v>
      </c>
      <c r="AG20" s="51">
        <v>30</v>
      </c>
      <c r="AH20" s="47">
        <f t="shared" si="2"/>
        <v>30.2</v>
      </c>
      <c r="AI20" s="48">
        <f t="shared" si="3"/>
        <v>5.5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20.6</v>
      </c>
      <c r="C21" s="45">
        <v>20.6</v>
      </c>
      <c r="D21" s="45">
        <v>20.6</v>
      </c>
      <c r="E21" s="45">
        <v>20.6</v>
      </c>
      <c r="F21" s="45">
        <v>20.6</v>
      </c>
      <c r="G21" s="45">
        <v>20.6</v>
      </c>
      <c r="H21" s="45">
        <v>20.6</v>
      </c>
      <c r="I21" s="45">
        <v>20.6</v>
      </c>
      <c r="J21" s="45">
        <v>20.6</v>
      </c>
      <c r="K21" s="45">
        <v>20.6</v>
      </c>
      <c r="L21" s="45">
        <v>20.6</v>
      </c>
      <c r="M21" s="45">
        <v>20.6</v>
      </c>
      <c r="N21" s="45">
        <v>20.6</v>
      </c>
      <c r="O21" s="45">
        <v>20.6</v>
      </c>
      <c r="P21" s="45">
        <v>20.6</v>
      </c>
      <c r="Q21" s="45">
        <v>20.6</v>
      </c>
      <c r="R21" s="45">
        <v>20.6</v>
      </c>
      <c r="S21" s="45">
        <v>20.6</v>
      </c>
      <c r="T21" s="45">
        <v>20.6</v>
      </c>
      <c r="U21" s="45">
        <v>20.6</v>
      </c>
      <c r="V21" s="45">
        <v>20.6</v>
      </c>
      <c r="W21" s="45">
        <v>20.6</v>
      </c>
      <c r="X21" s="45">
        <v>20.6</v>
      </c>
      <c r="Y21" s="45">
        <v>20.6</v>
      </c>
      <c r="Z21" s="45">
        <v>20.6</v>
      </c>
      <c r="AA21" s="45">
        <v>20.6</v>
      </c>
      <c r="AB21" s="45">
        <v>20.6</v>
      </c>
      <c r="AC21" s="45">
        <v>20.6</v>
      </c>
      <c r="AD21" s="45">
        <v>20.6</v>
      </c>
      <c r="AE21" s="45">
        <v>20.6</v>
      </c>
      <c r="AF21" s="45">
        <v>20.6</v>
      </c>
      <c r="AG21" s="49">
        <v>24.2</v>
      </c>
      <c r="AH21" s="47">
        <f t="shared" si="2"/>
        <v>20.6</v>
      </c>
      <c r="AI21" s="48">
        <f t="shared" si="3"/>
        <v>20.6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20.5</v>
      </c>
      <c r="C22" s="45">
        <v>20.5</v>
      </c>
      <c r="D22" s="45">
        <v>20.5</v>
      </c>
      <c r="E22" s="45">
        <v>20.5</v>
      </c>
      <c r="F22" s="45">
        <v>20.5</v>
      </c>
      <c r="G22" s="45">
        <v>20.5</v>
      </c>
      <c r="H22" s="45">
        <v>20.5</v>
      </c>
      <c r="I22" s="45">
        <v>20.5</v>
      </c>
      <c r="J22" s="45">
        <v>20.5</v>
      </c>
      <c r="K22" s="45">
        <v>20.5</v>
      </c>
      <c r="L22" s="45">
        <v>20.5</v>
      </c>
      <c r="M22" s="45">
        <v>20.5</v>
      </c>
      <c r="N22" s="45">
        <v>20.5</v>
      </c>
      <c r="O22" s="45">
        <v>20.5</v>
      </c>
      <c r="P22" s="45">
        <v>20.5</v>
      </c>
      <c r="Q22" s="45">
        <v>20.5</v>
      </c>
      <c r="R22" s="45">
        <v>20.5</v>
      </c>
      <c r="S22" s="45">
        <v>20.5</v>
      </c>
      <c r="T22" s="45">
        <v>20.5</v>
      </c>
      <c r="U22" s="45">
        <v>20.5</v>
      </c>
      <c r="V22" s="45">
        <v>20.5</v>
      </c>
      <c r="W22" s="45">
        <v>20.5</v>
      </c>
      <c r="X22" s="45">
        <v>20.5</v>
      </c>
      <c r="Y22" s="45">
        <v>20.5</v>
      </c>
      <c r="Z22" s="45">
        <v>20.5</v>
      </c>
      <c r="AA22" s="45">
        <v>20.5</v>
      </c>
      <c r="AB22" s="45">
        <v>20.5</v>
      </c>
      <c r="AC22" s="45">
        <v>20.5</v>
      </c>
      <c r="AD22" s="45">
        <v>20.5</v>
      </c>
      <c r="AE22" s="45">
        <v>20.5</v>
      </c>
      <c r="AF22" s="45">
        <v>20.5</v>
      </c>
      <c r="AG22" s="49">
        <v>28</v>
      </c>
      <c r="AH22" s="47">
        <f t="shared" si="2"/>
        <v>20.5</v>
      </c>
      <c r="AI22" s="48">
        <f t="shared" si="3"/>
        <v>20.5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0</v>
      </c>
      <c r="C23" s="45">
        <v>0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4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51">
        <v>30</v>
      </c>
      <c r="AH23" s="47">
        <f t="shared" si="2"/>
        <v>9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0</v>
      </c>
      <c r="C24" s="45">
        <v>0</v>
      </c>
      <c r="D24" s="45">
        <v>25</v>
      </c>
      <c r="E24" s="45">
        <v>26</v>
      </c>
      <c r="F24" s="45">
        <v>25</v>
      </c>
      <c r="G24" s="45">
        <v>25</v>
      </c>
      <c r="H24" s="45">
        <v>25</v>
      </c>
      <c r="I24" s="45">
        <v>25</v>
      </c>
      <c r="J24" s="45">
        <v>25</v>
      </c>
      <c r="K24" s="45">
        <v>25</v>
      </c>
      <c r="L24" s="45">
        <v>25</v>
      </c>
      <c r="M24" s="45">
        <v>25.9</v>
      </c>
      <c r="N24" s="45">
        <v>25.9</v>
      </c>
      <c r="O24" s="45">
        <v>25.9</v>
      </c>
      <c r="P24" s="45">
        <v>25.9</v>
      </c>
      <c r="Q24" s="45">
        <v>25.9</v>
      </c>
      <c r="R24" s="45">
        <v>25.9</v>
      </c>
      <c r="S24" s="45">
        <v>25.9</v>
      </c>
      <c r="T24" s="45">
        <v>25.9</v>
      </c>
      <c r="U24" s="45">
        <v>25.9</v>
      </c>
      <c r="V24" s="45">
        <v>25.9</v>
      </c>
      <c r="W24" s="45">
        <v>25.9</v>
      </c>
      <c r="X24" s="45">
        <v>25.9</v>
      </c>
      <c r="Y24" s="45">
        <v>25.9</v>
      </c>
      <c r="Z24" s="45">
        <v>25.9</v>
      </c>
      <c r="AA24" s="45">
        <v>25.9</v>
      </c>
      <c r="AB24" s="45">
        <v>25.9</v>
      </c>
      <c r="AC24" s="45">
        <v>25.9</v>
      </c>
      <c r="AD24" s="45">
        <v>25.9</v>
      </c>
      <c r="AE24" s="45">
        <v>25.9</v>
      </c>
      <c r="AF24" s="45">
        <v>25.9</v>
      </c>
      <c r="AG24" s="49">
        <v>25</v>
      </c>
      <c r="AH24" s="47">
        <f t="shared" si="2"/>
        <v>26</v>
      </c>
      <c r="AI24" s="48">
        <f t="shared" si="3"/>
        <v>0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12</v>
      </c>
      <c r="C27" s="45">
        <v>12</v>
      </c>
      <c r="D27" s="45">
        <v>8</v>
      </c>
      <c r="E27" s="45">
        <v>12.5</v>
      </c>
      <c r="F27" s="45">
        <v>12.5</v>
      </c>
      <c r="G27" s="45">
        <v>12.5</v>
      </c>
      <c r="H27" s="45">
        <v>12.5</v>
      </c>
      <c r="I27" s="45">
        <v>12.5</v>
      </c>
      <c r="J27" s="45">
        <v>12.5</v>
      </c>
      <c r="K27" s="45">
        <v>12.5</v>
      </c>
      <c r="L27" s="45">
        <v>9</v>
      </c>
      <c r="M27" s="45">
        <v>9</v>
      </c>
      <c r="N27" s="45">
        <v>9</v>
      </c>
      <c r="O27" s="45">
        <v>9</v>
      </c>
      <c r="P27" s="45">
        <v>0</v>
      </c>
      <c r="Q27" s="45">
        <v>0</v>
      </c>
      <c r="R27" s="45">
        <v>25</v>
      </c>
      <c r="S27" s="45">
        <v>12.5</v>
      </c>
      <c r="T27" s="45">
        <v>12.5</v>
      </c>
      <c r="U27" s="45">
        <v>12.5</v>
      </c>
      <c r="V27" s="45">
        <v>12.5</v>
      </c>
      <c r="W27" s="45">
        <v>4</v>
      </c>
      <c r="X27" s="45">
        <v>25</v>
      </c>
      <c r="Y27" s="45">
        <v>25</v>
      </c>
      <c r="Z27" s="45">
        <v>25</v>
      </c>
      <c r="AA27" s="45">
        <v>25</v>
      </c>
      <c r="AB27" s="45">
        <v>25</v>
      </c>
      <c r="AC27" s="45">
        <v>25</v>
      </c>
      <c r="AD27" s="45">
        <v>25</v>
      </c>
      <c r="AE27" s="45">
        <v>25</v>
      </c>
      <c r="AF27" s="45">
        <v>25</v>
      </c>
      <c r="AG27" s="49">
        <v>25</v>
      </c>
      <c r="AH27" s="47">
        <f t="shared" si="2"/>
        <v>25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25.6</v>
      </c>
      <c r="C28" s="45">
        <v>25.6</v>
      </c>
      <c r="D28" s="45">
        <v>25.6</v>
      </c>
      <c r="E28" s="45">
        <v>25.6</v>
      </c>
      <c r="F28" s="45">
        <v>25.6</v>
      </c>
      <c r="G28" s="45">
        <v>25.6</v>
      </c>
      <c r="H28" s="45">
        <v>25.6</v>
      </c>
      <c r="I28" s="45">
        <v>25.6</v>
      </c>
      <c r="J28" s="45">
        <v>25.6</v>
      </c>
      <c r="K28" s="45">
        <v>25.6</v>
      </c>
      <c r="L28" s="45">
        <v>25.6</v>
      </c>
      <c r="M28" s="45">
        <v>25.6</v>
      </c>
      <c r="N28" s="45">
        <v>25.6</v>
      </c>
      <c r="O28" s="45">
        <v>25.6</v>
      </c>
      <c r="P28" s="45">
        <v>25.6</v>
      </c>
      <c r="Q28" s="45">
        <v>25.7</v>
      </c>
      <c r="R28" s="45">
        <v>25.7</v>
      </c>
      <c r="S28" s="45">
        <v>25.7</v>
      </c>
      <c r="T28" s="45">
        <v>25.7</v>
      </c>
      <c r="U28" s="45">
        <v>25.7</v>
      </c>
      <c r="V28" s="45">
        <v>25.7</v>
      </c>
      <c r="W28" s="45">
        <v>25.7</v>
      </c>
      <c r="X28" s="45">
        <v>25.7</v>
      </c>
      <c r="Y28" s="45">
        <v>25.7</v>
      </c>
      <c r="Z28" s="45">
        <v>25.7</v>
      </c>
      <c r="AA28" s="45">
        <v>25.7</v>
      </c>
      <c r="AB28" s="45">
        <v>25.7</v>
      </c>
      <c r="AC28" s="45">
        <v>25.7</v>
      </c>
      <c r="AD28" s="45">
        <v>25.7</v>
      </c>
      <c r="AE28" s="45">
        <v>25.7</v>
      </c>
      <c r="AF28" s="45">
        <v>25.7</v>
      </c>
      <c r="AG28" s="49">
        <v>23.5</v>
      </c>
      <c r="AH28" s="47">
        <f t="shared" si="2"/>
        <v>25.7</v>
      </c>
      <c r="AI28" s="48">
        <f t="shared" si="3"/>
        <v>25.6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26.7</v>
      </c>
      <c r="C32" s="45">
        <v>26.7</v>
      </c>
      <c r="D32" s="45">
        <v>26.7</v>
      </c>
      <c r="E32" s="45">
        <v>26.7</v>
      </c>
      <c r="F32" s="45">
        <v>26.7</v>
      </c>
      <c r="G32" s="45">
        <v>26.7</v>
      </c>
      <c r="H32" s="45">
        <v>26.7</v>
      </c>
      <c r="I32" s="45">
        <v>26.7</v>
      </c>
      <c r="J32" s="45">
        <v>26.7</v>
      </c>
      <c r="K32" s="45">
        <v>26.7</v>
      </c>
      <c r="L32" s="45">
        <v>26.7</v>
      </c>
      <c r="M32" s="45">
        <v>22</v>
      </c>
      <c r="N32" s="45">
        <v>22</v>
      </c>
      <c r="O32" s="45">
        <v>22</v>
      </c>
      <c r="P32" s="45">
        <v>22</v>
      </c>
      <c r="Q32" s="45">
        <v>22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26.7</v>
      </c>
      <c r="AI32" s="48">
        <f t="shared" si="3"/>
        <v>22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0</v>
      </c>
      <c r="N33" s="45">
        <v>0</v>
      </c>
      <c r="O33" s="45">
        <v>0</v>
      </c>
      <c r="P33" s="45">
        <v>0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>
        <v>10</v>
      </c>
      <c r="W33" s="45">
        <v>10</v>
      </c>
      <c r="X33" s="45">
        <v>10</v>
      </c>
      <c r="Y33" s="45">
        <v>10</v>
      </c>
      <c r="Z33" s="45">
        <v>10</v>
      </c>
      <c r="AA33" s="45">
        <v>10</v>
      </c>
      <c r="AB33" s="45">
        <v>10</v>
      </c>
      <c r="AC33" s="45">
        <v>10</v>
      </c>
      <c r="AD33" s="45">
        <v>10</v>
      </c>
      <c r="AE33" s="45">
        <v>10</v>
      </c>
      <c r="AF33" s="45">
        <v>10</v>
      </c>
      <c r="AG33" s="49">
        <v>20</v>
      </c>
      <c r="AH33" s="47">
        <f t="shared" si="2"/>
        <v>10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10</v>
      </c>
      <c r="C34" s="45">
        <v>10</v>
      </c>
      <c r="D34" s="45">
        <v>8</v>
      </c>
      <c r="E34" s="45">
        <v>8</v>
      </c>
      <c r="F34" s="45">
        <v>8</v>
      </c>
      <c r="G34" s="45">
        <v>8</v>
      </c>
      <c r="H34" s="45">
        <v>8</v>
      </c>
      <c r="I34" s="45">
        <v>8</v>
      </c>
      <c r="J34" s="45">
        <v>8</v>
      </c>
      <c r="K34" s="45">
        <v>8</v>
      </c>
      <c r="L34" s="45">
        <v>8</v>
      </c>
      <c r="M34" s="45">
        <v>15</v>
      </c>
      <c r="N34" s="45">
        <v>15</v>
      </c>
      <c r="O34" s="45">
        <v>15</v>
      </c>
      <c r="P34" s="45">
        <v>15</v>
      </c>
      <c r="Q34" s="45">
        <v>5</v>
      </c>
      <c r="R34" s="45">
        <v>5</v>
      </c>
      <c r="S34" s="45">
        <v>5</v>
      </c>
      <c r="T34" s="45">
        <v>5</v>
      </c>
      <c r="U34" s="45">
        <v>5</v>
      </c>
      <c r="V34" s="45">
        <v>5</v>
      </c>
      <c r="W34" s="45">
        <v>5</v>
      </c>
      <c r="X34" s="45">
        <v>6</v>
      </c>
      <c r="Y34" s="45">
        <v>6</v>
      </c>
      <c r="Z34" s="45">
        <v>6</v>
      </c>
      <c r="AA34" s="45">
        <v>15</v>
      </c>
      <c r="AB34" s="45">
        <v>19</v>
      </c>
      <c r="AC34" s="45">
        <v>14</v>
      </c>
      <c r="AD34" s="45">
        <v>14</v>
      </c>
      <c r="AE34" s="45">
        <v>10</v>
      </c>
      <c r="AF34" s="45">
        <v>10</v>
      </c>
      <c r="AG34" s="49">
        <v>18</v>
      </c>
      <c r="AH34" s="47">
        <f t="shared" si="2"/>
        <v>19</v>
      </c>
      <c r="AI34" s="48">
        <f t="shared" si="3"/>
        <v>5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0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9">
        <v>13</v>
      </c>
      <c r="AH38" s="47">
        <f t="shared" si="2"/>
        <v>11</v>
      </c>
      <c r="AI38" s="48">
        <f t="shared" si="3"/>
        <v>0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0</v>
      </c>
      <c r="C39" s="45">
        <v>0</v>
      </c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8</v>
      </c>
      <c r="L39" s="45">
        <v>12</v>
      </c>
      <c r="M39" s="45">
        <v>12</v>
      </c>
      <c r="N39" s="45">
        <v>12</v>
      </c>
      <c r="O39" s="45">
        <v>12</v>
      </c>
      <c r="P39" s="45">
        <v>0</v>
      </c>
      <c r="Q39" s="45">
        <v>0</v>
      </c>
      <c r="R39" s="45">
        <v>0</v>
      </c>
      <c r="S39" s="45">
        <v>0</v>
      </c>
      <c r="T39" s="45">
        <v>8</v>
      </c>
      <c r="U39" s="45">
        <v>8</v>
      </c>
      <c r="V39" s="45">
        <v>12</v>
      </c>
      <c r="W39" s="45">
        <v>12</v>
      </c>
      <c r="X39" s="45">
        <v>12</v>
      </c>
      <c r="Y39" s="45">
        <v>12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12</v>
      </c>
      <c r="AG39" s="49">
        <v>12</v>
      </c>
      <c r="AH39" s="47">
        <f t="shared" si="2"/>
        <v>12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12</v>
      </c>
      <c r="C41" s="45">
        <v>12</v>
      </c>
      <c r="D41" s="45">
        <v>12</v>
      </c>
      <c r="E41" s="45">
        <v>12</v>
      </c>
      <c r="F41" s="45">
        <v>12</v>
      </c>
      <c r="G41" s="45">
        <v>12</v>
      </c>
      <c r="H41" s="45">
        <v>12</v>
      </c>
      <c r="I41" s="45">
        <v>12</v>
      </c>
      <c r="J41" s="45">
        <v>12</v>
      </c>
      <c r="K41" s="45">
        <v>12</v>
      </c>
      <c r="L41" s="45">
        <v>12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12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6</v>
      </c>
      <c r="C42" s="45">
        <v>6</v>
      </c>
      <c r="D42" s="45">
        <v>6</v>
      </c>
      <c r="E42" s="45">
        <v>6</v>
      </c>
      <c r="F42" s="45">
        <v>6</v>
      </c>
      <c r="G42" s="45">
        <v>6</v>
      </c>
      <c r="H42" s="45">
        <v>6</v>
      </c>
      <c r="I42" s="45">
        <v>6</v>
      </c>
      <c r="J42" s="45">
        <v>6</v>
      </c>
      <c r="K42" s="45">
        <v>6</v>
      </c>
      <c r="L42" s="45">
        <v>6</v>
      </c>
      <c r="M42" s="45">
        <v>9</v>
      </c>
      <c r="N42" s="45">
        <v>9</v>
      </c>
      <c r="O42" s="45">
        <v>9</v>
      </c>
      <c r="P42" s="45">
        <v>9</v>
      </c>
      <c r="Q42" s="45">
        <v>9</v>
      </c>
      <c r="R42" s="45">
        <v>9</v>
      </c>
      <c r="S42" s="45">
        <v>9</v>
      </c>
      <c r="T42" s="45">
        <v>9</v>
      </c>
      <c r="U42" s="45">
        <v>9</v>
      </c>
      <c r="V42" s="45">
        <v>9</v>
      </c>
      <c r="W42" s="45">
        <v>9</v>
      </c>
      <c r="X42" s="45">
        <v>9</v>
      </c>
      <c r="Y42" s="45">
        <v>9</v>
      </c>
      <c r="Z42" s="45">
        <v>9</v>
      </c>
      <c r="AA42" s="45">
        <v>9</v>
      </c>
      <c r="AB42" s="45">
        <v>9</v>
      </c>
      <c r="AC42" s="45">
        <v>9</v>
      </c>
      <c r="AD42" s="45">
        <v>9</v>
      </c>
      <c r="AE42" s="45">
        <v>9</v>
      </c>
      <c r="AF42" s="45">
        <v>9</v>
      </c>
      <c r="AG42" s="52">
        <v>22</v>
      </c>
      <c r="AH42" s="47">
        <f t="shared" si="2"/>
        <v>9</v>
      </c>
      <c r="AI42" s="48">
        <f t="shared" si="3"/>
        <v>6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8</v>
      </c>
      <c r="C45" s="45">
        <v>8</v>
      </c>
      <c r="D45" s="45">
        <v>8</v>
      </c>
      <c r="E45" s="45">
        <v>8</v>
      </c>
      <c r="F45" s="45">
        <v>8</v>
      </c>
      <c r="G45" s="45">
        <v>8</v>
      </c>
      <c r="H45" s="45">
        <v>8</v>
      </c>
      <c r="I45" s="45">
        <v>8</v>
      </c>
      <c r="J45" s="45">
        <v>8</v>
      </c>
      <c r="K45" s="45">
        <v>8</v>
      </c>
      <c r="L45" s="45">
        <v>8</v>
      </c>
      <c r="M45" s="45">
        <v>8</v>
      </c>
      <c r="N45" s="45">
        <v>8</v>
      </c>
      <c r="O45" s="45">
        <v>8</v>
      </c>
      <c r="P45" s="45">
        <v>8</v>
      </c>
      <c r="Q45" s="45">
        <v>8</v>
      </c>
      <c r="R45" s="45">
        <v>8</v>
      </c>
      <c r="S45" s="45">
        <v>8</v>
      </c>
      <c r="T45" s="45">
        <v>8</v>
      </c>
      <c r="U45" s="45">
        <v>8</v>
      </c>
      <c r="V45" s="45">
        <v>8</v>
      </c>
      <c r="W45" s="45">
        <v>8</v>
      </c>
      <c r="X45" s="45">
        <v>8</v>
      </c>
      <c r="Y45" s="45">
        <v>8</v>
      </c>
      <c r="Z45" s="45">
        <v>8</v>
      </c>
      <c r="AA45" s="45">
        <v>8</v>
      </c>
      <c r="AB45" s="45">
        <v>8</v>
      </c>
      <c r="AC45" s="45">
        <v>8</v>
      </c>
      <c r="AD45" s="45">
        <v>8</v>
      </c>
      <c r="AE45" s="45">
        <v>8</v>
      </c>
      <c r="AF45" s="45">
        <v>8</v>
      </c>
      <c r="AG45" s="54">
        <v>10</v>
      </c>
      <c r="AH45" s="47">
        <f t="shared" si="2"/>
        <v>8</v>
      </c>
      <c r="AI45" s="48">
        <f t="shared" si="3"/>
        <v>8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0"/>
      <c r="O49" s="50"/>
      <c r="P49" s="50"/>
      <c r="Q49" s="50"/>
      <c r="R49" s="50"/>
      <c r="S49" s="50">
        <v>94</v>
      </c>
      <c r="T49" s="50">
        <f>94</f>
        <v>94</v>
      </c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94</v>
      </c>
      <c r="AI49" s="48">
        <f t="shared" si="3"/>
        <v>94</v>
      </c>
      <c r="AK49" s="74"/>
    </row>
    <row r="50" spans="1:41" ht="15.75" thickBot="1" x14ac:dyDescent="0.3">
      <c r="A50" s="58" t="s">
        <v>66</v>
      </c>
      <c r="B50" s="59">
        <f t="shared" ref="B50:AF50" si="4">SUM(B11:B48)</f>
        <v>916.7</v>
      </c>
      <c r="C50" s="59">
        <f t="shared" si="4"/>
        <v>920.2</v>
      </c>
      <c r="D50" s="59">
        <f t="shared" si="4"/>
        <v>937.2</v>
      </c>
      <c r="E50" s="59">
        <f t="shared" si="4"/>
        <v>955.00000000000011</v>
      </c>
      <c r="F50" s="59">
        <f t="shared" si="4"/>
        <v>1004</v>
      </c>
      <c r="G50" s="59">
        <f t="shared" si="4"/>
        <v>1004</v>
      </c>
      <c r="H50" s="59">
        <f t="shared" si="4"/>
        <v>1004</v>
      </c>
      <c r="I50" s="59">
        <f t="shared" si="4"/>
        <v>960.00000000000011</v>
      </c>
      <c r="J50" s="59">
        <f t="shared" si="4"/>
        <v>960.00000000000011</v>
      </c>
      <c r="K50" s="59">
        <f t="shared" ref="K50" si="5">SUM(K11:K48)</f>
        <v>968.30000000000018</v>
      </c>
      <c r="L50" s="59">
        <f t="shared" si="4"/>
        <v>968.80000000000018</v>
      </c>
      <c r="M50" s="59">
        <f t="shared" si="4"/>
        <v>979</v>
      </c>
      <c r="N50" s="59">
        <f t="shared" si="4"/>
        <v>1023</v>
      </c>
      <c r="O50" s="59">
        <f t="shared" si="4"/>
        <v>1023</v>
      </c>
      <c r="P50" s="59">
        <f t="shared" si="4"/>
        <v>985.40000000000009</v>
      </c>
      <c r="Q50" s="59">
        <f t="shared" si="4"/>
        <v>994.2</v>
      </c>
      <c r="R50" s="59">
        <f t="shared" si="4"/>
        <v>1019.2</v>
      </c>
      <c r="S50" s="59">
        <f t="shared" si="4"/>
        <v>1002.5</v>
      </c>
      <c r="T50" s="59">
        <f t="shared" si="4"/>
        <v>1010.5</v>
      </c>
      <c r="U50" s="59">
        <f t="shared" si="4"/>
        <v>999.5</v>
      </c>
      <c r="V50" s="59">
        <f t="shared" si="4"/>
        <v>923.9</v>
      </c>
      <c r="W50" s="59">
        <f t="shared" si="4"/>
        <v>953.9</v>
      </c>
      <c r="X50" s="59">
        <f t="shared" si="4"/>
        <v>1007.4</v>
      </c>
      <c r="Y50" s="59">
        <f t="shared" si="4"/>
        <v>1008.4</v>
      </c>
      <c r="Z50" s="59">
        <f t="shared" si="4"/>
        <v>1008.4</v>
      </c>
      <c r="AA50" s="59">
        <f t="shared" si="4"/>
        <v>1029.4000000000001</v>
      </c>
      <c r="AB50" s="59">
        <f t="shared" si="4"/>
        <v>1022.4</v>
      </c>
      <c r="AC50" s="59">
        <f t="shared" si="4"/>
        <v>1017.4</v>
      </c>
      <c r="AD50" s="59">
        <f t="shared" si="4"/>
        <v>1017.4</v>
      </c>
      <c r="AE50" s="59">
        <f t="shared" si="4"/>
        <v>990.4</v>
      </c>
      <c r="AF50" s="59">
        <f t="shared" si="4"/>
        <v>960.4</v>
      </c>
      <c r="AG50" s="60">
        <f>SUM(AG13:AG48)</f>
        <v>922.14</v>
      </c>
      <c r="AH50" s="47">
        <f t="shared" si="2"/>
        <v>1029.4000000000001</v>
      </c>
      <c r="AI50" s="48">
        <f t="shared" si="3"/>
        <v>916.7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74"/>
    </row>
    <row r="52" spans="1:41" x14ac:dyDescent="0.25">
      <c r="A52" s="63" t="s">
        <v>68</v>
      </c>
      <c r="B52" s="64">
        <v>60</v>
      </c>
      <c r="C52" s="64">
        <v>60</v>
      </c>
      <c r="D52" s="64">
        <v>60</v>
      </c>
      <c r="E52" s="64">
        <v>60</v>
      </c>
      <c r="F52" s="64">
        <v>60</v>
      </c>
      <c r="G52" s="64">
        <v>60</v>
      </c>
      <c r="H52" s="64">
        <v>60</v>
      </c>
      <c r="I52" s="64">
        <v>60</v>
      </c>
      <c r="J52" s="64">
        <v>60</v>
      </c>
      <c r="K52" s="64">
        <v>60</v>
      </c>
      <c r="L52" s="64">
        <v>60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60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22.1</v>
      </c>
      <c r="C53" s="66">
        <v>22.1</v>
      </c>
      <c r="D53" s="66">
        <v>22.1</v>
      </c>
      <c r="E53" s="66">
        <v>22.1</v>
      </c>
      <c r="F53" s="66">
        <v>22.1</v>
      </c>
      <c r="G53" s="66">
        <v>22.1</v>
      </c>
      <c r="H53" s="66">
        <v>22.1</v>
      </c>
      <c r="I53" s="66">
        <v>22.1</v>
      </c>
      <c r="J53" s="66">
        <v>22.1</v>
      </c>
      <c r="K53" s="66">
        <v>22.1</v>
      </c>
      <c r="L53" s="66">
        <v>22.1</v>
      </c>
      <c r="M53" s="66">
        <v>22.1</v>
      </c>
      <c r="N53" s="66">
        <v>22.1</v>
      </c>
      <c r="O53" s="66">
        <v>22.1</v>
      </c>
      <c r="P53" s="66">
        <v>22.5</v>
      </c>
      <c r="Q53" s="66">
        <v>22.5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21</v>
      </c>
      <c r="Z53" s="66">
        <v>21</v>
      </c>
      <c r="AA53" s="66">
        <v>21</v>
      </c>
      <c r="AB53" s="66">
        <v>21</v>
      </c>
      <c r="AC53" s="66">
        <v>21</v>
      </c>
      <c r="AD53" s="66">
        <v>21</v>
      </c>
      <c r="AE53" s="66">
        <v>21</v>
      </c>
      <c r="AF53" s="66">
        <v>21</v>
      </c>
      <c r="AG53" s="67">
        <v>22.1</v>
      </c>
      <c r="AH53" s="47">
        <f t="shared" si="2"/>
        <v>22.5</v>
      </c>
      <c r="AI53" s="48">
        <f t="shared" si="3"/>
        <v>0</v>
      </c>
      <c r="AK53" s="74"/>
    </row>
    <row r="54" spans="1:41" ht="15.75" thickBot="1" x14ac:dyDescent="0.3">
      <c r="A54" s="68" t="s">
        <v>70</v>
      </c>
      <c r="B54" s="59">
        <f t="shared" ref="B54:AG54" si="6">SUM(B51:B53)</f>
        <v>538.1</v>
      </c>
      <c r="C54" s="59">
        <f t="shared" si="6"/>
        <v>538.1</v>
      </c>
      <c r="D54" s="59">
        <f t="shared" si="6"/>
        <v>538.1</v>
      </c>
      <c r="E54" s="59">
        <f t="shared" si="6"/>
        <v>538.1</v>
      </c>
      <c r="F54" s="59">
        <f t="shared" si="6"/>
        <v>538.1</v>
      </c>
      <c r="G54" s="59">
        <f t="shared" si="6"/>
        <v>538.1</v>
      </c>
      <c r="H54" s="59">
        <f t="shared" si="6"/>
        <v>538.1</v>
      </c>
      <c r="I54" s="59">
        <f t="shared" si="6"/>
        <v>538.1</v>
      </c>
      <c r="J54" s="59">
        <f t="shared" si="6"/>
        <v>538.1</v>
      </c>
      <c r="K54" s="59">
        <f t="shared" ref="K54" si="7">SUM(K51:K53)</f>
        <v>538.1</v>
      </c>
      <c r="L54" s="59">
        <f t="shared" si="6"/>
        <v>538.1</v>
      </c>
      <c r="M54" s="59">
        <f t="shared" si="6"/>
        <v>533.1</v>
      </c>
      <c r="N54" s="59">
        <f t="shared" si="6"/>
        <v>533.1</v>
      </c>
      <c r="O54" s="59">
        <f t="shared" si="6"/>
        <v>533.1</v>
      </c>
      <c r="P54" s="59">
        <f t="shared" si="6"/>
        <v>533.5</v>
      </c>
      <c r="Q54" s="59">
        <f t="shared" si="6"/>
        <v>533.5</v>
      </c>
      <c r="R54" s="59">
        <f t="shared" si="6"/>
        <v>511</v>
      </c>
      <c r="S54" s="59">
        <f t="shared" si="6"/>
        <v>511</v>
      </c>
      <c r="T54" s="59">
        <f t="shared" si="6"/>
        <v>511</v>
      </c>
      <c r="U54" s="59">
        <f t="shared" si="6"/>
        <v>511</v>
      </c>
      <c r="V54" s="59">
        <f t="shared" si="6"/>
        <v>511</v>
      </c>
      <c r="W54" s="59">
        <f t="shared" si="6"/>
        <v>511</v>
      </c>
      <c r="X54" s="59">
        <f t="shared" si="6"/>
        <v>511</v>
      </c>
      <c r="Y54" s="59">
        <f t="shared" si="6"/>
        <v>532</v>
      </c>
      <c r="Z54" s="59">
        <f t="shared" si="6"/>
        <v>532</v>
      </c>
      <c r="AA54" s="59">
        <f t="shared" si="6"/>
        <v>532</v>
      </c>
      <c r="AB54" s="59">
        <f t="shared" si="6"/>
        <v>532</v>
      </c>
      <c r="AC54" s="59">
        <f t="shared" si="6"/>
        <v>532</v>
      </c>
      <c r="AD54" s="59">
        <f t="shared" si="6"/>
        <v>532</v>
      </c>
      <c r="AE54" s="59">
        <f t="shared" si="6"/>
        <v>532</v>
      </c>
      <c r="AF54" s="59">
        <f t="shared" si="6"/>
        <v>532</v>
      </c>
      <c r="AG54" s="60">
        <f t="shared" si="6"/>
        <v>538.1</v>
      </c>
      <c r="AH54" s="47">
        <f t="shared" si="2"/>
        <v>538.1</v>
      </c>
      <c r="AI54" s="48">
        <f t="shared" si="3"/>
        <v>511</v>
      </c>
      <c r="AK54" s="74"/>
    </row>
    <row r="55" spans="1:41" x14ac:dyDescent="0.25">
      <c r="A55" s="44" t="s">
        <v>71</v>
      </c>
      <c r="B55" s="45">
        <v>97</v>
      </c>
      <c r="C55" s="45">
        <v>96.4</v>
      </c>
      <c r="D55" s="45">
        <v>96.7</v>
      </c>
      <c r="E55" s="45">
        <v>96.7</v>
      </c>
      <c r="F55" s="45">
        <v>96.7</v>
      </c>
      <c r="G55" s="45">
        <v>96.7</v>
      </c>
      <c r="H55" s="45">
        <v>96.7</v>
      </c>
      <c r="I55" s="45">
        <v>96.7</v>
      </c>
      <c r="J55" s="45">
        <v>96.7</v>
      </c>
      <c r="K55" s="45">
        <v>96.7</v>
      </c>
      <c r="L55" s="45">
        <v>96.7</v>
      </c>
      <c r="M55" s="45">
        <v>96.7</v>
      </c>
      <c r="N55" s="45">
        <v>95.7</v>
      </c>
      <c r="O55" s="45">
        <v>95.7</v>
      </c>
      <c r="P55" s="45">
        <v>95.8</v>
      </c>
      <c r="Q55" s="45">
        <v>95.5</v>
      </c>
      <c r="R55" s="45">
        <v>95.5</v>
      </c>
      <c r="S55" s="45">
        <v>95.5</v>
      </c>
      <c r="T55" s="45">
        <v>97.2</v>
      </c>
      <c r="U55" s="45">
        <v>97.2</v>
      </c>
      <c r="V55" s="45">
        <v>97.2</v>
      </c>
      <c r="W55" s="45">
        <v>97.2</v>
      </c>
      <c r="X55" s="45">
        <v>97.2</v>
      </c>
      <c r="Y55" s="45">
        <v>97.2</v>
      </c>
      <c r="Z55" s="45">
        <v>97.2</v>
      </c>
      <c r="AA55" s="45">
        <v>96</v>
      </c>
      <c r="AB55" s="45">
        <v>93</v>
      </c>
      <c r="AC55" s="45">
        <v>93</v>
      </c>
      <c r="AD55" s="45">
        <v>93</v>
      </c>
      <c r="AE55" s="45">
        <v>96</v>
      </c>
      <c r="AF55" s="45">
        <v>96</v>
      </c>
      <c r="AG55" s="51">
        <v>144</v>
      </c>
      <c r="AH55" s="47">
        <f t="shared" si="2"/>
        <v>97.2</v>
      </c>
      <c r="AI55" s="48">
        <f t="shared" si="3"/>
        <v>93</v>
      </c>
      <c r="AK55" s="74"/>
    </row>
    <row r="56" spans="1:41" x14ac:dyDescent="0.25">
      <c r="A56" s="53" t="s">
        <v>72</v>
      </c>
      <c r="B56" s="64">
        <v>0</v>
      </c>
      <c r="C56" s="64">
        <v>45</v>
      </c>
      <c r="D56" s="64">
        <v>45.4</v>
      </c>
      <c r="E56" s="64">
        <v>45.4</v>
      </c>
      <c r="F56" s="64">
        <v>40</v>
      </c>
      <c r="G56" s="64">
        <v>0</v>
      </c>
      <c r="H56" s="64">
        <v>0</v>
      </c>
      <c r="I56" s="64">
        <v>70</v>
      </c>
      <c r="J56" s="64">
        <v>70</v>
      </c>
      <c r="K56" s="64">
        <v>70</v>
      </c>
      <c r="L56" s="64">
        <v>70</v>
      </c>
      <c r="M56" s="64">
        <v>70</v>
      </c>
      <c r="N56" s="64">
        <v>69.599999999999994</v>
      </c>
      <c r="O56" s="64">
        <v>69.599999999999994</v>
      </c>
      <c r="P56" s="64">
        <v>71.400000000000006</v>
      </c>
      <c r="Q56" s="64">
        <v>70.599999999999994</v>
      </c>
      <c r="R56" s="64">
        <v>70.599999999999994</v>
      </c>
      <c r="S56" s="64">
        <v>70.599999999999994</v>
      </c>
      <c r="T56" s="45">
        <v>72.400000000000006</v>
      </c>
      <c r="U56" s="45">
        <v>72.400000000000006</v>
      </c>
      <c r="V56" s="45">
        <v>72.400000000000006</v>
      </c>
      <c r="W56" s="45">
        <v>72.400000000000006</v>
      </c>
      <c r="X56" s="45">
        <v>72.400000000000006</v>
      </c>
      <c r="Y56" s="45">
        <v>72.400000000000006</v>
      </c>
      <c r="Z56" s="45">
        <v>72.400000000000006</v>
      </c>
      <c r="AA56" s="45">
        <v>69</v>
      </c>
      <c r="AB56" s="45">
        <v>70.5</v>
      </c>
      <c r="AC56" s="45">
        <v>70.5</v>
      </c>
      <c r="AD56" s="45">
        <v>70.5</v>
      </c>
      <c r="AE56" s="45">
        <v>70.5</v>
      </c>
      <c r="AF56" s="45">
        <v>70.5</v>
      </c>
      <c r="AG56" s="54">
        <v>70</v>
      </c>
      <c r="AH56" s="47">
        <f t="shared" si="2"/>
        <v>72.400000000000006</v>
      </c>
      <c r="AI56" s="48">
        <f t="shared" si="3"/>
        <v>0</v>
      </c>
      <c r="AK56" s="74"/>
    </row>
    <row r="57" spans="1:41" x14ac:dyDescent="0.25">
      <c r="A57" s="53" t="s">
        <v>73</v>
      </c>
      <c r="B57" s="64">
        <v>62.9</v>
      </c>
      <c r="C57" s="64">
        <v>50.7</v>
      </c>
      <c r="D57" s="64">
        <v>50.7</v>
      </c>
      <c r="E57" s="64">
        <v>62.3</v>
      </c>
      <c r="F57" s="64">
        <v>62.3</v>
      </c>
      <c r="G57" s="64">
        <v>62.3</v>
      </c>
      <c r="H57" s="64">
        <v>62.3</v>
      </c>
      <c r="I57" s="64">
        <v>62.3</v>
      </c>
      <c r="J57" s="64">
        <v>62.3</v>
      </c>
      <c r="K57" s="64">
        <v>62.3</v>
      </c>
      <c r="L57" s="64">
        <v>62.3</v>
      </c>
      <c r="M57" s="64">
        <v>62.3</v>
      </c>
      <c r="N57" s="64">
        <v>63.1</v>
      </c>
      <c r="O57" s="64">
        <v>63.1</v>
      </c>
      <c r="P57" s="64">
        <v>63</v>
      </c>
      <c r="Q57" s="64">
        <v>62.9</v>
      </c>
      <c r="R57" s="64">
        <v>62.9</v>
      </c>
      <c r="S57" s="64">
        <v>62.9</v>
      </c>
      <c r="T57" s="45">
        <v>63.2</v>
      </c>
      <c r="U57" s="45">
        <v>63.2</v>
      </c>
      <c r="V57" s="45">
        <v>63.2</v>
      </c>
      <c r="W57" s="45">
        <v>63.2</v>
      </c>
      <c r="X57" s="45">
        <v>63.2</v>
      </c>
      <c r="Y57" s="45">
        <v>63.2</v>
      </c>
      <c r="Z57" s="45">
        <v>63.2</v>
      </c>
      <c r="AA57" s="45">
        <v>63.2</v>
      </c>
      <c r="AB57" s="45">
        <v>63.4</v>
      </c>
      <c r="AC57" s="45">
        <v>63.4</v>
      </c>
      <c r="AD57" s="45">
        <v>63.4</v>
      </c>
      <c r="AE57" s="45">
        <v>63.4</v>
      </c>
      <c r="AF57" s="45">
        <v>63.4</v>
      </c>
      <c r="AG57" s="54">
        <v>69</v>
      </c>
      <c r="AH57" s="47">
        <f t="shared" si="2"/>
        <v>63.4</v>
      </c>
      <c r="AI57" s="48">
        <f t="shared" si="3"/>
        <v>50.7</v>
      </c>
      <c r="AK57" s="74"/>
    </row>
    <row r="58" spans="1:41" x14ac:dyDescent="0.25">
      <c r="A58" s="53" t="s">
        <v>74</v>
      </c>
      <c r="B58" s="64">
        <v>61</v>
      </c>
      <c r="C58" s="64">
        <v>61</v>
      </c>
      <c r="D58" s="64">
        <v>61</v>
      </c>
      <c r="E58" s="64">
        <v>61</v>
      </c>
      <c r="F58" s="64">
        <v>61</v>
      </c>
      <c r="G58" s="64">
        <v>61</v>
      </c>
      <c r="H58" s="64">
        <v>61</v>
      </c>
      <c r="I58" s="64">
        <v>61</v>
      </c>
      <c r="J58" s="64">
        <v>61</v>
      </c>
      <c r="K58" s="64">
        <v>61</v>
      </c>
      <c r="L58" s="64">
        <v>61</v>
      </c>
      <c r="M58" s="64">
        <v>61</v>
      </c>
      <c r="N58" s="64">
        <v>61.2</v>
      </c>
      <c r="O58" s="64">
        <v>61.2</v>
      </c>
      <c r="P58" s="64">
        <v>61.2</v>
      </c>
      <c r="Q58" s="64">
        <v>61.2</v>
      </c>
      <c r="R58" s="64">
        <v>61.2</v>
      </c>
      <c r="S58" s="64">
        <v>61.2</v>
      </c>
      <c r="T58" s="45">
        <v>61.2</v>
      </c>
      <c r="U58" s="45">
        <v>61.2</v>
      </c>
      <c r="V58" s="45">
        <v>61.2</v>
      </c>
      <c r="W58" s="45">
        <v>61.2</v>
      </c>
      <c r="X58" s="45">
        <v>61.2</v>
      </c>
      <c r="Y58" s="45">
        <v>61.2</v>
      </c>
      <c r="Z58" s="45">
        <v>61.2</v>
      </c>
      <c r="AA58" s="45">
        <v>61.2</v>
      </c>
      <c r="AB58" s="45">
        <v>61.2</v>
      </c>
      <c r="AC58" s="45">
        <v>61.2</v>
      </c>
      <c r="AD58" s="45">
        <v>61.2</v>
      </c>
      <c r="AE58" s="45">
        <v>61.2</v>
      </c>
      <c r="AF58" s="45">
        <v>61.2</v>
      </c>
      <c r="AG58" s="54">
        <v>60</v>
      </c>
      <c r="AH58" s="47">
        <f t="shared" si="2"/>
        <v>61.2</v>
      </c>
      <c r="AI58" s="48">
        <f t="shared" si="3"/>
        <v>61</v>
      </c>
      <c r="AK58" s="74"/>
    </row>
    <row r="59" spans="1:41" x14ac:dyDescent="0.25">
      <c r="A59" s="53" t="s">
        <v>75</v>
      </c>
      <c r="B59" s="64">
        <v>30</v>
      </c>
      <c r="C59" s="64">
        <v>30</v>
      </c>
      <c r="D59" s="64">
        <v>30</v>
      </c>
      <c r="E59" s="64">
        <v>30</v>
      </c>
      <c r="F59" s="64">
        <v>30</v>
      </c>
      <c r="G59" s="64">
        <v>30</v>
      </c>
      <c r="H59" s="64">
        <v>30</v>
      </c>
      <c r="I59" s="64">
        <v>30</v>
      </c>
      <c r="J59" s="64">
        <v>30</v>
      </c>
      <c r="K59" s="64">
        <v>30</v>
      </c>
      <c r="L59" s="64">
        <v>30</v>
      </c>
      <c r="M59" s="64">
        <v>30</v>
      </c>
      <c r="N59" s="64">
        <v>30</v>
      </c>
      <c r="O59" s="64">
        <v>30</v>
      </c>
      <c r="P59" s="64">
        <v>30</v>
      </c>
      <c r="Q59" s="64">
        <v>30</v>
      </c>
      <c r="R59" s="64">
        <v>30</v>
      </c>
      <c r="S59" s="64">
        <v>30</v>
      </c>
      <c r="T59" s="45">
        <v>30</v>
      </c>
      <c r="U59" s="45">
        <v>30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3</v>
      </c>
      <c r="L60" s="64">
        <v>5</v>
      </c>
      <c r="M60" s="64">
        <v>10.4</v>
      </c>
      <c r="N60" s="64">
        <v>11.7</v>
      </c>
      <c r="O60" s="64">
        <v>14</v>
      </c>
      <c r="P60" s="64">
        <v>17.8</v>
      </c>
      <c r="Q60" s="64">
        <v>17.600000000000001</v>
      </c>
      <c r="R60" s="64">
        <v>8.9</v>
      </c>
      <c r="S60" s="64">
        <v>8.9</v>
      </c>
      <c r="T60" s="45">
        <v>6.2</v>
      </c>
      <c r="U60" s="45">
        <v>6.7</v>
      </c>
      <c r="V60" s="45">
        <v>0.6</v>
      </c>
      <c r="W60" s="45">
        <v>0.9</v>
      </c>
      <c r="X60" s="45">
        <v>0.8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17.8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18</v>
      </c>
      <c r="C61" s="64">
        <v>18</v>
      </c>
      <c r="D61" s="64">
        <v>18</v>
      </c>
      <c r="E61" s="64">
        <v>18</v>
      </c>
      <c r="F61" s="64">
        <v>18</v>
      </c>
      <c r="G61" s="64">
        <v>18</v>
      </c>
      <c r="H61" s="64">
        <v>18</v>
      </c>
      <c r="I61" s="64">
        <v>18</v>
      </c>
      <c r="J61" s="64">
        <v>18</v>
      </c>
      <c r="K61" s="64">
        <v>15</v>
      </c>
      <c r="L61" s="64">
        <v>15</v>
      </c>
      <c r="M61" s="64">
        <v>7</v>
      </c>
      <c r="N61" s="64">
        <v>10</v>
      </c>
      <c r="O61" s="64">
        <v>10</v>
      </c>
      <c r="P61" s="64">
        <v>16</v>
      </c>
      <c r="Q61" s="64">
        <v>16</v>
      </c>
      <c r="R61" s="64">
        <v>16</v>
      </c>
      <c r="S61" s="64">
        <v>16</v>
      </c>
      <c r="T61" s="64">
        <v>16</v>
      </c>
      <c r="U61" s="64">
        <v>16</v>
      </c>
      <c r="V61" s="64">
        <v>16</v>
      </c>
      <c r="W61" s="64">
        <v>16</v>
      </c>
      <c r="X61" s="64">
        <v>16</v>
      </c>
      <c r="Y61" s="64">
        <v>16</v>
      </c>
      <c r="Z61" s="64">
        <v>16</v>
      </c>
      <c r="AA61" s="64">
        <v>16</v>
      </c>
      <c r="AB61" s="64">
        <v>16</v>
      </c>
      <c r="AC61" s="64">
        <v>16</v>
      </c>
      <c r="AD61" s="64">
        <v>16</v>
      </c>
      <c r="AE61" s="64">
        <v>16</v>
      </c>
      <c r="AF61" s="64">
        <v>16</v>
      </c>
      <c r="AG61" s="54">
        <v>24</v>
      </c>
      <c r="AH61" s="47">
        <f t="shared" si="2"/>
        <v>18</v>
      </c>
      <c r="AI61" s="48">
        <f t="shared" si="3"/>
        <v>7</v>
      </c>
      <c r="AK61" s="74"/>
    </row>
    <row r="62" spans="1:41" x14ac:dyDescent="0.25">
      <c r="A62" s="53" t="s">
        <v>78</v>
      </c>
      <c r="B62" s="64">
        <v>5</v>
      </c>
      <c r="C62" s="64">
        <v>5</v>
      </c>
      <c r="D62" s="64">
        <v>5</v>
      </c>
      <c r="E62" s="64">
        <v>5</v>
      </c>
      <c r="F62" s="64">
        <v>5</v>
      </c>
      <c r="G62" s="64">
        <v>5</v>
      </c>
      <c r="H62" s="64">
        <v>5</v>
      </c>
      <c r="I62" s="64">
        <v>5</v>
      </c>
      <c r="J62" s="64">
        <v>5</v>
      </c>
      <c r="K62" s="64">
        <v>5</v>
      </c>
      <c r="L62" s="64">
        <v>5</v>
      </c>
      <c r="M62" s="64">
        <v>5</v>
      </c>
      <c r="N62" s="64">
        <v>4</v>
      </c>
      <c r="O62" s="64">
        <v>4</v>
      </c>
      <c r="P62" s="64">
        <v>0</v>
      </c>
      <c r="Q62" s="64">
        <v>0</v>
      </c>
      <c r="R62" s="64">
        <v>0</v>
      </c>
      <c r="S62" s="64">
        <v>0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2"/>
        <v>5</v>
      </c>
      <c r="AI62" s="48">
        <f t="shared" si="3"/>
        <v>0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12.1</v>
      </c>
      <c r="C63" s="64">
        <v>12.1</v>
      </c>
      <c r="D63" s="64">
        <v>12.1</v>
      </c>
      <c r="E63" s="64">
        <v>12.1</v>
      </c>
      <c r="F63" s="64">
        <v>12.1</v>
      </c>
      <c r="G63" s="64">
        <v>12.1</v>
      </c>
      <c r="H63" s="64">
        <v>12.1</v>
      </c>
      <c r="I63" s="64">
        <v>11.5</v>
      </c>
      <c r="J63" s="64">
        <v>11.5</v>
      </c>
      <c r="K63" s="64">
        <v>11.5</v>
      </c>
      <c r="L63" s="64">
        <v>11.5</v>
      </c>
      <c r="M63" s="64">
        <v>5.7</v>
      </c>
      <c r="N63" s="64">
        <v>5.6</v>
      </c>
      <c r="O63" s="64">
        <v>8</v>
      </c>
      <c r="P63" s="64">
        <v>12</v>
      </c>
      <c r="Q63" s="64">
        <v>12.4</v>
      </c>
      <c r="R63" s="64">
        <v>12.4</v>
      </c>
      <c r="S63" s="64">
        <v>12.4</v>
      </c>
      <c r="T63" s="64">
        <v>12.4</v>
      </c>
      <c r="U63" s="64">
        <v>12.4</v>
      </c>
      <c r="V63" s="64">
        <v>12.4</v>
      </c>
      <c r="W63" s="64">
        <v>10.5</v>
      </c>
      <c r="X63" s="64">
        <v>10.5</v>
      </c>
      <c r="Y63" s="64">
        <v>10.5</v>
      </c>
      <c r="Z63" s="64">
        <v>10.5</v>
      </c>
      <c r="AA63" s="64">
        <v>10.5</v>
      </c>
      <c r="AB63" s="64">
        <v>10.5</v>
      </c>
      <c r="AC63" s="64">
        <v>10.5</v>
      </c>
      <c r="AD63" s="64">
        <v>10.5</v>
      </c>
      <c r="AE63" s="64">
        <v>10.5</v>
      </c>
      <c r="AF63" s="64">
        <v>10.5</v>
      </c>
      <c r="AG63" s="54">
        <v>14.1</v>
      </c>
      <c r="AH63" s="47">
        <f t="shared" si="2"/>
        <v>12.4</v>
      </c>
      <c r="AI63" s="48">
        <f t="shared" si="3"/>
        <v>5.6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>
        <v>0</v>
      </c>
      <c r="AA64" s="64">
        <v>0</v>
      </c>
      <c r="AB64" s="64">
        <v>0</v>
      </c>
      <c r="AC64" s="64">
        <v>0</v>
      </c>
      <c r="AD64" s="64">
        <v>0</v>
      </c>
      <c r="AE64" s="64">
        <v>0</v>
      </c>
      <c r="AF64" s="64">
        <v>0</v>
      </c>
      <c r="AG64" s="54">
        <v>14</v>
      </c>
      <c r="AH64" s="47">
        <f t="shared" si="2"/>
        <v>0</v>
      </c>
      <c r="AI64" s="48">
        <f t="shared" si="3"/>
        <v>0</v>
      </c>
      <c r="AK64" s="74"/>
    </row>
    <row r="65" spans="1:40" x14ac:dyDescent="0.25">
      <c r="A65" s="53" t="s">
        <v>81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AG68" si="8">SUM(B55:B67)</f>
        <v>305.24</v>
      </c>
      <c r="C68" s="59">
        <f t="shared" si="8"/>
        <v>337.44000000000005</v>
      </c>
      <c r="D68" s="59">
        <f t="shared" si="8"/>
        <v>338.14000000000004</v>
      </c>
      <c r="E68" s="59">
        <f t="shared" si="8"/>
        <v>349.74</v>
      </c>
      <c r="F68" s="59">
        <f t="shared" si="8"/>
        <v>344.34000000000003</v>
      </c>
      <c r="G68" s="59">
        <f t="shared" si="8"/>
        <v>304.34000000000003</v>
      </c>
      <c r="H68" s="59">
        <f t="shared" si="8"/>
        <v>304.34000000000003</v>
      </c>
      <c r="I68" s="59">
        <f t="shared" si="8"/>
        <v>373.74</v>
      </c>
      <c r="J68" s="59">
        <f t="shared" si="8"/>
        <v>373.74</v>
      </c>
      <c r="K68" s="59">
        <f t="shared" si="8"/>
        <v>373.74</v>
      </c>
      <c r="L68" s="59">
        <f t="shared" si="8"/>
        <v>375.74</v>
      </c>
      <c r="M68" s="59">
        <f t="shared" si="8"/>
        <v>367.34</v>
      </c>
      <c r="N68" s="59">
        <f t="shared" si="8"/>
        <v>370.14000000000004</v>
      </c>
      <c r="O68" s="59">
        <f t="shared" si="8"/>
        <v>374.84000000000003</v>
      </c>
      <c r="P68" s="59">
        <f t="shared" si="8"/>
        <v>386.44</v>
      </c>
      <c r="Q68" s="59">
        <f t="shared" si="8"/>
        <v>385.44</v>
      </c>
      <c r="R68" s="59">
        <f t="shared" si="8"/>
        <v>376.73999999999995</v>
      </c>
      <c r="S68" s="59">
        <f t="shared" si="8"/>
        <v>376.73999999999995</v>
      </c>
      <c r="T68" s="59">
        <f t="shared" si="8"/>
        <v>381.84</v>
      </c>
      <c r="U68" s="59">
        <f t="shared" si="8"/>
        <v>382.34</v>
      </c>
      <c r="V68" s="59">
        <f t="shared" si="8"/>
        <v>346.24</v>
      </c>
      <c r="W68" s="59">
        <f t="shared" si="8"/>
        <v>344.64</v>
      </c>
      <c r="X68" s="59">
        <f t="shared" si="8"/>
        <v>344.54</v>
      </c>
      <c r="Y68" s="59">
        <f t="shared" si="8"/>
        <v>343.74</v>
      </c>
      <c r="Z68" s="59">
        <f t="shared" si="8"/>
        <v>343.74</v>
      </c>
      <c r="AA68" s="59">
        <f t="shared" si="8"/>
        <v>369.14</v>
      </c>
      <c r="AB68" s="59">
        <f t="shared" si="8"/>
        <v>367.84000000000003</v>
      </c>
      <c r="AC68" s="59">
        <f t="shared" si="8"/>
        <v>367.84000000000003</v>
      </c>
      <c r="AD68" s="59">
        <f t="shared" si="8"/>
        <v>367.84000000000003</v>
      </c>
      <c r="AE68" s="59">
        <f t="shared" si="8"/>
        <v>370.84000000000003</v>
      </c>
      <c r="AF68" s="59">
        <f t="shared" si="8"/>
        <v>370.84000000000003</v>
      </c>
      <c r="AG68" s="60">
        <f t="shared" si="8"/>
        <v>489.91</v>
      </c>
      <c r="AH68" s="47">
        <f t="shared" si="2"/>
        <v>386.44</v>
      </c>
      <c r="AI68" s="48">
        <f t="shared" si="3"/>
        <v>304.34000000000003</v>
      </c>
      <c r="AK68" s="74"/>
    </row>
    <row r="69" spans="1:40" x14ac:dyDescent="0.25">
      <c r="A69" s="44" t="s">
        <v>85</v>
      </c>
      <c r="B69" s="45">
        <v>58</v>
      </c>
      <c r="C69" s="45">
        <v>44</v>
      </c>
      <c r="D69" s="45">
        <v>54</v>
      </c>
      <c r="E69" s="45">
        <v>29.6</v>
      </c>
      <c r="F69" s="45">
        <v>29.6</v>
      </c>
      <c r="G69" s="45">
        <v>0</v>
      </c>
      <c r="H69" s="45">
        <v>60</v>
      </c>
      <c r="I69" s="45">
        <v>14</v>
      </c>
      <c r="J69" s="45">
        <v>14</v>
      </c>
      <c r="K69" s="45">
        <v>14</v>
      </c>
      <c r="L69" s="45">
        <v>25</v>
      </c>
      <c r="M69" s="45">
        <v>13.7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30</v>
      </c>
      <c r="W69" s="45">
        <v>9.8000000000000007</v>
      </c>
      <c r="X69" s="45">
        <v>0</v>
      </c>
      <c r="Y69" s="45">
        <v>0</v>
      </c>
      <c r="Z69" s="45">
        <v>0</v>
      </c>
      <c r="AA69" s="45">
        <v>58.6</v>
      </c>
      <c r="AB69" s="45">
        <v>40</v>
      </c>
      <c r="AC69" s="45">
        <v>29.5</v>
      </c>
      <c r="AD69" s="45">
        <v>25</v>
      </c>
      <c r="AE69" s="45">
        <v>0</v>
      </c>
      <c r="AF69" s="45">
        <v>0</v>
      </c>
      <c r="AG69" s="51">
        <v>60</v>
      </c>
      <c r="AH69" s="47">
        <f t="shared" si="2"/>
        <v>60</v>
      </c>
      <c r="AI69" s="48">
        <f t="shared" si="3"/>
        <v>0</v>
      </c>
      <c r="AK69" s="74"/>
    </row>
    <row r="70" spans="1:40" x14ac:dyDescent="0.25">
      <c r="A70" s="53" t="s">
        <v>86</v>
      </c>
      <c r="B70" s="45">
        <v>24</v>
      </c>
      <c r="C70" s="45">
        <v>25.5</v>
      </c>
      <c r="D70" s="64">
        <v>30.9</v>
      </c>
      <c r="E70" s="64">
        <v>14.9</v>
      </c>
      <c r="F70" s="64">
        <v>15.4</v>
      </c>
      <c r="G70" s="64">
        <v>0</v>
      </c>
      <c r="H70" s="64">
        <v>14.6</v>
      </c>
      <c r="I70" s="64">
        <v>7.4</v>
      </c>
      <c r="J70" s="64">
        <v>7.4</v>
      </c>
      <c r="K70" s="64">
        <v>7.4</v>
      </c>
      <c r="L70" s="64">
        <v>12.3</v>
      </c>
      <c r="M70" s="64">
        <v>12</v>
      </c>
      <c r="N70" s="64">
        <v>4.5999999999999996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15.4</v>
      </c>
      <c r="W70" s="64">
        <v>5.0999999999999996</v>
      </c>
      <c r="X70" s="64">
        <v>0</v>
      </c>
      <c r="Y70" s="64">
        <v>0</v>
      </c>
      <c r="Z70" s="64">
        <v>0</v>
      </c>
      <c r="AA70" s="64">
        <v>23.8</v>
      </c>
      <c r="AB70" s="64">
        <v>19.3</v>
      </c>
      <c r="AC70" s="64">
        <v>14.7</v>
      </c>
      <c r="AD70" s="64">
        <v>11.7</v>
      </c>
      <c r="AE70" s="64">
        <v>0</v>
      </c>
      <c r="AF70" s="64">
        <v>0</v>
      </c>
      <c r="AG70" s="54">
        <v>32</v>
      </c>
      <c r="AH70" s="47">
        <f t="shared" si="2"/>
        <v>30.9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>
        <v>8.6</v>
      </c>
      <c r="C71" s="45">
        <v>9.3000000000000007</v>
      </c>
      <c r="D71" s="66">
        <v>11.3</v>
      </c>
      <c r="E71" s="66">
        <v>5.4</v>
      </c>
      <c r="F71" s="66">
        <v>5.4</v>
      </c>
      <c r="G71" s="66">
        <v>0</v>
      </c>
      <c r="H71" s="66">
        <v>5.2</v>
      </c>
      <c r="I71" s="66">
        <v>2.7</v>
      </c>
      <c r="J71" s="66">
        <v>2.7</v>
      </c>
      <c r="K71" s="66">
        <v>2.7</v>
      </c>
      <c r="L71" s="66">
        <v>4.5</v>
      </c>
      <c r="M71" s="66">
        <v>4.4000000000000004</v>
      </c>
      <c r="N71" s="66">
        <v>1.7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5.6</v>
      </c>
      <c r="W71" s="66">
        <v>1.9</v>
      </c>
      <c r="X71" s="66">
        <v>0</v>
      </c>
      <c r="Y71" s="66">
        <v>0</v>
      </c>
      <c r="Z71" s="66">
        <v>0</v>
      </c>
      <c r="AA71" s="66">
        <v>8.9</v>
      </c>
      <c r="AB71" s="66">
        <v>7.1</v>
      </c>
      <c r="AC71" s="66">
        <v>5.4</v>
      </c>
      <c r="AD71" s="66">
        <v>4.3</v>
      </c>
      <c r="AE71" s="66">
        <v>0</v>
      </c>
      <c r="AF71" s="66">
        <v>0</v>
      </c>
      <c r="AG71" s="67">
        <v>14</v>
      </c>
      <c r="AH71" s="47">
        <f t="shared" si="2"/>
        <v>11.3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>B69+B70+B71</f>
        <v>90.6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41.8</v>
      </c>
      <c r="M72" s="59">
        <f t="shared" ref="M72:AF72" si="9">M69+M70+M71</f>
        <v>30.1</v>
      </c>
      <c r="N72" s="59">
        <f t="shared" si="9"/>
        <v>6.3</v>
      </c>
      <c r="O72" s="59">
        <f t="shared" si="9"/>
        <v>0</v>
      </c>
      <c r="P72" s="59">
        <f t="shared" si="9"/>
        <v>0</v>
      </c>
      <c r="Q72" s="59">
        <f t="shared" si="9"/>
        <v>0</v>
      </c>
      <c r="R72" s="59">
        <f t="shared" si="9"/>
        <v>0</v>
      </c>
      <c r="S72" s="59">
        <f t="shared" si="9"/>
        <v>0</v>
      </c>
      <c r="T72" s="59">
        <v>0</v>
      </c>
      <c r="U72" s="59">
        <f t="shared" si="9"/>
        <v>0</v>
      </c>
      <c r="V72" s="59">
        <f t="shared" si="9"/>
        <v>51</v>
      </c>
      <c r="W72" s="59">
        <f t="shared" si="9"/>
        <v>16.8</v>
      </c>
      <c r="X72" s="59">
        <f t="shared" si="9"/>
        <v>0</v>
      </c>
      <c r="Y72" s="59">
        <f t="shared" si="9"/>
        <v>0</v>
      </c>
      <c r="Z72" s="59">
        <f t="shared" si="9"/>
        <v>0</v>
      </c>
      <c r="AA72" s="59">
        <f t="shared" si="9"/>
        <v>91.300000000000011</v>
      </c>
      <c r="AB72" s="59">
        <f t="shared" si="9"/>
        <v>66.399999999999991</v>
      </c>
      <c r="AC72" s="59">
        <f t="shared" si="9"/>
        <v>49.6</v>
      </c>
      <c r="AD72" s="59">
        <f t="shared" si="9"/>
        <v>41</v>
      </c>
      <c r="AE72" s="59">
        <f t="shared" si="9"/>
        <v>0</v>
      </c>
      <c r="AF72" s="59">
        <f t="shared" si="9"/>
        <v>0</v>
      </c>
      <c r="AG72" s="60">
        <f>SUM(AG69:AG71)</f>
        <v>106</v>
      </c>
      <c r="AH72" s="47">
        <f t="shared" si="2"/>
        <v>91.300000000000011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58.2</v>
      </c>
      <c r="C73" s="45">
        <v>58.3</v>
      </c>
      <c r="D73" s="45">
        <v>47</v>
      </c>
      <c r="E73" s="45">
        <v>2.2999999999999998</v>
      </c>
      <c r="F73" s="45">
        <v>7.1</v>
      </c>
      <c r="G73" s="45">
        <v>-2.2999999999999998</v>
      </c>
      <c r="H73" s="45">
        <v>-3</v>
      </c>
      <c r="I73" s="45">
        <v>24</v>
      </c>
      <c r="J73" s="45">
        <v>35.200000000000003</v>
      </c>
      <c r="K73" s="45">
        <v>35</v>
      </c>
      <c r="L73" s="45">
        <v>31</v>
      </c>
      <c r="M73" s="45">
        <v>8</v>
      </c>
      <c r="N73" s="45">
        <v>1.6</v>
      </c>
      <c r="O73" s="45">
        <v>31.8</v>
      </c>
      <c r="P73" s="45">
        <v>32.9</v>
      </c>
      <c r="Q73" s="45">
        <v>-4</v>
      </c>
      <c r="R73" s="45">
        <v>22.1</v>
      </c>
      <c r="S73" s="45">
        <v>46.1</v>
      </c>
      <c r="T73" s="45">
        <v>9.6999999999999993</v>
      </c>
      <c r="U73" s="45">
        <v>18.2</v>
      </c>
      <c r="V73" s="45">
        <v>64.5</v>
      </c>
      <c r="W73" s="45">
        <v>26.5</v>
      </c>
      <c r="X73" s="45">
        <v>21.4</v>
      </c>
      <c r="Y73" s="45">
        <v>6.7</v>
      </c>
      <c r="Z73" s="45">
        <v>-6.4</v>
      </c>
      <c r="AA73" s="45">
        <v>8.6</v>
      </c>
      <c r="AB73" s="45">
        <v>21.5</v>
      </c>
      <c r="AC73" s="45">
        <v>23.2</v>
      </c>
      <c r="AD73" s="45">
        <v>30</v>
      </c>
      <c r="AE73" s="45">
        <v>32</v>
      </c>
      <c r="AF73" s="45">
        <v>30</v>
      </c>
      <c r="AG73" s="51"/>
      <c r="AH73" s="47">
        <f t="shared" si="2"/>
        <v>64.5</v>
      </c>
      <c r="AI73" s="48">
        <f t="shared" si="3"/>
        <v>-6.4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-234</v>
      </c>
      <c r="C75" s="64">
        <v>-242</v>
      </c>
      <c r="D75" s="64">
        <v>-308</v>
      </c>
      <c r="E75" s="64">
        <v>-309</v>
      </c>
      <c r="F75" s="64">
        <v>-320</v>
      </c>
      <c r="G75" s="64">
        <v>-315</v>
      </c>
      <c r="H75" s="64">
        <v>-390</v>
      </c>
      <c r="I75" s="64">
        <v>-403</v>
      </c>
      <c r="J75" s="64">
        <v>-403</v>
      </c>
      <c r="K75" s="64">
        <v>-405</v>
      </c>
      <c r="L75" s="64">
        <v>-421</v>
      </c>
      <c r="M75" s="64">
        <v>-403</v>
      </c>
      <c r="N75" s="64">
        <v>-401.8</v>
      </c>
      <c r="O75" s="64">
        <v>-418</v>
      </c>
      <c r="P75" s="64">
        <v>-398</v>
      </c>
      <c r="Q75" s="64">
        <v>-408</v>
      </c>
      <c r="R75" s="64">
        <v>-410</v>
      </c>
      <c r="S75" s="64">
        <v>-425</v>
      </c>
      <c r="T75" s="64">
        <v>-439</v>
      </c>
      <c r="U75" s="64">
        <v>-425</v>
      </c>
      <c r="V75" s="64">
        <v>-436</v>
      </c>
      <c r="W75" s="64">
        <v>-457</v>
      </c>
      <c r="X75" s="64">
        <v>-426</v>
      </c>
      <c r="Y75" s="64">
        <v>-434</v>
      </c>
      <c r="Z75" s="64">
        <v>-376</v>
      </c>
      <c r="AA75" s="64">
        <v>-376</v>
      </c>
      <c r="AB75" s="64">
        <v>-340</v>
      </c>
      <c r="AC75" s="64">
        <v>-314</v>
      </c>
      <c r="AD75" s="64">
        <v>-300</v>
      </c>
      <c r="AE75" s="64">
        <v>-333</v>
      </c>
      <c r="AF75" s="64">
        <v>-329</v>
      </c>
      <c r="AG75" s="75"/>
      <c r="AH75" s="47">
        <f t="shared" si="2"/>
        <v>-234</v>
      </c>
      <c r="AI75" s="48">
        <f t="shared" si="3"/>
        <v>-457</v>
      </c>
      <c r="AK75" s="74"/>
    </row>
    <row r="76" spans="1:40" x14ac:dyDescent="0.25">
      <c r="A76" s="53" t="s">
        <v>92</v>
      </c>
      <c r="B76" s="64">
        <v>22.3</v>
      </c>
      <c r="C76" s="64">
        <v>20.2</v>
      </c>
      <c r="D76" s="64">
        <v>20.2</v>
      </c>
      <c r="E76" s="76">
        <v>10</v>
      </c>
      <c r="F76" s="76">
        <v>10</v>
      </c>
      <c r="G76" s="76">
        <v>10</v>
      </c>
      <c r="H76" s="76">
        <v>10</v>
      </c>
      <c r="I76" s="76">
        <v>13</v>
      </c>
      <c r="J76" s="76">
        <v>10</v>
      </c>
      <c r="K76" s="76">
        <v>6.2</v>
      </c>
      <c r="L76" s="76">
        <v>5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10</v>
      </c>
      <c r="AF76" s="76">
        <v>20</v>
      </c>
      <c r="AG76" s="75"/>
      <c r="AH76" s="47">
        <f t="shared" si="2"/>
        <v>22.3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14.6</v>
      </c>
      <c r="C77" s="45">
        <v>26.5</v>
      </c>
      <c r="D77" s="45">
        <v>24.5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10">MAX(B77:AF77)</f>
        <v>26.5</v>
      </c>
      <c r="AI77" s="48">
        <f t="shared" ref="AI77:AI120" si="11">MIN(B77:AF77)</f>
        <v>0</v>
      </c>
      <c r="AK77" s="74"/>
    </row>
    <row r="78" spans="1:40" x14ac:dyDescent="0.25">
      <c r="A78" s="53" t="s">
        <v>94</v>
      </c>
      <c r="B78" s="45">
        <v>5</v>
      </c>
      <c r="C78" s="45">
        <v>5</v>
      </c>
      <c r="D78" s="45">
        <v>5</v>
      </c>
      <c r="E78" s="77">
        <v>5</v>
      </c>
      <c r="F78" s="77">
        <v>5</v>
      </c>
      <c r="G78" s="77">
        <v>5</v>
      </c>
      <c r="H78" s="77">
        <v>5</v>
      </c>
      <c r="I78" s="77">
        <v>5</v>
      </c>
      <c r="J78" s="77">
        <v>5</v>
      </c>
      <c r="K78" s="77">
        <v>5</v>
      </c>
      <c r="L78" s="77">
        <v>5</v>
      </c>
      <c r="M78" s="77">
        <v>5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5</v>
      </c>
      <c r="AF78" s="77">
        <v>5</v>
      </c>
      <c r="AG78" s="75"/>
      <c r="AH78" s="47">
        <f t="shared" si="10"/>
        <v>5</v>
      </c>
      <c r="AI78" s="48">
        <f t="shared" si="11"/>
        <v>0</v>
      </c>
      <c r="AK78" s="74"/>
    </row>
    <row r="79" spans="1:40" ht="15.75" thickBot="1" x14ac:dyDescent="0.3">
      <c r="A79" s="53" t="s">
        <v>95</v>
      </c>
      <c r="B79" s="45">
        <v>0</v>
      </c>
      <c r="C79" s="45">
        <v>0</v>
      </c>
      <c r="D79" s="45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/>
      <c r="AG79" s="75"/>
      <c r="AH79" s="47">
        <f t="shared" si="10"/>
        <v>0</v>
      </c>
      <c r="AI79" s="48">
        <f t="shared" si="11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>
        <v>0</v>
      </c>
      <c r="C80" s="45">
        <v>0</v>
      </c>
      <c r="D80" s="45">
        <v>0</v>
      </c>
      <c r="E80" s="77"/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5</v>
      </c>
      <c r="AG80" s="75"/>
      <c r="AH80" s="47">
        <f t="shared" si="10"/>
        <v>5</v>
      </c>
      <c r="AI80" s="48">
        <f t="shared" si="11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>
        <v>0</v>
      </c>
      <c r="C81" s="45">
        <v>0</v>
      </c>
      <c r="D81" s="45">
        <v>0</v>
      </c>
      <c r="E81" s="77"/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0"/>
        <v>0</v>
      </c>
      <c r="AI81" s="48">
        <f t="shared" si="11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>
        <v>0</v>
      </c>
      <c r="C82" s="45">
        <v>0</v>
      </c>
      <c r="D82" s="45">
        <v>0</v>
      </c>
      <c r="E82" s="77"/>
      <c r="F82" s="77">
        <v>0</v>
      </c>
      <c r="G82" s="77">
        <v>0</v>
      </c>
      <c r="H82" s="77"/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0"/>
        <v>0</v>
      </c>
      <c r="AI82" s="48">
        <f t="shared" si="11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>
        <v>0</v>
      </c>
      <c r="C83" s="45">
        <v>0</v>
      </c>
      <c r="D83" s="45">
        <v>0</v>
      </c>
      <c r="E83" s="77"/>
      <c r="F83" s="77">
        <v>0</v>
      </c>
      <c r="G83" s="77">
        <v>0</v>
      </c>
      <c r="H83" s="77"/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0"/>
        <v>0</v>
      </c>
      <c r="AI83" s="48">
        <f t="shared" si="11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2">SUMIF(B73:B83,"&gt;0")</f>
        <v>100.1</v>
      </c>
      <c r="C84" s="59">
        <f t="shared" si="12"/>
        <v>110</v>
      </c>
      <c r="D84" s="59">
        <f t="shared" si="12"/>
        <v>96.7</v>
      </c>
      <c r="E84" s="59">
        <f t="shared" si="12"/>
        <v>17.3</v>
      </c>
      <c r="F84" s="59">
        <f t="shared" si="12"/>
        <v>22.1</v>
      </c>
      <c r="G84" s="59">
        <f t="shared" si="12"/>
        <v>15</v>
      </c>
      <c r="H84" s="59">
        <f t="shared" si="12"/>
        <v>15</v>
      </c>
      <c r="I84" s="59">
        <f t="shared" si="12"/>
        <v>42</v>
      </c>
      <c r="J84" s="59">
        <f t="shared" si="12"/>
        <v>50.2</v>
      </c>
      <c r="K84" s="59">
        <f t="shared" si="12"/>
        <v>46.2</v>
      </c>
      <c r="L84" s="59">
        <f t="shared" si="12"/>
        <v>41</v>
      </c>
      <c r="M84" s="59">
        <f t="shared" si="12"/>
        <v>13</v>
      </c>
      <c r="N84" s="59">
        <f t="shared" si="12"/>
        <v>1.6</v>
      </c>
      <c r="O84" s="59">
        <f t="shared" si="12"/>
        <v>31.8</v>
      </c>
      <c r="P84" s="59">
        <f t="shared" si="12"/>
        <v>32.9</v>
      </c>
      <c r="Q84" s="59">
        <f t="shared" si="12"/>
        <v>0</v>
      </c>
      <c r="R84" s="59">
        <f t="shared" si="12"/>
        <v>22.1</v>
      </c>
      <c r="S84" s="59">
        <f t="shared" si="12"/>
        <v>46.1</v>
      </c>
      <c r="T84" s="59">
        <f t="shared" si="12"/>
        <v>9.6999999999999993</v>
      </c>
      <c r="U84" s="59">
        <f t="shared" si="12"/>
        <v>18.2</v>
      </c>
      <c r="V84" s="59">
        <f t="shared" si="12"/>
        <v>64.5</v>
      </c>
      <c r="W84" s="59">
        <f t="shared" si="12"/>
        <v>26.5</v>
      </c>
      <c r="X84" s="59">
        <f t="shared" si="12"/>
        <v>21.4</v>
      </c>
      <c r="Y84" s="59">
        <f t="shared" si="12"/>
        <v>6.7</v>
      </c>
      <c r="Z84" s="59">
        <f t="shared" si="12"/>
        <v>0</v>
      </c>
      <c r="AA84" s="59">
        <f t="shared" si="12"/>
        <v>8.6</v>
      </c>
      <c r="AB84" s="59">
        <f t="shared" si="12"/>
        <v>21.5</v>
      </c>
      <c r="AC84" s="59">
        <f t="shared" si="12"/>
        <v>23.2</v>
      </c>
      <c r="AD84" s="59">
        <f t="shared" si="12"/>
        <v>30</v>
      </c>
      <c r="AE84" s="59">
        <f t="shared" si="12"/>
        <v>47</v>
      </c>
      <c r="AF84" s="59">
        <f t="shared" si="12"/>
        <v>60</v>
      </c>
      <c r="AG84" s="88">
        <f>SUM(AG73:AG83)</f>
        <v>0</v>
      </c>
      <c r="AH84" s="47">
        <f t="shared" si="10"/>
        <v>110</v>
      </c>
      <c r="AI84" s="48">
        <f t="shared" si="11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0"/>
        <v>0</v>
      </c>
      <c r="AI85" s="48">
        <f t="shared" si="11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0"/>
        <v>0</v>
      </c>
      <c r="AI86" s="48">
        <f t="shared" si="11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0"/>
        <v>0</v>
      </c>
      <c r="AI87" s="48">
        <f t="shared" si="11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10"/>
        <v>0</v>
      </c>
      <c r="AI88" s="48">
        <f t="shared" si="11"/>
        <v>0</v>
      </c>
    </row>
    <row r="89" spans="1:40" ht="15.75" thickBot="1" x14ac:dyDescent="0.3">
      <c r="A89" s="73" t="s">
        <v>108</v>
      </c>
      <c r="B89" s="95">
        <f t="shared" ref="B89:AG89" si="13">B50+B54+B72+B68+B84+B88</f>
        <v>1950.74</v>
      </c>
      <c r="C89" s="95">
        <f t="shared" si="13"/>
        <v>1905.7400000000002</v>
      </c>
      <c r="D89" s="95">
        <f t="shared" si="13"/>
        <v>1910.1400000000003</v>
      </c>
      <c r="E89" s="95">
        <f t="shared" si="13"/>
        <v>1860.14</v>
      </c>
      <c r="F89" s="95">
        <f t="shared" si="13"/>
        <v>1908.54</v>
      </c>
      <c r="G89" s="95">
        <f t="shared" si="13"/>
        <v>1861.44</v>
      </c>
      <c r="H89" s="95">
        <f t="shared" si="13"/>
        <v>1861.44</v>
      </c>
      <c r="I89" s="95">
        <f t="shared" si="13"/>
        <v>1913.8400000000001</v>
      </c>
      <c r="J89" s="95">
        <f t="shared" si="13"/>
        <v>1922.0400000000002</v>
      </c>
      <c r="K89" s="95">
        <f t="shared" si="13"/>
        <v>1926.3400000000001</v>
      </c>
      <c r="L89" s="95">
        <f t="shared" si="13"/>
        <v>1965.44</v>
      </c>
      <c r="M89" s="95">
        <f t="shared" si="13"/>
        <v>1922.5399999999997</v>
      </c>
      <c r="N89" s="95">
        <f t="shared" si="13"/>
        <v>1934.1399999999999</v>
      </c>
      <c r="O89" s="95">
        <f t="shared" si="13"/>
        <v>1962.74</v>
      </c>
      <c r="P89" s="95">
        <f t="shared" si="13"/>
        <v>1938.2400000000002</v>
      </c>
      <c r="Q89" s="95">
        <f t="shared" si="13"/>
        <v>1913.14</v>
      </c>
      <c r="R89" s="95">
        <f t="shared" si="13"/>
        <v>1929.04</v>
      </c>
      <c r="S89" s="95">
        <f t="shared" si="13"/>
        <v>1936.34</v>
      </c>
      <c r="T89" s="95">
        <f t="shared" si="13"/>
        <v>1913.04</v>
      </c>
      <c r="U89" s="95">
        <f t="shared" si="13"/>
        <v>1911.04</v>
      </c>
      <c r="V89" s="95">
        <f t="shared" si="13"/>
        <v>1896.64</v>
      </c>
      <c r="W89" s="95">
        <f t="shared" si="13"/>
        <v>1852.8400000000001</v>
      </c>
      <c r="X89" s="95">
        <f t="shared" si="13"/>
        <v>1884.3400000000001</v>
      </c>
      <c r="Y89" s="95">
        <f t="shared" si="13"/>
        <v>1890.8400000000001</v>
      </c>
      <c r="Z89" s="95">
        <f t="shared" si="13"/>
        <v>1884.14</v>
      </c>
      <c r="AA89" s="95">
        <f t="shared" si="13"/>
        <v>2030.44</v>
      </c>
      <c r="AB89" s="95">
        <f t="shared" si="13"/>
        <v>2010.1400000000003</v>
      </c>
      <c r="AC89" s="95">
        <f t="shared" si="13"/>
        <v>1990.0400000000002</v>
      </c>
      <c r="AD89" s="95">
        <f t="shared" si="13"/>
        <v>1988.2400000000002</v>
      </c>
      <c r="AE89" s="95">
        <f t="shared" si="13"/>
        <v>1940.2400000000002</v>
      </c>
      <c r="AF89" s="95">
        <f t="shared" si="13"/>
        <v>1923.2400000000002</v>
      </c>
      <c r="AG89" s="60">
        <f t="shared" si="13"/>
        <v>2111.5500000000002</v>
      </c>
      <c r="AH89" s="47">
        <f t="shared" si="10"/>
        <v>2030.44</v>
      </c>
      <c r="AI89" s="48">
        <f t="shared" si="11"/>
        <v>1852.8400000000001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10"/>
        <v>0</v>
      </c>
      <c r="AI90" s="48">
        <f t="shared" si="11"/>
        <v>0</v>
      </c>
    </row>
    <row r="91" spans="1:40" ht="15.75" thickBot="1" x14ac:dyDescent="0.3">
      <c r="A91" s="73" t="s">
        <v>110</v>
      </c>
      <c r="B91" s="95">
        <f t="shared" ref="B91:AF91" si="14">B89+B90</f>
        <v>1950.74</v>
      </c>
      <c r="C91" s="95">
        <f t="shared" si="14"/>
        <v>1905.7400000000002</v>
      </c>
      <c r="D91" s="95">
        <f t="shared" si="14"/>
        <v>1910.1400000000003</v>
      </c>
      <c r="E91" s="95">
        <f t="shared" si="14"/>
        <v>1860.14</v>
      </c>
      <c r="F91" s="95">
        <f t="shared" si="14"/>
        <v>1908.54</v>
      </c>
      <c r="G91" s="95">
        <f t="shared" si="14"/>
        <v>1861.44</v>
      </c>
      <c r="H91" s="95">
        <f t="shared" si="14"/>
        <v>1861.44</v>
      </c>
      <c r="I91" s="95">
        <f t="shared" si="14"/>
        <v>1913.8400000000001</v>
      </c>
      <c r="J91" s="95">
        <f t="shared" si="14"/>
        <v>1922.0400000000002</v>
      </c>
      <c r="K91" s="95">
        <f t="shared" si="14"/>
        <v>1926.3400000000001</v>
      </c>
      <c r="L91" s="95">
        <f t="shared" si="14"/>
        <v>1965.44</v>
      </c>
      <c r="M91" s="95">
        <f t="shared" si="14"/>
        <v>1922.5399999999997</v>
      </c>
      <c r="N91" s="95">
        <f t="shared" si="14"/>
        <v>1934.1399999999999</v>
      </c>
      <c r="O91" s="95">
        <f t="shared" si="14"/>
        <v>1962.74</v>
      </c>
      <c r="P91" s="95">
        <f t="shared" si="14"/>
        <v>1938.2400000000002</v>
      </c>
      <c r="Q91" s="95">
        <f t="shared" si="14"/>
        <v>1913.14</v>
      </c>
      <c r="R91" s="95">
        <f t="shared" si="14"/>
        <v>1929.04</v>
      </c>
      <c r="S91" s="95">
        <f t="shared" si="14"/>
        <v>1936.34</v>
      </c>
      <c r="T91" s="95">
        <f t="shared" si="14"/>
        <v>1913.04</v>
      </c>
      <c r="U91" s="95">
        <f t="shared" si="14"/>
        <v>1911.04</v>
      </c>
      <c r="V91" s="95">
        <f t="shared" si="14"/>
        <v>1896.64</v>
      </c>
      <c r="W91" s="95">
        <f t="shared" si="14"/>
        <v>1852.8400000000001</v>
      </c>
      <c r="X91" s="95">
        <f t="shared" si="14"/>
        <v>1884.3400000000001</v>
      </c>
      <c r="Y91" s="95">
        <f t="shared" si="14"/>
        <v>1890.8400000000001</v>
      </c>
      <c r="Z91" s="95">
        <f t="shared" si="14"/>
        <v>1884.14</v>
      </c>
      <c r="AA91" s="95">
        <f t="shared" si="14"/>
        <v>2030.44</v>
      </c>
      <c r="AB91" s="95">
        <f t="shared" si="14"/>
        <v>2010.1400000000003</v>
      </c>
      <c r="AC91" s="95">
        <f t="shared" si="14"/>
        <v>1990.0400000000002</v>
      </c>
      <c r="AD91" s="95">
        <f t="shared" si="14"/>
        <v>1988.2400000000002</v>
      </c>
      <c r="AE91" s="95">
        <f t="shared" si="14"/>
        <v>1940.2400000000002</v>
      </c>
      <c r="AF91" s="95">
        <f t="shared" si="14"/>
        <v>1923.2400000000002</v>
      </c>
      <c r="AG91" s="88">
        <f>AG88+AG84+AG72+AG68+AG50+AG90</f>
        <v>1573.45</v>
      </c>
      <c r="AH91" s="47">
        <f t="shared" si="10"/>
        <v>2030.44</v>
      </c>
      <c r="AI91" s="48">
        <f t="shared" si="11"/>
        <v>1852.8400000000001</v>
      </c>
    </row>
    <row r="92" spans="1:40" ht="15.75" thickBot="1" x14ac:dyDescent="0.3">
      <c r="A92" s="73" t="s">
        <v>111</v>
      </c>
      <c r="B92" s="95">
        <f t="shared" ref="B92:AF92" si="15">B91-B99</f>
        <v>1950.74</v>
      </c>
      <c r="C92" s="95">
        <f t="shared" si="15"/>
        <v>1905.7400000000002</v>
      </c>
      <c r="D92" s="95">
        <f t="shared" si="15"/>
        <v>1910.1400000000003</v>
      </c>
      <c r="E92" s="95">
        <f t="shared" si="15"/>
        <v>1860.14</v>
      </c>
      <c r="F92" s="95">
        <f t="shared" si="15"/>
        <v>1908.54</v>
      </c>
      <c r="G92" s="95">
        <f t="shared" si="15"/>
        <v>1861.44</v>
      </c>
      <c r="H92" s="95">
        <f t="shared" si="15"/>
        <v>1861.44</v>
      </c>
      <c r="I92" s="95">
        <f t="shared" si="15"/>
        <v>1913.8400000000001</v>
      </c>
      <c r="J92" s="95">
        <f t="shared" si="15"/>
        <v>1922.0400000000002</v>
      </c>
      <c r="K92" s="95">
        <f t="shared" si="15"/>
        <v>1926.3400000000001</v>
      </c>
      <c r="L92" s="95">
        <f t="shared" si="15"/>
        <v>1965.44</v>
      </c>
      <c r="M92" s="95">
        <f t="shared" si="15"/>
        <v>1922.5399999999997</v>
      </c>
      <c r="N92" s="95">
        <f t="shared" si="15"/>
        <v>1934.1399999999999</v>
      </c>
      <c r="O92" s="95">
        <f t="shared" si="15"/>
        <v>1962.74</v>
      </c>
      <c r="P92" s="95">
        <f t="shared" si="15"/>
        <v>1938.2400000000002</v>
      </c>
      <c r="Q92" s="95">
        <f t="shared" si="15"/>
        <v>1913.14</v>
      </c>
      <c r="R92" s="95">
        <f t="shared" si="15"/>
        <v>1929.04</v>
      </c>
      <c r="S92" s="95">
        <f t="shared" si="15"/>
        <v>1936.34</v>
      </c>
      <c r="T92" s="95">
        <f t="shared" si="15"/>
        <v>1913.04</v>
      </c>
      <c r="U92" s="95">
        <f t="shared" si="15"/>
        <v>1911.04</v>
      </c>
      <c r="V92" s="95">
        <f t="shared" si="15"/>
        <v>1896.64</v>
      </c>
      <c r="W92" s="95">
        <f t="shared" si="15"/>
        <v>1852.8400000000001</v>
      </c>
      <c r="X92" s="95">
        <f t="shared" si="15"/>
        <v>1884.3400000000001</v>
      </c>
      <c r="Y92" s="95">
        <f t="shared" si="15"/>
        <v>1890.8400000000001</v>
      </c>
      <c r="Z92" s="95">
        <f t="shared" si="15"/>
        <v>1884.14</v>
      </c>
      <c r="AA92" s="95">
        <f t="shared" si="15"/>
        <v>2030.44</v>
      </c>
      <c r="AB92" s="95">
        <f t="shared" si="15"/>
        <v>2010.1400000000003</v>
      </c>
      <c r="AC92" s="95">
        <f t="shared" si="15"/>
        <v>1990.0400000000002</v>
      </c>
      <c r="AD92" s="95">
        <f t="shared" si="15"/>
        <v>1988.2400000000002</v>
      </c>
      <c r="AE92" s="95">
        <f t="shared" si="15"/>
        <v>1940.2400000000002</v>
      </c>
      <c r="AF92" s="95">
        <f t="shared" si="15"/>
        <v>1923.2400000000002</v>
      </c>
      <c r="AG92" s="88"/>
      <c r="AH92" s="47">
        <f t="shared" si="10"/>
        <v>2030.44</v>
      </c>
      <c r="AI92" s="48">
        <f t="shared" si="11"/>
        <v>1852.8400000000001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0"/>
        <v>0</v>
      </c>
      <c r="AI93" s="48">
        <f t="shared" si="11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0"/>
        <v>0</v>
      </c>
      <c r="AI94" s="48">
        <f t="shared" si="11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0"/>
        <v>0</v>
      </c>
      <c r="AI95" s="48">
        <f t="shared" si="11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0"/>
        <v>0</v>
      </c>
      <c r="AI96" s="48">
        <f t="shared" si="11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0"/>
        <v>0</v>
      </c>
      <c r="AI97" s="48">
        <f t="shared" si="11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0"/>
        <v>0</v>
      </c>
      <c r="AI98" s="48">
        <f t="shared" si="11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10"/>
        <v>0</v>
      </c>
      <c r="AI99" s="48">
        <f t="shared" si="11"/>
        <v>0</v>
      </c>
      <c r="AK99" s="74"/>
    </row>
    <row r="100" spans="1:37" ht="15.75" thickBot="1" x14ac:dyDescent="0.3">
      <c r="A100" s="73" t="s">
        <v>116</v>
      </c>
      <c r="B100" s="59">
        <f t="shared" ref="B100:AF100" si="16">B84-B99</f>
        <v>100.1</v>
      </c>
      <c r="C100" s="59">
        <f t="shared" si="16"/>
        <v>110</v>
      </c>
      <c r="D100" s="59">
        <f t="shared" si="16"/>
        <v>96.7</v>
      </c>
      <c r="E100" s="59">
        <f t="shared" si="16"/>
        <v>17.3</v>
      </c>
      <c r="F100" s="59">
        <f t="shared" si="16"/>
        <v>22.1</v>
      </c>
      <c r="G100" s="59">
        <f t="shared" si="16"/>
        <v>15</v>
      </c>
      <c r="H100" s="59">
        <f t="shared" si="16"/>
        <v>15</v>
      </c>
      <c r="I100" s="59">
        <f t="shared" si="16"/>
        <v>42</v>
      </c>
      <c r="J100" s="59">
        <f t="shared" si="16"/>
        <v>50.2</v>
      </c>
      <c r="K100" s="59">
        <f t="shared" si="16"/>
        <v>46.2</v>
      </c>
      <c r="L100" s="59">
        <f t="shared" si="16"/>
        <v>41</v>
      </c>
      <c r="M100" s="59">
        <f t="shared" si="16"/>
        <v>13</v>
      </c>
      <c r="N100" s="59">
        <f t="shared" si="16"/>
        <v>1.6</v>
      </c>
      <c r="O100" s="59">
        <f t="shared" si="16"/>
        <v>31.8</v>
      </c>
      <c r="P100" s="59">
        <f t="shared" si="16"/>
        <v>32.9</v>
      </c>
      <c r="Q100" s="59">
        <f t="shared" si="16"/>
        <v>0</v>
      </c>
      <c r="R100" s="59">
        <f t="shared" si="16"/>
        <v>22.1</v>
      </c>
      <c r="S100" s="59">
        <f t="shared" si="16"/>
        <v>46.1</v>
      </c>
      <c r="T100" s="59">
        <f t="shared" si="16"/>
        <v>9.6999999999999993</v>
      </c>
      <c r="U100" s="59">
        <f t="shared" si="16"/>
        <v>18.2</v>
      </c>
      <c r="V100" s="59">
        <f t="shared" si="16"/>
        <v>64.5</v>
      </c>
      <c r="W100" s="59">
        <f t="shared" si="16"/>
        <v>26.5</v>
      </c>
      <c r="X100" s="59">
        <f t="shared" si="16"/>
        <v>21.4</v>
      </c>
      <c r="Y100" s="59">
        <f t="shared" si="16"/>
        <v>6.7</v>
      </c>
      <c r="Z100" s="59">
        <f t="shared" si="16"/>
        <v>0</v>
      </c>
      <c r="AA100" s="59">
        <f t="shared" si="16"/>
        <v>8.6</v>
      </c>
      <c r="AB100" s="59">
        <f t="shared" si="16"/>
        <v>21.5</v>
      </c>
      <c r="AC100" s="59">
        <f t="shared" si="16"/>
        <v>23.2</v>
      </c>
      <c r="AD100" s="59">
        <f t="shared" si="16"/>
        <v>30</v>
      </c>
      <c r="AE100" s="59">
        <f t="shared" si="16"/>
        <v>47</v>
      </c>
      <c r="AF100" s="59">
        <f t="shared" si="16"/>
        <v>60</v>
      </c>
      <c r="AG100" s="88"/>
      <c r="AH100" s="47">
        <f t="shared" si="10"/>
        <v>110</v>
      </c>
      <c r="AI100" s="48">
        <f t="shared" si="11"/>
        <v>0</v>
      </c>
    </row>
    <row r="101" spans="1:37" x14ac:dyDescent="0.25">
      <c r="A101" s="100" t="s">
        <v>117</v>
      </c>
      <c r="B101" s="101">
        <v>50.081000000000003</v>
      </c>
      <c r="C101" s="101">
        <v>49.976999999999997</v>
      </c>
      <c r="D101" s="101">
        <v>50.027000000000001</v>
      </c>
      <c r="E101" s="101">
        <v>50.031999999999996</v>
      </c>
      <c r="F101" s="101">
        <v>50.023000000000003</v>
      </c>
      <c r="G101" s="101">
        <v>50.042999999999999</v>
      </c>
      <c r="H101" s="101">
        <v>50.042999999999999</v>
      </c>
      <c r="I101" s="101">
        <v>50.037999999999997</v>
      </c>
      <c r="J101" s="101">
        <v>50.067999999999998</v>
      </c>
      <c r="K101" s="101">
        <v>50.07</v>
      </c>
      <c r="L101" s="101">
        <v>50.051000000000002</v>
      </c>
      <c r="M101" s="101">
        <v>50.036999999999999</v>
      </c>
      <c r="N101" s="101">
        <v>50.012</v>
      </c>
      <c r="O101" s="101">
        <v>49.98</v>
      </c>
      <c r="P101" s="101">
        <v>50.058999999999997</v>
      </c>
      <c r="Q101" s="101">
        <v>50.106000000000002</v>
      </c>
      <c r="R101" s="101">
        <v>50.216000000000001</v>
      </c>
      <c r="S101" s="101">
        <v>50.026000000000003</v>
      </c>
      <c r="T101" s="101">
        <v>49.969000000000001</v>
      </c>
      <c r="U101" s="101">
        <v>49.966000000000001</v>
      </c>
      <c r="V101" s="101">
        <v>50.033999999999999</v>
      </c>
      <c r="W101" s="101">
        <v>49.981000000000002</v>
      </c>
      <c r="X101" s="101">
        <v>50.103000000000002</v>
      </c>
      <c r="Y101" s="101">
        <v>49.997999999999998</v>
      </c>
      <c r="Z101" s="101">
        <v>49.982999999999997</v>
      </c>
      <c r="AA101" s="101">
        <v>49.886000000000003</v>
      </c>
      <c r="AB101" s="64">
        <v>50.1</v>
      </c>
      <c r="AC101" s="101">
        <v>50.1</v>
      </c>
      <c r="AD101" s="101">
        <v>49.98</v>
      </c>
      <c r="AE101" s="101">
        <v>50</v>
      </c>
      <c r="AF101" s="101">
        <v>49.83</v>
      </c>
      <c r="AG101" s="102"/>
      <c r="AH101" s="47">
        <f t="shared" si="10"/>
        <v>50.216000000000001</v>
      </c>
      <c r="AI101" s="48">
        <f t="shared" si="11"/>
        <v>49.83</v>
      </c>
    </row>
    <row r="102" spans="1:37" x14ac:dyDescent="0.25">
      <c r="A102" s="103" t="s">
        <v>118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4"/>
      <c r="AH102" s="47">
        <f t="shared" si="10"/>
        <v>0</v>
      </c>
      <c r="AI102" s="48">
        <f t="shared" si="11"/>
        <v>0</v>
      </c>
    </row>
    <row r="103" spans="1:37" x14ac:dyDescent="0.25">
      <c r="A103" s="103" t="s">
        <v>119</v>
      </c>
      <c r="B103" s="64">
        <v>131.5</v>
      </c>
      <c r="C103" s="64">
        <v>132.19999999999999</v>
      </c>
      <c r="D103" s="64">
        <v>132.80000000000001</v>
      </c>
      <c r="E103" s="64">
        <v>131.1</v>
      </c>
      <c r="F103" s="64">
        <v>130.5</v>
      </c>
      <c r="G103" s="64">
        <v>131.80000000000001</v>
      </c>
      <c r="H103" s="64">
        <v>131.80000000000001</v>
      </c>
      <c r="I103" s="64">
        <v>127.9</v>
      </c>
      <c r="J103" s="64">
        <v>128.80000000000001</v>
      </c>
      <c r="K103" s="64">
        <v>127.3</v>
      </c>
      <c r="L103" s="64">
        <v>128.19999999999999</v>
      </c>
      <c r="M103" s="64">
        <v>128.69999999999999</v>
      </c>
      <c r="N103" s="64">
        <v>126.7</v>
      </c>
      <c r="O103" s="64">
        <v>127</v>
      </c>
      <c r="P103" s="64">
        <v>127.7</v>
      </c>
      <c r="Q103" s="64">
        <v>127.4</v>
      </c>
      <c r="R103" s="64">
        <v>126.8</v>
      </c>
      <c r="S103" s="64">
        <v>126.3</v>
      </c>
      <c r="T103" s="64">
        <v>127.3</v>
      </c>
      <c r="U103" s="64">
        <v>127.5</v>
      </c>
      <c r="V103" s="64">
        <v>130</v>
      </c>
      <c r="W103" s="64">
        <v>129</v>
      </c>
      <c r="X103" s="64">
        <v>127.9</v>
      </c>
      <c r="Y103" s="64">
        <v>128</v>
      </c>
      <c r="Z103" s="64">
        <v>126.6</v>
      </c>
      <c r="AA103" s="64">
        <v>127.7</v>
      </c>
      <c r="AB103" s="64">
        <v>129.30000000000001</v>
      </c>
      <c r="AC103" s="64">
        <v>129.30000000000001</v>
      </c>
      <c r="AD103" s="64">
        <v>129.5</v>
      </c>
      <c r="AE103" s="64">
        <v>128</v>
      </c>
      <c r="AF103" s="64">
        <v>129</v>
      </c>
      <c r="AG103" s="104"/>
      <c r="AH103" s="47">
        <f t="shared" si="10"/>
        <v>132.80000000000001</v>
      </c>
      <c r="AI103" s="48">
        <f t="shared" si="11"/>
        <v>126.3</v>
      </c>
    </row>
    <row r="104" spans="1:37" x14ac:dyDescent="0.25">
      <c r="A104" s="103" t="s">
        <v>120</v>
      </c>
      <c r="B104" s="64">
        <v>129.19999999999999</v>
      </c>
      <c r="C104" s="64">
        <v>128.30000000000001</v>
      </c>
      <c r="D104" s="64">
        <v>129.69999999999999</v>
      </c>
      <c r="E104" s="64">
        <v>129.69999999999999</v>
      </c>
      <c r="F104" s="64">
        <v>131.4</v>
      </c>
      <c r="G104" s="64">
        <v>130.69999999999999</v>
      </c>
      <c r="H104" s="64">
        <v>130.69999999999999</v>
      </c>
      <c r="I104" s="64">
        <v>130.80000000000001</v>
      </c>
      <c r="J104" s="64">
        <v>131</v>
      </c>
      <c r="K104" s="64">
        <v>129.5</v>
      </c>
      <c r="L104" s="64">
        <v>129.80000000000001</v>
      </c>
      <c r="M104" s="64">
        <v>128.19999999999999</v>
      </c>
      <c r="N104" s="64">
        <v>127.7</v>
      </c>
      <c r="O104" s="64">
        <v>128.1</v>
      </c>
      <c r="P104" s="64">
        <v>129</v>
      </c>
      <c r="Q104" s="64">
        <v>129.6</v>
      </c>
      <c r="R104" s="64">
        <v>128.80000000000001</v>
      </c>
      <c r="S104" s="64">
        <v>128.19999999999999</v>
      </c>
      <c r="T104" s="64">
        <v>128.9</v>
      </c>
      <c r="U104" s="64">
        <v>127.7</v>
      </c>
      <c r="V104" s="64">
        <v>130.5</v>
      </c>
      <c r="W104" s="64">
        <v>130.9</v>
      </c>
      <c r="X104" s="64">
        <v>126.5</v>
      </c>
      <c r="Y104" s="64">
        <v>129.80000000000001</v>
      </c>
      <c r="Z104" s="64">
        <v>126.6</v>
      </c>
      <c r="AA104" s="64">
        <v>126.3</v>
      </c>
      <c r="AB104" s="64">
        <v>126.5</v>
      </c>
      <c r="AC104" s="64">
        <v>127.8</v>
      </c>
      <c r="AD104" s="64">
        <v>127.9</v>
      </c>
      <c r="AE104" s="64">
        <v>127</v>
      </c>
      <c r="AF104" s="64">
        <v>131</v>
      </c>
      <c r="AG104" s="104"/>
      <c r="AH104" s="47">
        <f t="shared" si="10"/>
        <v>131.4</v>
      </c>
      <c r="AI104" s="48">
        <f t="shared" si="11"/>
        <v>126.3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0"/>
        <v>0</v>
      </c>
      <c r="AI105" s="48">
        <f t="shared" si="11"/>
        <v>0</v>
      </c>
    </row>
    <row r="106" spans="1:37" x14ac:dyDescent="0.25">
      <c r="A106" s="105" t="s">
        <v>122</v>
      </c>
      <c r="B106" s="106">
        <v>131</v>
      </c>
      <c r="C106" s="106">
        <v>134.9</v>
      </c>
      <c r="D106" s="106">
        <v>133.6</v>
      </c>
      <c r="E106" s="106">
        <v>130.1</v>
      </c>
      <c r="F106" s="106">
        <v>130.80000000000001</v>
      </c>
      <c r="G106" s="106">
        <v>134.5</v>
      </c>
      <c r="H106" s="106">
        <v>134.5</v>
      </c>
      <c r="I106" s="106">
        <v>129.9</v>
      </c>
      <c r="J106" s="106">
        <v>130.69999999999999</v>
      </c>
      <c r="K106" s="106">
        <v>129.6</v>
      </c>
      <c r="L106" s="106">
        <v>133.69999999999999</v>
      </c>
      <c r="M106" s="106">
        <v>129.69999999999999</v>
      </c>
      <c r="N106" s="106">
        <v>127.9</v>
      </c>
      <c r="O106" s="106">
        <v>131.4</v>
      </c>
      <c r="P106" s="106">
        <v>131.9</v>
      </c>
      <c r="Q106" s="106">
        <v>129.69999999999999</v>
      </c>
      <c r="R106" s="106">
        <v>131.1</v>
      </c>
      <c r="S106" s="106">
        <v>130.69999999999999</v>
      </c>
      <c r="T106" s="106">
        <v>130.9</v>
      </c>
      <c r="U106" s="106">
        <v>131</v>
      </c>
      <c r="V106" s="106">
        <v>132.80000000000001</v>
      </c>
      <c r="W106" s="106">
        <v>133.6</v>
      </c>
      <c r="X106" s="106">
        <v>130.69999999999999</v>
      </c>
      <c r="Y106" s="106">
        <v>132.19999999999999</v>
      </c>
      <c r="Z106" s="106">
        <v>130.80000000000001</v>
      </c>
      <c r="AA106" s="106">
        <v>129</v>
      </c>
      <c r="AB106" s="106">
        <v>132.30000000000001</v>
      </c>
      <c r="AC106" s="106">
        <v>129.5</v>
      </c>
      <c r="AD106" s="106">
        <v>129</v>
      </c>
      <c r="AE106" s="106">
        <v>129</v>
      </c>
      <c r="AF106" s="106">
        <v>131</v>
      </c>
      <c r="AG106" s="107"/>
      <c r="AH106" s="47">
        <f t="shared" si="10"/>
        <v>134.9</v>
      </c>
      <c r="AI106" s="48">
        <f t="shared" si="11"/>
        <v>127.9</v>
      </c>
    </row>
    <row r="107" spans="1:37" x14ac:dyDescent="0.25">
      <c r="A107" s="103" t="s">
        <v>123</v>
      </c>
      <c r="B107" s="64">
        <v>121.9</v>
      </c>
      <c r="C107" s="64">
        <v>126.2</v>
      </c>
      <c r="D107" s="64">
        <v>128.19999999999999</v>
      </c>
      <c r="E107" s="64">
        <v>129.6</v>
      </c>
      <c r="F107" s="64">
        <v>127.2</v>
      </c>
      <c r="G107" s="64">
        <v>130.6</v>
      </c>
      <c r="H107" s="64">
        <v>130.6</v>
      </c>
      <c r="I107" s="64">
        <v>126.5</v>
      </c>
      <c r="J107" s="64">
        <v>127</v>
      </c>
      <c r="K107" s="64">
        <v>130.30000000000001</v>
      </c>
      <c r="L107" s="64">
        <v>129.4</v>
      </c>
      <c r="M107" s="64">
        <v>126.9</v>
      </c>
      <c r="N107" s="64">
        <v>129.30000000000001</v>
      </c>
      <c r="O107" s="64">
        <v>128.30000000000001</v>
      </c>
      <c r="P107" s="64">
        <v>130.19999999999999</v>
      </c>
      <c r="Q107" s="64">
        <v>128.80000000000001</v>
      </c>
      <c r="R107" s="64">
        <v>130.1</v>
      </c>
      <c r="S107" s="64">
        <v>129.19999999999999</v>
      </c>
      <c r="T107" s="64">
        <v>133.69999999999999</v>
      </c>
      <c r="U107" s="64">
        <v>133.5</v>
      </c>
      <c r="V107" s="64">
        <v>134</v>
      </c>
      <c r="W107" s="64">
        <v>138</v>
      </c>
      <c r="X107" s="64">
        <v>132.9</v>
      </c>
      <c r="Y107" s="64">
        <v>134.30000000000001</v>
      </c>
      <c r="Z107" s="64">
        <v>133.80000000000001</v>
      </c>
      <c r="AA107" s="64">
        <v>124.3</v>
      </c>
      <c r="AB107" s="64">
        <v>138</v>
      </c>
      <c r="AC107" s="64">
        <v>129.5</v>
      </c>
      <c r="AD107" s="64">
        <v>127</v>
      </c>
      <c r="AE107" s="64">
        <v>120</v>
      </c>
      <c r="AF107" s="64">
        <v>125</v>
      </c>
      <c r="AG107" s="104"/>
      <c r="AH107" s="47">
        <f t="shared" si="10"/>
        <v>138</v>
      </c>
      <c r="AI107" s="48">
        <f t="shared" si="11"/>
        <v>120</v>
      </c>
    </row>
    <row r="108" spans="1:37" ht="15.75" thickBot="1" x14ac:dyDescent="0.3">
      <c r="A108" s="103" t="s">
        <v>124</v>
      </c>
      <c r="B108" s="92">
        <v>66.099999999999994</v>
      </c>
      <c r="C108" s="92">
        <v>66.400000000000006</v>
      </c>
      <c r="D108" s="92">
        <v>66.8</v>
      </c>
      <c r="E108" s="92">
        <v>65.8</v>
      </c>
      <c r="F108" s="92">
        <v>65.400000000000006</v>
      </c>
      <c r="G108" s="92">
        <v>66.099999999999994</v>
      </c>
      <c r="H108" s="92">
        <v>66.099999999999994</v>
      </c>
      <c r="I108" s="92">
        <v>64.2</v>
      </c>
      <c r="J108" s="92">
        <v>64.8</v>
      </c>
      <c r="K108" s="92">
        <v>63.9</v>
      </c>
      <c r="L108" s="92">
        <v>64.099999999999994</v>
      </c>
      <c r="M108" s="92">
        <v>64.5</v>
      </c>
      <c r="N108" s="92">
        <v>63.5</v>
      </c>
      <c r="O108" s="92">
        <v>63.5</v>
      </c>
      <c r="P108" s="92">
        <v>64.2</v>
      </c>
      <c r="Q108" s="92">
        <v>64</v>
      </c>
      <c r="R108" s="92">
        <v>64</v>
      </c>
      <c r="S108" s="92">
        <v>63.6</v>
      </c>
      <c r="T108" s="92">
        <v>64</v>
      </c>
      <c r="U108" s="92">
        <v>63.9</v>
      </c>
      <c r="V108" s="92">
        <v>65.5</v>
      </c>
      <c r="W108" s="92">
        <v>64.8</v>
      </c>
      <c r="X108" s="92">
        <v>64.3</v>
      </c>
      <c r="Y108" s="92">
        <v>63.9</v>
      </c>
      <c r="Z108" s="92">
        <v>63.4</v>
      </c>
      <c r="AA108" s="92">
        <v>64.2</v>
      </c>
      <c r="AB108" s="92">
        <v>64.8</v>
      </c>
      <c r="AC108" s="92">
        <v>65</v>
      </c>
      <c r="AD108" s="92">
        <v>64.900000000000006</v>
      </c>
      <c r="AE108" s="92">
        <v>64</v>
      </c>
      <c r="AF108" s="92">
        <v>64.7</v>
      </c>
      <c r="AG108" s="108"/>
      <c r="AH108" s="47">
        <f t="shared" si="10"/>
        <v>66.8</v>
      </c>
      <c r="AI108" s="48">
        <f t="shared" si="11"/>
        <v>63.4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0"/>
        <v>0</v>
      </c>
      <c r="AI109" s="48">
        <f t="shared" si="11"/>
        <v>0</v>
      </c>
    </row>
    <row r="110" spans="1:37" ht="15.75" thickBot="1" x14ac:dyDescent="0.3">
      <c r="A110" s="110" t="s">
        <v>126</v>
      </c>
      <c r="B110" s="111">
        <f t="shared" ref="B110:O110" si="17">SUM(B20,B26,B29:B30,B58,B60:B61,B63,B65,B111:B115,B138,B144,B150,B159,B161,B173,B180,B183:B184,B191,B193,B195,B199:B201,B203:B205,B210,B216:B217,B219:B221,B229,B234)</f>
        <v>114.6</v>
      </c>
      <c r="C110" s="111">
        <f t="shared" si="17"/>
        <v>105.44000000000001</v>
      </c>
      <c r="D110" s="111">
        <f t="shared" si="17"/>
        <v>95.740000000000009</v>
      </c>
      <c r="E110" s="111">
        <f t="shared" si="17"/>
        <v>66.040000000000006</v>
      </c>
      <c r="F110" s="111">
        <f t="shared" si="17"/>
        <v>66.34</v>
      </c>
      <c r="G110" s="111">
        <f t="shared" si="17"/>
        <v>98.34</v>
      </c>
      <c r="H110" s="111">
        <f t="shared" si="17"/>
        <v>53.94</v>
      </c>
      <c r="I110" s="111">
        <f t="shared" si="17"/>
        <v>130.54000000000002</v>
      </c>
      <c r="J110" s="111">
        <f t="shared" si="17"/>
        <v>139.94</v>
      </c>
      <c r="K110" s="111">
        <f t="shared" si="17"/>
        <v>159.63999999999996</v>
      </c>
      <c r="L110" s="111">
        <f t="shared" si="17"/>
        <v>166.93999999999997</v>
      </c>
      <c r="M110" s="111">
        <f t="shared" si="17"/>
        <v>192.14000000000001</v>
      </c>
      <c r="N110" s="111">
        <f t="shared" si="17"/>
        <v>193.03999999999996</v>
      </c>
      <c r="O110" s="111">
        <f t="shared" si="17"/>
        <v>181.84</v>
      </c>
      <c r="P110" s="111">
        <v>42</v>
      </c>
      <c r="Q110" s="111">
        <f t="shared" ref="Q110:AF110" si="18">SUM(Q20,Q26,Q29:Q30,Q58,Q60:Q61,Q63,Q65,Q111:Q115,Q138,Q144,Q150,Q159,Q161,Q173,Q180,Q183:Q184,Q191,Q193,Q195,Q199:Q201,Q203:Q205,Q210,Q216:Q217,Q219:Q221,Q229,Q234)</f>
        <v>211.79999999999998</v>
      </c>
      <c r="R110" s="111">
        <f t="shared" si="18"/>
        <v>196.90000000000003</v>
      </c>
      <c r="S110" s="111">
        <f t="shared" si="18"/>
        <v>187.2</v>
      </c>
      <c r="T110" s="111">
        <f t="shared" si="18"/>
        <v>183.39999999999998</v>
      </c>
      <c r="U110" s="111">
        <f t="shared" si="18"/>
        <v>184.10000000000002</v>
      </c>
      <c r="V110" s="111">
        <f t="shared" si="18"/>
        <v>170.90000000000003</v>
      </c>
      <c r="W110" s="111">
        <f t="shared" si="18"/>
        <v>163.90000000000003</v>
      </c>
      <c r="X110" s="111">
        <f t="shared" si="18"/>
        <v>176</v>
      </c>
      <c r="Y110" s="111">
        <f t="shared" si="18"/>
        <v>176.2</v>
      </c>
      <c r="Z110" s="111">
        <f t="shared" si="18"/>
        <v>217.2</v>
      </c>
      <c r="AA110" s="111">
        <f t="shared" si="18"/>
        <v>264.99999999999994</v>
      </c>
      <c r="AB110" s="111">
        <f t="shared" si="18"/>
        <v>220.69999999999996</v>
      </c>
      <c r="AC110" s="111">
        <f t="shared" si="18"/>
        <v>218.29999999999995</v>
      </c>
      <c r="AD110" s="111"/>
      <c r="AE110" s="111">
        <f t="shared" si="18"/>
        <v>132.19999999999999</v>
      </c>
      <c r="AF110" s="111">
        <f t="shared" si="18"/>
        <v>119.6</v>
      </c>
      <c r="AG110" s="112"/>
      <c r="AH110" s="47">
        <f t="shared" si="10"/>
        <v>264.99999999999994</v>
      </c>
      <c r="AI110" s="48">
        <f t="shared" si="11"/>
        <v>42</v>
      </c>
    </row>
    <row r="111" spans="1:37" x14ac:dyDescent="0.25">
      <c r="A111" s="100" t="s">
        <v>127</v>
      </c>
      <c r="B111" s="113">
        <v>-11.7</v>
      </c>
      <c r="C111" s="113">
        <v>-13.7</v>
      </c>
      <c r="D111" s="113">
        <v>-7.6</v>
      </c>
      <c r="E111" s="113">
        <v>7.3</v>
      </c>
      <c r="F111" s="113">
        <v>6.3</v>
      </c>
      <c r="G111" s="113">
        <v>3.8</v>
      </c>
      <c r="H111" s="113">
        <v>3.8</v>
      </c>
      <c r="I111" s="113">
        <v>37.1</v>
      </c>
      <c r="J111" s="113">
        <v>38</v>
      </c>
      <c r="K111" s="113">
        <v>40.700000000000003</v>
      </c>
      <c r="L111" s="113">
        <v>48.2</v>
      </c>
      <c r="M111" s="113">
        <v>40.299999999999997</v>
      </c>
      <c r="N111" s="113">
        <v>53.4</v>
      </c>
      <c r="O111" s="113">
        <v>41.6</v>
      </c>
      <c r="P111" s="113">
        <v>32.200000000000003</v>
      </c>
      <c r="Q111" s="113">
        <v>46.5</v>
      </c>
      <c r="R111" s="113">
        <v>61.9</v>
      </c>
      <c r="S111" s="113">
        <v>68.7</v>
      </c>
      <c r="T111" s="113">
        <v>57.7</v>
      </c>
      <c r="U111" s="113">
        <v>59.3</v>
      </c>
      <c r="V111" s="113">
        <v>50.2</v>
      </c>
      <c r="W111" s="113">
        <v>49.4</v>
      </c>
      <c r="X111" s="113">
        <v>48.7</v>
      </c>
      <c r="Y111" s="113">
        <v>53.4</v>
      </c>
      <c r="Z111" s="113">
        <v>59</v>
      </c>
      <c r="AA111" s="113">
        <v>48</v>
      </c>
      <c r="AB111" s="113">
        <v>49.6</v>
      </c>
      <c r="AC111" s="113">
        <v>48.2</v>
      </c>
      <c r="AD111" s="113">
        <v>69</v>
      </c>
      <c r="AE111" s="113">
        <v>72</v>
      </c>
      <c r="AF111" s="113">
        <v>63</v>
      </c>
      <c r="AG111" s="114">
        <v>75</v>
      </c>
      <c r="AH111" s="47">
        <f t="shared" si="10"/>
        <v>72</v>
      </c>
      <c r="AI111" s="48">
        <f t="shared" si="11"/>
        <v>-13.7</v>
      </c>
    </row>
    <row r="112" spans="1:37" x14ac:dyDescent="0.25">
      <c r="A112" s="103" t="s">
        <v>128</v>
      </c>
      <c r="B112" s="115">
        <v>-14.8</v>
      </c>
      <c r="C112" s="115">
        <v>-15.2</v>
      </c>
      <c r="D112" s="115">
        <v>-7.2</v>
      </c>
      <c r="E112" s="115">
        <v>1.5</v>
      </c>
      <c r="F112" s="115">
        <v>11.9</v>
      </c>
      <c r="G112" s="115">
        <v>8.6</v>
      </c>
      <c r="H112" s="115">
        <v>8.6</v>
      </c>
      <c r="I112" s="115">
        <v>59.7</v>
      </c>
      <c r="J112" s="115">
        <v>59.7</v>
      </c>
      <c r="K112" s="115">
        <v>63.9</v>
      </c>
      <c r="L112" s="115">
        <v>75.7</v>
      </c>
      <c r="M112" s="115">
        <v>61.8</v>
      </c>
      <c r="N112" s="115">
        <v>78.7</v>
      </c>
      <c r="O112" s="115">
        <v>65.400000000000006</v>
      </c>
      <c r="P112" s="115">
        <v>51.2</v>
      </c>
      <c r="Q112" s="115">
        <v>71</v>
      </c>
      <c r="R112" s="115">
        <v>93.3</v>
      </c>
      <c r="S112" s="115">
        <v>102.5</v>
      </c>
      <c r="T112" s="115">
        <v>87</v>
      </c>
      <c r="U112" s="115">
        <v>89</v>
      </c>
      <c r="V112" s="115">
        <v>75.5</v>
      </c>
      <c r="W112" s="115">
        <v>74.900000000000006</v>
      </c>
      <c r="X112" s="115">
        <v>75.3</v>
      </c>
      <c r="Y112" s="115">
        <v>81.599999999999994</v>
      </c>
      <c r="Z112" s="115">
        <v>88</v>
      </c>
      <c r="AA112" s="115">
        <v>73.599999999999994</v>
      </c>
      <c r="AB112" s="115">
        <v>74.3</v>
      </c>
      <c r="AC112" s="115">
        <v>71.2</v>
      </c>
      <c r="AD112" s="115">
        <v>46</v>
      </c>
      <c r="AE112" s="115">
        <v>50</v>
      </c>
      <c r="AF112" s="115">
        <v>38</v>
      </c>
      <c r="AG112" s="114">
        <v>240</v>
      </c>
      <c r="AH112" s="47">
        <f t="shared" si="10"/>
        <v>102.5</v>
      </c>
      <c r="AI112" s="48">
        <f t="shared" si="11"/>
        <v>-15.2</v>
      </c>
    </row>
    <row r="113" spans="1:37" x14ac:dyDescent="0.25">
      <c r="A113" s="103" t="s">
        <v>129</v>
      </c>
      <c r="B113" s="115">
        <v>-80</v>
      </c>
      <c r="C113" s="115">
        <v>-90</v>
      </c>
      <c r="D113" s="115">
        <v>-107</v>
      </c>
      <c r="E113" s="115">
        <v>-147.1</v>
      </c>
      <c r="F113" s="115">
        <v>-153.80000000000001</v>
      </c>
      <c r="G113" s="115">
        <v>-127.6</v>
      </c>
      <c r="H113" s="115">
        <v>-172</v>
      </c>
      <c r="I113" s="115">
        <v>-162</v>
      </c>
      <c r="J113" s="115">
        <v>-156.19999999999999</v>
      </c>
      <c r="K113" s="115">
        <v>-146</v>
      </c>
      <c r="L113" s="115">
        <v>-162.9</v>
      </c>
      <c r="M113" s="115">
        <v>-110.2</v>
      </c>
      <c r="N113" s="115">
        <v>-134</v>
      </c>
      <c r="O113" s="115">
        <v>-123</v>
      </c>
      <c r="P113" s="115">
        <v>-116.9</v>
      </c>
      <c r="Q113" s="115">
        <v>-124.6</v>
      </c>
      <c r="R113" s="115">
        <v>-165</v>
      </c>
      <c r="S113" s="115">
        <v>-180</v>
      </c>
      <c r="T113" s="115">
        <f>-77.6-82.4</f>
        <v>-160</v>
      </c>
      <c r="U113" s="115">
        <v>-147</v>
      </c>
      <c r="V113" s="115">
        <v>-149</v>
      </c>
      <c r="W113" s="115">
        <v>-142</v>
      </c>
      <c r="X113" s="115">
        <v>-130</v>
      </c>
      <c r="Y113" s="115">
        <v>-145</v>
      </c>
      <c r="Z113" s="115">
        <v>-120</v>
      </c>
      <c r="AA113" s="115">
        <v>-97</v>
      </c>
      <c r="AB113" s="115">
        <f>-70.2-54.9</f>
        <v>-125.1</v>
      </c>
      <c r="AC113" s="115">
        <f>-67.5-53.5</f>
        <v>-121</v>
      </c>
      <c r="AD113" s="115">
        <v>-124</v>
      </c>
      <c r="AE113" s="115">
        <v>-170</v>
      </c>
      <c r="AF113" s="115">
        <v>-160</v>
      </c>
      <c r="AG113" s="114">
        <v>240</v>
      </c>
      <c r="AH113" s="47">
        <f t="shared" si="10"/>
        <v>-80</v>
      </c>
      <c r="AI113" s="48">
        <f t="shared" si="11"/>
        <v>-180</v>
      </c>
    </row>
    <row r="114" spans="1:37" x14ac:dyDescent="0.25">
      <c r="A114" s="103" t="s">
        <v>130</v>
      </c>
      <c r="B114" s="115">
        <v>27</v>
      </c>
      <c r="C114" s="115">
        <v>26.1</v>
      </c>
      <c r="D114" s="115">
        <v>24.4</v>
      </c>
      <c r="E114" s="115">
        <v>6.1</v>
      </c>
      <c r="F114" s="115">
        <v>4.2</v>
      </c>
      <c r="G114" s="115">
        <v>15.8</v>
      </c>
      <c r="H114" s="115">
        <v>15.8</v>
      </c>
      <c r="I114" s="115">
        <v>-1</v>
      </c>
      <c r="J114" s="115">
        <v>1.8</v>
      </c>
      <c r="K114" s="115">
        <v>4.0999999999999996</v>
      </c>
      <c r="L114" s="115">
        <v>7.1</v>
      </c>
      <c r="M114" s="115">
        <v>6.3</v>
      </c>
      <c r="N114" s="115">
        <v>-3.7</v>
      </c>
      <c r="O114" s="115">
        <v>-5.2</v>
      </c>
      <c r="P114" s="115">
        <v>6.2</v>
      </c>
      <c r="Q114" s="115">
        <v>0.2</v>
      </c>
      <c r="R114" s="115">
        <v>-3</v>
      </c>
      <c r="S114" s="115">
        <v>-6</v>
      </c>
      <c r="T114" s="115">
        <v>-4.3</v>
      </c>
      <c r="U114" s="115">
        <v>-2</v>
      </c>
      <c r="V114" s="115">
        <v>7.5</v>
      </c>
      <c r="W114" s="115">
        <v>6</v>
      </c>
      <c r="X114" s="115">
        <v>6</v>
      </c>
      <c r="Y114" s="115">
        <v>2</v>
      </c>
      <c r="Z114" s="115">
        <v>6</v>
      </c>
      <c r="AA114" s="115">
        <v>43.2</v>
      </c>
      <c r="AB114" s="115">
        <v>25.1</v>
      </c>
      <c r="AC114" s="115">
        <v>23.1</v>
      </c>
      <c r="AD114" s="115">
        <v>16</v>
      </c>
      <c r="AE114" s="115">
        <v>-7</v>
      </c>
      <c r="AF114" s="115">
        <v>-10.6</v>
      </c>
      <c r="AG114" s="114">
        <v>60</v>
      </c>
      <c r="AH114" s="47">
        <f t="shared" si="10"/>
        <v>43.2</v>
      </c>
      <c r="AI114" s="48">
        <f t="shared" si="11"/>
        <v>-10.6</v>
      </c>
    </row>
    <row r="115" spans="1:37" x14ac:dyDescent="0.25">
      <c r="A115" s="116" t="s">
        <v>131</v>
      </c>
      <c r="B115" s="117">
        <v>25</v>
      </c>
      <c r="C115" s="117">
        <v>24.7</v>
      </c>
      <c r="D115" s="117">
        <v>24.6</v>
      </c>
      <c r="E115" s="117">
        <v>24.7</v>
      </c>
      <c r="F115" s="117">
        <v>24.2</v>
      </c>
      <c r="G115" s="117">
        <v>24.2</v>
      </c>
      <c r="H115" s="117">
        <v>24.2</v>
      </c>
      <c r="I115" s="117">
        <v>23.8</v>
      </c>
      <c r="J115" s="117">
        <v>23.7</v>
      </c>
      <c r="K115" s="117">
        <v>24</v>
      </c>
      <c r="L115" s="117">
        <v>23.9</v>
      </c>
      <c r="M115" s="117">
        <v>23.4</v>
      </c>
      <c r="N115" s="117">
        <v>23.7</v>
      </c>
      <c r="O115" s="117">
        <v>23.4</v>
      </c>
      <c r="P115" s="117">
        <v>23.7</v>
      </c>
      <c r="Q115" s="117">
        <v>24.8</v>
      </c>
      <c r="R115" s="117">
        <v>24.5</v>
      </c>
      <c r="S115" s="117">
        <v>21</v>
      </c>
      <c r="T115" s="117">
        <v>24.7</v>
      </c>
      <c r="U115" s="117">
        <v>17</v>
      </c>
      <c r="V115" s="117">
        <v>25</v>
      </c>
      <c r="W115" s="117">
        <v>25</v>
      </c>
      <c r="X115" s="117">
        <v>16</v>
      </c>
      <c r="Y115" s="117">
        <v>24</v>
      </c>
      <c r="Z115" s="117">
        <v>24</v>
      </c>
      <c r="AA115" s="117">
        <v>23</v>
      </c>
      <c r="AB115" s="117">
        <v>22.6</v>
      </c>
      <c r="AC115" s="117">
        <v>22.6</v>
      </c>
      <c r="AD115" s="117">
        <v>23</v>
      </c>
      <c r="AE115" s="117">
        <v>22</v>
      </c>
      <c r="AF115" s="117">
        <v>24</v>
      </c>
      <c r="AG115" s="118">
        <v>120</v>
      </c>
      <c r="AH115" s="47">
        <f t="shared" si="10"/>
        <v>25</v>
      </c>
      <c r="AI115" s="48">
        <f t="shared" si="11"/>
        <v>16</v>
      </c>
    </row>
    <row r="116" spans="1:37" x14ac:dyDescent="0.25">
      <c r="A116" s="116" t="s">
        <v>132</v>
      </c>
      <c r="B116" s="117">
        <v>91.4</v>
      </c>
      <c r="C116" s="117">
        <v>88.2</v>
      </c>
      <c r="D116" s="117">
        <v>59</v>
      </c>
      <c r="E116" s="117">
        <v>59.3</v>
      </c>
      <c r="F116" s="117">
        <v>64.599999999999994</v>
      </c>
      <c r="G116" s="117">
        <v>57.2</v>
      </c>
      <c r="H116" s="117">
        <v>57.2</v>
      </c>
      <c r="I116" s="117">
        <v>50.5</v>
      </c>
      <c r="J116" s="117">
        <v>39.1</v>
      </c>
      <c r="K116" s="117">
        <v>56.9</v>
      </c>
      <c r="L116" s="117">
        <v>42.3</v>
      </c>
      <c r="M116" s="117">
        <v>70.099999999999994</v>
      </c>
      <c r="N116" s="117">
        <v>57.2</v>
      </c>
      <c r="O116" s="117">
        <v>33.700000000000003</v>
      </c>
      <c r="P116" s="117">
        <v>46</v>
      </c>
      <c r="Q116" s="117">
        <v>60.4</v>
      </c>
      <c r="R116" s="117">
        <v>38.4</v>
      </c>
      <c r="S116" s="117">
        <v>35</v>
      </c>
      <c r="T116" s="117">
        <v>36.200000000000003</v>
      </c>
      <c r="U116" s="117">
        <v>40</v>
      </c>
      <c r="V116" s="117">
        <v>37</v>
      </c>
      <c r="W116" s="117">
        <v>32</v>
      </c>
      <c r="X116" s="117">
        <v>28</v>
      </c>
      <c r="Y116" s="117">
        <v>20</v>
      </c>
      <c r="Z116" s="117">
        <v>41</v>
      </c>
      <c r="AA116" s="117">
        <v>31</v>
      </c>
      <c r="AB116" s="117">
        <v>45.6</v>
      </c>
      <c r="AC116" s="117">
        <v>46.4</v>
      </c>
      <c r="AD116" s="117">
        <v>45</v>
      </c>
      <c r="AE116" s="117">
        <v>43</v>
      </c>
      <c r="AF116" s="117">
        <v>52</v>
      </c>
      <c r="AG116" s="118"/>
      <c r="AH116" s="47">
        <f t="shared" si="10"/>
        <v>91.4</v>
      </c>
      <c r="AI116" s="48">
        <f t="shared" si="11"/>
        <v>20</v>
      </c>
    </row>
    <row r="117" spans="1:37" x14ac:dyDescent="0.25">
      <c r="A117" s="116" t="s">
        <v>133</v>
      </c>
      <c r="B117" s="117">
        <v>52.3</v>
      </c>
      <c r="C117" s="117"/>
      <c r="D117" s="117"/>
      <c r="E117" s="117">
        <v>46.7</v>
      </c>
      <c r="F117" s="117">
        <v>45.4</v>
      </c>
      <c r="G117" s="117">
        <v>57</v>
      </c>
      <c r="H117" s="117">
        <v>57</v>
      </c>
      <c r="I117" s="117">
        <v>40.799999999999997</v>
      </c>
      <c r="J117" s="117">
        <v>42</v>
      </c>
      <c r="K117" s="117">
        <v>38</v>
      </c>
      <c r="L117" s="117">
        <v>31.9</v>
      </c>
      <c r="M117" s="117">
        <v>47.6</v>
      </c>
      <c r="N117" s="117">
        <v>28.5</v>
      </c>
      <c r="O117" s="117">
        <v>-4.5</v>
      </c>
      <c r="P117" s="117">
        <v>4.9000000000000004</v>
      </c>
      <c r="Q117" s="117">
        <v>27</v>
      </c>
      <c r="R117" s="117">
        <v>7.3</v>
      </c>
      <c r="S117" s="117">
        <v>8</v>
      </c>
      <c r="T117" s="117">
        <v>28.1</v>
      </c>
      <c r="U117" s="117">
        <v>25</v>
      </c>
      <c r="V117" s="117">
        <v>16.3</v>
      </c>
      <c r="W117" s="117">
        <v>16</v>
      </c>
      <c r="X117" s="117">
        <v>23</v>
      </c>
      <c r="Y117" s="117">
        <v>22</v>
      </c>
      <c r="Z117" s="117">
        <v>22</v>
      </c>
      <c r="AA117" s="117">
        <v>35</v>
      </c>
      <c r="AB117" s="117">
        <v>42.4</v>
      </c>
      <c r="AC117" s="117">
        <v>44.9</v>
      </c>
      <c r="AD117" s="117">
        <v>62</v>
      </c>
      <c r="AE117" s="117">
        <v>47</v>
      </c>
      <c r="AF117" s="117">
        <v>51</v>
      </c>
      <c r="AG117" s="119"/>
      <c r="AH117" s="47">
        <f t="shared" si="10"/>
        <v>62</v>
      </c>
      <c r="AI117" s="48">
        <f t="shared" si="11"/>
        <v>-4.5</v>
      </c>
    </row>
    <row r="118" spans="1:37" x14ac:dyDescent="0.25">
      <c r="A118" s="120" t="s">
        <v>134</v>
      </c>
      <c r="B118" s="106">
        <v>35.1</v>
      </c>
      <c r="C118" s="106">
        <v>36.799999999999997</v>
      </c>
      <c r="D118" s="106">
        <v>38.299999999999997</v>
      </c>
      <c r="E118" s="106">
        <v>39.9</v>
      </c>
      <c r="F118" s="106">
        <v>41.8</v>
      </c>
      <c r="G118" s="106">
        <v>43.7</v>
      </c>
      <c r="H118" s="106">
        <v>43.7</v>
      </c>
      <c r="I118" s="106">
        <v>42.7</v>
      </c>
      <c r="J118" s="106">
        <v>45.6</v>
      </c>
      <c r="K118" s="106">
        <v>42.9</v>
      </c>
      <c r="L118" s="106">
        <v>41</v>
      </c>
      <c r="M118" s="106">
        <v>39.6</v>
      </c>
      <c r="N118" s="106">
        <v>40.299999999999997</v>
      </c>
      <c r="O118" s="106">
        <v>37.4</v>
      </c>
      <c r="P118" s="106">
        <v>40.4</v>
      </c>
      <c r="Q118" s="106">
        <v>38.6</v>
      </c>
      <c r="R118" s="106">
        <v>41.5</v>
      </c>
      <c r="S118" s="106">
        <v>42</v>
      </c>
      <c r="T118" s="106">
        <v>47.8</v>
      </c>
      <c r="U118" s="106">
        <v>46</v>
      </c>
      <c r="V118" s="106">
        <v>39</v>
      </c>
      <c r="W118" s="106">
        <v>38</v>
      </c>
      <c r="X118" s="106">
        <v>28</v>
      </c>
      <c r="Y118" s="106">
        <v>32</v>
      </c>
      <c r="Z118" s="106">
        <v>22</v>
      </c>
      <c r="AA118" s="106">
        <v>20</v>
      </c>
      <c r="AB118" s="106">
        <v>22.6</v>
      </c>
      <c r="AC118" s="106">
        <v>21.4</v>
      </c>
      <c r="AD118" s="106">
        <v>24</v>
      </c>
      <c r="AE118" s="106">
        <v>32</v>
      </c>
      <c r="AF118" s="106">
        <v>35</v>
      </c>
      <c r="AG118" s="119"/>
      <c r="AH118" s="47">
        <f t="shared" si="10"/>
        <v>47.8</v>
      </c>
      <c r="AI118" s="48">
        <f t="shared" si="11"/>
        <v>20</v>
      </c>
    </row>
    <row r="119" spans="1:37" x14ac:dyDescent="0.25">
      <c r="A119" s="121" t="s">
        <v>135</v>
      </c>
      <c r="B119" s="106">
        <v>57.7</v>
      </c>
      <c r="C119" s="106">
        <v>52.4</v>
      </c>
      <c r="D119" s="106">
        <v>72.099999999999994</v>
      </c>
      <c r="E119" s="106">
        <v>85</v>
      </c>
      <c r="F119" s="106">
        <v>83.6</v>
      </c>
      <c r="G119" s="106">
        <v>66.400000000000006</v>
      </c>
      <c r="H119" s="106">
        <v>66.400000000000006</v>
      </c>
      <c r="I119" s="106">
        <v>86</v>
      </c>
      <c r="J119" s="106">
        <v>85</v>
      </c>
      <c r="K119" s="106">
        <v>69</v>
      </c>
      <c r="L119" s="106">
        <v>79.400000000000006</v>
      </c>
      <c r="M119" s="106">
        <v>52.3</v>
      </c>
      <c r="N119" s="106">
        <v>62.3</v>
      </c>
      <c r="O119" s="106">
        <v>95.7</v>
      </c>
      <c r="P119" s="106">
        <v>81.7</v>
      </c>
      <c r="Q119" s="106">
        <v>59.7</v>
      </c>
      <c r="R119" s="106">
        <v>70.8</v>
      </c>
      <c r="S119" s="106">
        <v>86</v>
      </c>
      <c r="T119" s="106">
        <v>73.8</v>
      </c>
      <c r="U119" s="106">
        <v>66</v>
      </c>
      <c r="V119" s="106">
        <v>79</v>
      </c>
      <c r="W119" s="106">
        <v>74</v>
      </c>
      <c r="X119" s="106">
        <v>66</v>
      </c>
      <c r="Y119" s="106">
        <v>70</v>
      </c>
      <c r="Z119" s="106">
        <v>56</v>
      </c>
      <c r="AA119" s="106">
        <v>67</v>
      </c>
      <c r="AB119" s="106">
        <v>60.9</v>
      </c>
      <c r="AC119" s="106">
        <v>57.6</v>
      </c>
      <c r="AD119" s="106">
        <v>70</v>
      </c>
      <c r="AE119" s="106">
        <v>82</v>
      </c>
      <c r="AF119" s="106">
        <v>81</v>
      </c>
      <c r="AG119" s="119"/>
      <c r="AH119" s="47">
        <f t="shared" si="10"/>
        <v>95.7</v>
      </c>
      <c r="AI119" s="48">
        <f t="shared" si="11"/>
        <v>52.3</v>
      </c>
    </row>
    <row r="120" spans="1:37" ht="15.75" thickBot="1" x14ac:dyDescent="0.3">
      <c r="A120" s="120" t="s">
        <v>136</v>
      </c>
      <c r="B120" s="106">
        <v>41.8</v>
      </c>
      <c r="C120" s="106">
        <v>43.9</v>
      </c>
      <c r="D120" s="106">
        <v>40.9</v>
      </c>
      <c r="E120" s="106">
        <v>33.200000000000003</v>
      </c>
      <c r="F120" s="106">
        <v>26.4</v>
      </c>
      <c r="G120" s="106">
        <v>22.6</v>
      </c>
      <c r="H120" s="106">
        <v>22.6</v>
      </c>
      <c r="I120" s="106">
        <v>40</v>
      </c>
      <c r="J120" s="106">
        <v>1.4</v>
      </c>
      <c r="K120" s="106">
        <v>10.4</v>
      </c>
      <c r="L120" s="106">
        <v>10.199999999999999</v>
      </c>
      <c r="M120" s="106">
        <v>13.1</v>
      </c>
      <c r="N120" s="106">
        <v>6.2</v>
      </c>
      <c r="O120" s="106">
        <v>12.8</v>
      </c>
      <c r="P120" s="106">
        <v>18.600000000000001</v>
      </c>
      <c r="Q120" s="106">
        <v>11.9</v>
      </c>
      <c r="R120" s="106">
        <v>12.9</v>
      </c>
      <c r="S120" s="106">
        <v>20</v>
      </c>
      <c r="T120" s="106">
        <v>35.6</v>
      </c>
      <c r="U120" s="106">
        <v>8</v>
      </c>
      <c r="V120" s="106">
        <v>12</v>
      </c>
      <c r="W120" s="106">
        <v>7</v>
      </c>
      <c r="X120" s="106">
        <v>14</v>
      </c>
      <c r="Y120" s="106">
        <v>19</v>
      </c>
      <c r="Z120" s="106">
        <v>33</v>
      </c>
      <c r="AA120" s="106">
        <v>44</v>
      </c>
      <c r="AB120" s="106">
        <v>45.7</v>
      </c>
      <c r="AC120" s="106">
        <v>46.9</v>
      </c>
      <c r="AD120" s="106">
        <v>48</v>
      </c>
      <c r="AE120" s="106">
        <v>43</v>
      </c>
      <c r="AF120" s="106">
        <v>32</v>
      </c>
      <c r="AG120" s="119"/>
      <c r="AH120" s="47">
        <f t="shared" si="10"/>
        <v>48</v>
      </c>
      <c r="AI120" s="48">
        <f t="shared" si="11"/>
        <v>1.4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19">SUM(B122:B226)</f>
        <v>0</v>
      </c>
      <c r="C227" s="137">
        <f t="shared" si="19"/>
        <v>0</v>
      </c>
      <c r="D227" s="137">
        <f t="shared" si="19"/>
        <v>0</v>
      </c>
      <c r="E227" s="137">
        <f t="shared" si="19"/>
        <v>0</v>
      </c>
      <c r="F227" s="137">
        <f t="shared" si="19"/>
        <v>0</v>
      </c>
      <c r="G227" s="137">
        <f t="shared" si="19"/>
        <v>0</v>
      </c>
      <c r="H227" s="137">
        <f t="shared" si="19"/>
        <v>0</v>
      </c>
      <c r="I227" s="137">
        <f t="shared" si="19"/>
        <v>0</v>
      </c>
      <c r="J227" s="137">
        <f t="shared" si="19"/>
        <v>0</v>
      </c>
      <c r="K227" s="137">
        <f t="shared" si="19"/>
        <v>0</v>
      </c>
      <c r="L227" s="137">
        <f t="shared" si="19"/>
        <v>0</v>
      </c>
      <c r="M227" s="137">
        <f t="shared" si="19"/>
        <v>0</v>
      </c>
      <c r="N227" s="137">
        <f t="shared" si="19"/>
        <v>0</v>
      </c>
      <c r="O227" s="137">
        <f t="shared" si="19"/>
        <v>0</v>
      </c>
      <c r="P227" s="137">
        <f t="shared" si="19"/>
        <v>0</v>
      </c>
      <c r="Q227" s="137">
        <f t="shared" si="19"/>
        <v>0</v>
      </c>
      <c r="R227" s="137">
        <f t="shared" si="19"/>
        <v>0</v>
      </c>
      <c r="S227" s="137">
        <f t="shared" si="19"/>
        <v>0</v>
      </c>
      <c r="T227" s="137">
        <f t="shared" si="19"/>
        <v>0</v>
      </c>
      <c r="U227" s="137">
        <f t="shared" si="19"/>
        <v>0</v>
      </c>
      <c r="V227" s="137">
        <f t="shared" si="19"/>
        <v>0</v>
      </c>
      <c r="W227" s="137">
        <f t="shared" si="19"/>
        <v>0</v>
      </c>
      <c r="X227" s="137">
        <f t="shared" si="19"/>
        <v>0</v>
      </c>
      <c r="Y227" s="137">
        <f t="shared" si="19"/>
        <v>0</v>
      </c>
      <c r="Z227" s="137">
        <f t="shared" si="19"/>
        <v>0</v>
      </c>
      <c r="AA227" s="137">
        <f t="shared" si="19"/>
        <v>0</v>
      </c>
      <c r="AB227" s="137">
        <f t="shared" si="19"/>
        <v>0</v>
      </c>
      <c r="AC227" s="137">
        <f t="shared" si="19"/>
        <v>0</v>
      </c>
      <c r="AD227" s="137">
        <f t="shared" si="19"/>
        <v>0</v>
      </c>
      <c r="AE227" s="137">
        <f t="shared" si="19"/>
        <v>0</v>
      </c>
      <c r="AF227" s="138">
        <f t="shared" si="19"/>
        <v>0</v>
      </c>
      <c r="AG227" s="139">
        <f t="shared" si="19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20">AF229</f>
        <v>0</v>
      </c>
      <c r="C229" s="141">
        <v>0.3</v>
      </c>
      <c r="D229" s="141">
        <f t="shared" ref="D229:P234" si="21">C229</f>
        <v>0.3</v>
      </c>
      <c r="E229" s="141">
        <f t="shared" si="21"/>
        <v>0.3</v>
      </c>
      <c r="F229" s="141">
        <f t="shared" si="21"/>
        <v>0.3</v>
      </c>
      <c r="G229" s="141">
        <f t="shared" si="21"/>
        <v>0.3</v>
      </c>
      <c r="H229" s="141">
        <f t="shared" si="21"/>
        <v>0.3</v>
      </c>
      <c r="I229" s="141">
        <f t="shared" si="21"/>
        <v>0.3</v>
      </c>
      <c r="J229" s="141">
        <f t="shared" si="21"/>
        <v>0.3</v>
      </c>
      <c r="K229" s="141">
        <f t="shared" si="21"/>
        <v>0.3</v>
      </c>
      <c r="L229" s="141">
        <f t="shared" si="21"/>
        <v>0.3</v>
      </c>
      <c r="M229" s="141">
        <f t="shared" si="21"/>
        <v>0.3</v>
      </c>
      <c r="N229" s="141">
        <f t="shared" si="21"/>
        <v>0.3</v>
      </c>
      <c r="O229" s="141">
        <f t="shared" si="21"/>
        <v>0.3</v>
      </c>
      <c r="P229" s="141">
        <f t="shared" si="21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20"/>
        <v>0</v>
      </c>
      <c r="C230" s="129">
        <v>0.4</v>
      </c>
      <c r="D230" s="129">
        <f t="shared" si="21"/>
        <v>0.4</v>
      </c>
      <c r="E230" s="129">
        <f t="shared" si="21"/>
        <v>0.4</v>
      </c>
      <c r="F230" s="129">
        <f t="shared" si="21"/>
        <v>0.4</v>
      </c>
      <c r="G230" s="129">
        <f t="shared" si="21"/>
        <v>0.4</v>
      </c>
      <c r="H230" s="129">
        <f t="shared" si="21"/>
        <v>0.4</v>
      </c>
      <c r="I230" s="129">
        <f t="shared" si="21"/>
        <v>0.4</v>
      </c>
      <c r="J230" s="129">
        <f t="shared" si="21"/>
        <v>0.4</v>
      </c>
      <c r="K230" s="129">
        <f t="shared" si="21"/>
        <v>0.4</v>
      </c>
      <c r="L230" s="129">
        <f t="shared" si="21"/>
        <v>0.4</v>
      </c>
      <c r="M230" s="129">
        <f t="shared" si="21"/>
        <v>0.4</v>
      </c>
      <c r="N230" s="129">
        <f t="shared" si="21"/>
        <v>0.4</v>
      </c>
      <c r="O230" s="129">
        <f t="shared" si="21"/>
        <v>0.4</v>
      </c>
      <c r="P230" s="129">
        <f t="shared" si="21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20"/>
        <v>0</v>
      </c>
      <c r="C231" s="129">
        <v>1.5</v>
      </c>
      <c r="D231" s="129">
        <f t="shared" si="21"/>
        <v>1.5</v>
      </c>
      <c r="E231" s="129">
        <f t="shared" si="21"/>
        <v>1.5</v>
      </c>
      <c r="F231" s="129">
        <f t="shared" si="21"/>
        <v>1.5</v>
      </c>
      <c r="G231" s="129">
        <f t="shared" si="21"/>
        <v>1.5</v>
      </c>
      <c r="H231" s="129">
        <f t="shared" si="21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21"/>
        <v>123.21900000000009</v>
      </c>
      <c r="K231" s="129">
        <f t="shared" ca="1" si="21"/>
        <v>123.21900000000009</v>
      </c>
      <c r="L231" s="129">
        <f t="shared" ca="1" si="21"/>
        <v>123.21900000000009</v>
      </c>
      <c r="M231" s="129">
        <f t="shared" ca="1" si="21"/>
        <v>119.19900000000008</v>
      </c>
      <c r="N231" s="129">
        <f t="shared" ca="1" si="21"/>
        <v>119.19900000000008</v>
      </c>
      <c r="O231" s="129">
        <f t="shared" ca="1" si="21"/>
        <v>119.19900000000008</v>
      </c>
      <c r="P231" s="129">
        <f t="shared" ca="1" si="21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20"/>
        <v>0</v>
      </c>
      <c r="C232" s="129">
        <v>0.3</v>
      </c>
      <c r="D232" s="129">
        <f t="shared" si="21"/>
        <v>0.3</v>
      </c>
      <c r="E232" s="129">
        <f t="shared" si="21"/>
        <v>0.3</v>
      </c>
      <c r="F232" s="129">
        <f t="shared" si="21"/>
        <v>0.3</v>
      </c>
      <c r="G232" s="129">
        <f t="shared" si="21"/>
        <v>0.3</v>
      </c>
      <c r="H232" s="129">
        <f t="shared" si="21"/>
        <v>0.3</v>
      </c>
      <c r="I232" s="129">
        <f t="shared" si="21"/>
        <v>0.3</v>
      </c>
      <c r="J232" s="129">
        <f t="shared" si="21"/>
        <v>0.3</v>
      </c>
      <c r="K232" s="129">
        <f t="shared" si="21"/>
        <v>0.3</v>
      </c>
      <c r="L232" s="129">
        <f t="shared" si="21"/>
        <v>0.3</v>
      </c>
      <c r="M232" s="129">
        <f t="shared" si="21"/>
        <v>0.3</v>
      </c>
      <c r="N232" s="129">
        <f t="shared" si="21"/>
        <v>0.3</v>
      </c>
      <c r="O232" s="129">
        <f t="shared" si="21"/>
        <v>0.3</v>
      </c>
      <c r="P232" s="129">
        <f t="shared" si="21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20"/>
        <v>0</v>
      </c>
      <c r="C233" s="129">
        <v>0.4</v>
      </c>
      <c r="D233" s="129">
        <f t="shared" si="21"/>
        <v>0.4</v>
      </c>
      <c r="E233" s="129">
        <f t="shared" si="21"/>
        <v>0.4</v>
      </c>
      <c r="F233" s="129">
        <f t="shared" si="21"/>
        <v>0.4</v>
      </c>
      <c r="G233" s="129">
        <f t="shared" si="21"/>
        <v>0.4</v>
      </c>
      <c r="H233" s="129">
        <f t="shared" si="21"/>
        <v>0.4</v>
      </c>
      <c r="I233" s="129">
        <f t="shared" si="21"/>
        <v>0.4</v>
      </c>
      <c r="J233" s="129">
        <f t="shared" si="21"/>
        <v>0.4</v>
      </c>
      <c r="K233" s="129">
        <f t="shared" si="21"/>
        <v>0.4</v>
      </c>
      <c r="L233" s="129">
        <f t="shared" si="21"/>
        <v>0.4</v>
      </c>
      <c r="M233" s="129">
        <f t="shared" si="21"/>
        <v>0.4</v>
      </c>
      <c r="N233" s="129">
        <f t="shared" si="21"/>
        <v>0.4</v>
      </c>
      <c r="O233" s="129">
        <f t="shared" si="21"/>
        <v>0.4</v>
      </c>
      <c r="P233" s="129">
        <f t="shared" si="21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20"/>
        <v>0</v>
      </c>
      <c r="C234" s="133">
        <v>0.64</v>
      </c>
      <c r="D234" s="133">
        <f t="shared" si="21"/>
        <v>0.64</v>
      </c>
      <c r="E234" s="133">
        <f t="shared" si="21"/>
        <v>0.64</v>
      </c>
      <c r="F234" s="133">
        <f t="shared" si="21"/>
        <v>0.64</v>
      </c>
      <c r="G234" s="133">
        <f t="shared" si="21"/>
        <v>0.64</v>
      </c>
      <c r="H234" s="133">
        <f t="shared" si="21"/>
        <v>0.64</v>
      </c>
      <c r="I234" s="133">
        <f t="shared" si="21"/>
        <v>0.64</v>
      </c>
      <c r="J234" s="133">
        <f t="shared" si="21"/>
        <v>0.64</v>
      </c>
      <c r="K234" s="133">
        <f t="shared" si="21"/>
        <v>0.64</v>
      </c>
      <c r="L234" s="133">
        <f t="shared" si="21"/>
        <v>0.64</v>
      </c>
      <c r="M234" s="133">
        <f t="shared" si="21"/>
        <v>0.64</v>
      </c>
      <c r="N234" s="133">
        <f t="shared" si="21"/>
        <v>0.64</v>
      </c>
      <c r="O234" s="133">
        <f t="shared" si="21"/>
        <v>0.64</v>
      </c>
      <c r="P234" s="133">
        <f t="shared" si="21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2">SUM(B229:B234)</f>
        <v>0</v>
      </c>
      <c r="C235" s="137">
        <f t="shared" si="22"/>
        <v>3.54</v>
      </c>
      <c r="D235" s="137">
        <f t="shared" si="22"/>
        <v>3.54</v>
      </c>
      <c r="E235" s="137">
        <f t="shared" si="22"/>
        <v>3.54</v>
      </c>
      <c r="F235" s="137">
        <f t="shared" si="22"/>
        <v>3.54</v>
      </c>
      <c r="G235" s="137">
        <f t="shared" si="22"/>
        <v>3.54</v>
      </c>
      <c r="H235" s="137">
        <f t="shared" si="22"/>
        <v>3.54</v>
      </c>
      <c r="I235" s="137">
        <f t="shared" ca="1" si="22"/>
        <v>121.23900000000009</v>
      </c>
      <c r="J235" s="137">
        <f t="shared" ca="1" si="22"/>
        <v>121.23900000000009</v>
      </c>
      <c r="K235" s="137">
        <f t="shared" ca="1" si="22"/>
        <v>121.23900000000009</v>
      </c>
      <c r="L235" s="137">
        <f t="shared" ca="1" si="22"/>
        <v>125.2590000000001</v>
      </c>
      <c r="M235" s="137">
        <f t="shared" ca="1" si="22"/>
        <v>121.23900000000009</v>
      </c>
      <c r="N235" s="137">
        <f t="shared" ca="1" si="22"/>
        <v>121.23900000000009</v>
      </c>
      <c r="O235" s="137">
        <f t="shared" ca="1" si="22"/>
        <v>121.23900000000009</v>
      </c>
      <c r="P235" s="137">
        <f t="shared" ca="1" si="22"/>
        <v>121.23900000000009</v>
      </c>
      <c r="Q235" s="137">
        <f t="shared" si="22"/>
        <v>0</v>
      </c>
      <c r="R235" s="137">
        <f t="shared" si="22"/>
        <v>0</v>
      </c>
      <c r="S235" s="137">
        <f t="shared" si="22"/>
        <v>0</v>
      </c>
      <c r="T235" s="137">
        <f t="shared" si="22"/>
        <v>0</v>
      </c>
      <c r="U235" s="137">
        <f t="shared" si="22"/>
        <v>0</v>
      </c>
      <c r="V235" s="137">
        <f t="shared" si="22"/>
        <v>0</v>
      </c>
      <c r="W235" s="137">
        <f t="shared" si="22"/>
        <v>0</v>
      </c>
      <c r="X235" s="137">
        <f t="shared" si="22"/>
        <v>0</v>
      </c>
      <c r="Y235" s="137">
        <f t="shared" si="22"/>
        <v>0</v>
      </c>
      <c r="Z235" s="137">
        <f t="shared" si="22"/>
        <v>0</v>
      </c>
      <c r="AA235" s="137">
        <f t="shared" si="22"/>
        <v>0</v>
      </c>
      <c r="AB235" s="137">
        <f t="shared" si="22"/>
        <v>0</v>
      </c>
      <c r="AC235" s="137">
        <f t="shared" si="22"/>
        <v>0</v>
      </c>
      <c r="AD235" s="137">
        <f t="shared" si="22"/>
        <v>0</v>
      </c>
      <c r="AE235" s="137">
        <f t="shared" si="22"/>
        <v>0</v>
      </c>
      <c r="AF235" s="137">
        <f t="shared" si="22"/>
        <v>0</v>
      </c>
      <c r="AG235" s="146">
        <f t="shared" si="22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1965.44</v>
      </c>
      <c r="C244" s="162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23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2080/03/23)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2080/03/23)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3">B91</f>
        <v>1950.74</v>
      </c>
      <c r="U249" s="171">
        <f t="shared" si="23"/>
        <v>1905.7400000000002</v>
      </c>
      <c r="V249" s="171">
        <f t="shared" si="23"/>
        <v>1910.1400000000003</v>
      </c>
      <c r="W249" s="171">
        <f t="shared" si="23"/>
        <v>1860.14</v>
      </c>
      <c r="X249" s="171">
        <f t="shared" si="23"/>
        <v>1908.54</v>
      </c>
      <c r="Y249" s="171">
        <f t="shared" si="23"/>
        <v>1861.44</v>
      </c>
      <c r="Z249" s="171">
        <f t="shared" si="23"/>
        <v>1861.44</v>
      </c>
      <c r="AA249" s="171">
        <f t="shared" si="23"/>
        <v>1913.8400000000001</v>
      </c>
      <c r="AB249" s="171">
        <f t="shared" si="23"/>
        <v>1922.0400000000002</v>
      </c>
      <c r="AC249" s="171">
        <f t="shared" si="23"/>
        <v>1926.3400000000001</v>
      </c>
      <c r="AD249" s="171">
        <f t="shared" si="23"/>
        <v>1965.44</v>
      </c>
      <c r="AE249" s="171">
        <f t="shared" si="23"/>
        <v>1922.5399999999997</v>
      </c>
      <c r="AF249" s="171">
        <f t="shared" si="23"/>
        <v>1934.1399999999999</v>
      </c>
      <c r="AG249" s="171">
        <f t="shared" si="23"/>
        <v>1962.74</v>
      </c>
      <c r="AH249" s="171">
        <f t="shared" si="23"/>
        <v>1938.2400000000002</v>
      </c>
      <c r="AI249" s="171">
        <f t="shared" si="23"/>
        <v>1913.14</v>
      </c>
      <c r="AJ249" s="171">
        <f t="shared" si="23"/>
        <v>1929.04</v>
      </c>
      <c r="AK249" s="171">
        <f t="shared" si="23"/>
        <v>1936.34</v>
      </c>
      <c r="AL249" s="171">
        <f t="shared" si="23"/>
        <v>1913.04</v>
      </c>
      <c r="AM249" s="171">
        <f t="shared" si="23"/>
        <v>1911.04</v>
      </c>
      <c r="AN249" s="171">
        <f t="shared" si="23"/>
        <v>1896.64</v>
      </c>
      <c r="AO249" s="171">
        <f t="shared" si="23"/>
        <v>1852.8400000000001</v>
      </c>
      <c r="AP249" s="171">
        <f t="shared" si="23"/>
        <v>1884.3400000000001</v>
      </c>
      <c r="AQ249" s="171">
        <f t="shared" si="23"/>
        <v>1890.8400000000001</v>
      </c>
      <c r="AR249" s="171">
        <f t="shared" si="23"/>
        <v>1884.14</v>
      </c>
      <c r="AS249" s="171">
        <f t="shared" si="23"/>
        <v>2030.44</v>
      </c>
      <c r="AT249" s="171">
        <f t="shared" si="23"/>
        <v>2010.1400000000003</v>
      </c>
      <c r="AU249" s="171">
        <f t="shared" si="23"/>
        <v>1990.0400000000002</v>
      </c>
      <c r="AV249" s="171">
        <f t="shared" si="23"/>
        <v>1988.2400000000002</v>
      </c>
      <c r="AW249" s="171">
        <f t="shared" si="23"/>
        <v>1940.2400000000002</v>
      </c>
      <c r="AX249" s="171">
        <f t="shared" si="23"/>
        <v>1923.2400000000002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24">C234</f>
        <v>0.64</v>
      </c>
      <c r="C270" s="174">
        <f t="shared" si="24"/>
        <v>0.64</v>
      </c>
      <c r="D270" s="174">
        <f t="shared" si="24"/>
        <v>0.64</v>
      </c>
      <c r="E270" s="174">
        <f t="shared" si="24"/>
        <v>0.64</v>
      </c>
      <c r="F270" s="174">
        <f t="shared" si="24"/>
        <v>0.64</v>
      </c>
      <c r="G270" s="174">
        <f t="shared" si="24"/>
        <v>0.64</v>
      </c>
      <c r="H270" s="174">
        <f t="shared" si="24"/>
        <v>0.64</v>
      </c>
      <c r="I270" s="174">
        <f t="shared" si="24"/>
        <v>0.64</v>
      </c>
      <c r="J270" s="174">
        <f t="shared" si="24"/>
        <v>0.64</v>
      </c>
      <c r="K270" s="174">
        <f t="shared" si="24"/>
        <v>0.64</v>
      </c>
      <c r="L270" s="174">
        <f t="shared" si="24"/>
        <v>0.64</v>
      </c>
      <c r="M270" s="174">
        <f t="shared" si="24"/>
        <v>0.64</v>
      </c>
      <c r="N270" s="174">
        <f t="shared" si="24"/>
        <v>0.64</v>
      </c>
      <c r="O270" s="174">
        <f t="shared" si="24"/>
        <v>0.64</v>
      </c>
      <c r="P270" s="174">
        <f t="shared" si="24"/>
        <v>0</v>
      </c>
      <c r="Q270" s="174">
        <f t="shared" si="24"/>
        <v>0</v>
      </c>
      <c r="R270" s="174">
        <f t="shared" si="24"/>
        <v>0</v>
      </c>
      <c r="S270" s="174">
        <f t="shared" si="24"/>
        <v>0</v>
      </c>
      <c r="T270" s="174">
        <f t="shared" si="24"/>
        <v>0</v>
      </c>
      <c r="U270" s="174">
        <f t="shared" si="24"/>
        <v>0</v>
      </c>
      <c r="V270" s="174">
        <f t="shared" si="24"/>
        <v>0</v>
      </c>
      <c r="W270" s="174">
        <f t="shared" si="24"/>
        <v>0</v>
      </c>
      <c r="X270" s="174">
        <f t="shared" si="24"/>
        <v>0</v>
      </c>
      <c r="Y270" s="174">
        <f t="shared" si="24"/>
        <v>0</v>
      </c>
      <c r="Z270" s="174">
        <f t="shared" si="24"/>
        <v>0</v>
      </c>
      <c r="AA270" s="174">
        <f t="shared" si="24"/>
        <v>0</v>
      </c>
      <c r="AB270" s="174">
        <f t="shared" si="24"/>
        <v>0</v>
      </c>
      <c r="AC270" s="174">
        <f t="shared" si="24"/>
        <v>0</v>
      </c>
      <c r="AD270" s="174">
        <f t="shared" si="24"/>
        <v>0</v>
      </c>
      <c r="AE270" s="174">
        <f t="shared" si="24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25">IF(B238&lt;100,"",B238-520)</f>
        <v/>
      </c>
      <c r="C271" s="175" t="str">
        <f t="shared" si="25"/>
        <v/>
      </c>
      <c r="D271" s="175" t="str">
        <f t="shared" si="25"/>
        <v/>
      </c>
      <c r="E271" s="175" t="str">
        <f t="shared" si="25"/>
        <v/>
      </c>
      <c r="F271" s="175" t="str">
        <f t="shared" si="25"/>
        <v/>
      </c>
      <c r="G271" s="175" t="str">
        <f t="shared" si="25"/>
        <v/>
      </c>
      <c r="H271" s="175" t="str">
        <f t="shared" si="25"/>
        <v/>
      </c>
      <c r="I271" s="175" t="str">
        <f t="shared" si="25"/>
        <v/>
      </c>
      <c r="J271" s="175" t="str">
        <f t="shared" si="25"/>
        <v/>
      </c>
      <c r="K271" s="175" t="str">
        <f t="shared" si="25"/>
        <v/>
      </c>
      <c r="L271" s="175" t="str">
        <f t="shared" si="25"/>
        <v/>
      </c>
      <c r="M271" s="175" t="str">
        <f t="shared" si="25"/>
        <v/>
      </c>
      <c r="N271" s="175" t="str">
        <f t="shared" si="25"/>
        <v/>
      </c>
      <c r="O271" s="175" t="str">
        <f t="shared" si="25"/>
        <v/>
      </c>
      <c r="P271" s="175" t="str">
        <f t="shared" si="25"/>
        <v/>
      </c>
      <c r="Q271" s="175" t="str">
        <f t="shared" si="25"/>
        <v/>
      </c>
      <c r="R271" s="175" t="str">
        <f t="shared" si="25"/>
        <v/>
      </c>
      <c r="S271" s="175" t="str">
        <f t="shared" si="25"/>
        <v/>
      </c>
      <c r="T271" s="175" t="str">
        <f t="shared" si="25"/>
        <v/>
      </c>
      <c r="U271" s="175" t="str">
        <f t="shared" si="25"/>
        <v/>
      </c>
      <c r="V271" s="175" t="str">
        <f t="shared" si="25"/>
        <v/>
      </c>
      <c r="W271" s="175" t="str">
        <f t="shared" si="25"/>
        <v/>
      </c>
      <c r="X271" s="175" t="str">
        <f t="shared" si="25"/>
        <v/>
      </c>
      <c r="Y271" s="175" t="str">
        <f t="shared" si="25"/>
        <v/>
      </c>
      <c r="Z271" s="175" t="str">
        <f t="shared" si="25"/>
        <v/>
      </c>
      <c r="AA271" s="175" t="str">
        <f t="shared" si="25"/>
        <v/>
      </c>
      <c r="AB271" s="175" t="str">
        <f t="shared" si="25"/>
        <v/>
      </c>
      <c r="AC271" s="175" t="str">
        <f t="shared" si="25"/>
        <v/>
      </c>
      <c r="AD271" s="175" t="str">
        <f t="shared" si="25"/>
        <v/>
      </c>
      <c r="AE271" s="175" t="str">
        <f t="shared" si="25"/>
        <v/>
      </c>
      <c r="AF271" s="175" t="str">
        <f t="shared" si="25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26">IF(B239&lt;100,"",B239-620)</f>
        <v/>
      </c>
      <c r="C272" s="175" t="str">
        <f t="shared" si="26"/>
        <v/>
      </c>
      <c r="D272" s="175" t="str">
        <f t="shared" si="26"/>
        <v/>
      </c>
      <c r="E272" s="175" t="str">
        <f t="shared" si="26"/>
        <v/>
      </c>
      <c r="F272" s="175" t="str">
        <f t="shared" si="26"/>
        <v/>
      </c>
      <c r="G272" s="175" t="str">
        <f t="shared" si="26"/>
        <v/>
      </c>
      <c r="H272" s="175" t="str">
        <f t="shared" si="26"/>
        <v/>
      </c>
      <c r="I272" s="175" t="str">
        <f t="shared" si="26"/>
        <v/>
      </c>
      <c r="J272" s="175" t="str">
        <f t="shared" si="26"/>
        <v/>
      </c>
      <c r="K272" s="175" t="str">
        <f t="shared" si="26"/>
        <v/>
      </c>
      <c r="L272" s="175" t="str">
        <f t="shared" si="26"/>
        <v/>
      </c>
      <c r="M272" s="175" t="str">
        <f t="shared" si="26"/>
        <v/>
      </c>
      <c r="N272" s="175" t="str">
        <f t="shared" si="26"/>
        <v/>
      </c>
      <c r="O272" s="175" t="str">
        <f t="shared" si="26"/>
        <v/>
      </c>
      <c r="P272" s="175" t="str">
        <f t="shared" si="26"/>
        <v/>
      </c>
      <c r="Q272" s="175" t="str">
        <f t="shared" si="26"/>
        <v/>
      </c>
      <c r="R272" s="175" t="str">
        <f t="shared" si="26"/>
        <v/>
      </c>
      <c r="S272" s="175" t="str">
        <f t="shared" si="26"/>
        <v/>
      </c>
      <c r="T272" s="175" t="str">
        <f t="shared" si="26"/>
        <v/>
      </c>
      <c r="U272" s="175" t="str">
        <f t="shared" si="26"/>
        <v/>
      </c>
      <c r="V272" s="175" t="str">
        <f t="shared" si="26"/>
        <v/>
      </c>
      <c r="W272" s="175" t="str">
        <f t="shared" si="26"/>
        <v/>
      </c>
      <c r="X272" s="175" t="str">
        <f t="shared" si="26"/>
        <v/>
      </c>
      <c r="Y272" s="175" t="str">
        <f t="shared" si="26"/>
        <v/>
      </c>
      <c r="Z272" s="175" t="str">
        <f t="shared" si="26"/>
        <v/>
      </c>
      <c r="AA272" s="175" t="str">
        <f t="shared" si="26"/>
        <v/>
      </c>
      <c r="AB272" s="175" t="str">
        <f t="shared" si="26"/>
        <v/>
      </c>
      <c r="AC272" s="175" t="str">
        <f t="shared" si="26"/>
        <v/>
      </c>
      <c r="AD272" s="175" t="str">
        <f t="shared" si="26"/>
        <v/>
      </c>
      <c r="AE272" s="175" t="str">
        <f t="shared" si="26"/>
        <v/>
      </c>
      <c r="AF272" s="175" t="str">
        <f t="shared" si="26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27">IF(B240&lt;100,"",B240-330)</f>
        <v/>
      </c>
      <c r="C273" s="175" t="str">
        <f t="shared" si="27"/>
        <v/>
      </c>
      <c r="D273" s="175" t="str">
        <f t="shared" si="27"/>
        <v/>
      </c>
      <c r="E273" s="175" t="str">
        <f t="shared" si="27"/>
        <v/>
      </c>
      <c r="F273" s="175" t="str">
        <f t="shared" si="27"/>
        <v/>
      </c>
      <c r="G273" s="175" t="str">
        <f t="shared" si="27"/>
        <v/>
      </c>
      <c r="H273" s="175" t="str">
        <f t="shared" si="27"/>
        <v/>
      </c>
      <c r="I273" s="175" t="str">
        <f t="shared" si="27"/>
        <v/>
      </c>
      <c r="J273" s="175" t="str">
        <f t="shared" si="27"/>
        <v/>
      </c>
      <c r="K273" s="175" t="str">
        <f t="shared" si="27"/>
        <v/>
      </c>
      <c r="L273" s="175" t="str">
        <f t="shared" si="27"/>
        <v/>
      </c>
      <c r="M273" s="175" t="str">
        <f t="shared" si="27"/>
        <v/>
      </c>
      <c r="N273" s="175" t="str">
        <f t="shared" si="27"/>
        <v/>
      </c>
      <c r="O273" s="175" t="str">
        <f t="shared" si="27"/>
        <v/>
      </c>
      <c r="P273" s="175" t="str">
        <f t="shared" si="27"/>
        <v/>
      </c>
      <c r="Q273" s="175" t="str">
        <f t="shared" si="27"/>
        <v/>
      </c>
      <c r="R273" s="175" t="str">
        <f t="shared" si="27"/>
        <v/>
      </c>
      <c r="S273" s="175" t="str">
        <f t="shared" si="27"/>
        <v/>
      </c>
      <c r="T273" s="175" t="str">
        <f t="shared" si="27"/>
        <v/>
      </c>
      <c r="U273" s="175" t="str">
        <f t="shared" si="27"/>
        <v/>
      </c>
      <c r="V273" s="175" t="str">
        <f t="shared" si="27"/>
        <v/>
      </c>
      <c r="W273" s="175" t="str">
        <f t="shared" si="27"/>
        <v/>
      </c>
      <c r="X273" s="175" t="str">
        <f t="shared" si="27"/>
        <v/>
      </c>
      <c r="Y273" s="175" t="str">
        <f t="shared" si="27"/>
        <v/>
      </c>
      <c r="Z273" s="175" t="str">
        <f t="shared" si="27"/>
        <v/>
      </c>
      <c r="AA273" s="175" t="str">
        <f t="shared" si="27"/>
        <v/>
      </c>
      <c r="AB273" s="175" t="str">
        <f t="shared" si="27"/>
        <v/>
      </c>
      <c r="AC273" s="175" t="str">
        <f t="shared" si="27"/>
        <v/>
      </c>
      <c r="AD273" s="175" t="str">
        <f t="shared" si="27"/>
        <v/>
      </c>
      <c r="AE273" s="175" t="str">
        <f t="shared" si="27"/>
        <v/>
      </c>
      <c r="AF273" s="175" t="str">
        <f t="shared" si="27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28">IF(B241&lt;100,"",B241-1500)</f>
        <v/>
      </c>
      <c r="C274" s="175" t="str">
        <f t="shared" si="28"/>
        <v/>
      </c>
      <c r="D274" s="175" t="str">
        <f t="shared" si="28"/>
        <v/>
      </c>
      <c r="E274" s="175" t="str">
        <f t="shared" si="28"/>
        <v/>
      </c>
      <c r="F274" s="175" t="str">
        <f t="shared" si="28"/>
        <v/>
      </c>
      <c r="G274" s="175" t="str">
        <f t="shared" si="28"/>
        <v/>
      </c>
      <c r="H274" s="175" t="str">
        <f t="shared" si="28"/>
        <v/>
      </c>
      <c r="I274" s="175" t="str">
        <f t="shared" si="28"/>
        <v/>
      </c>
      <c r="J274" s="175" t="str">
        <f t="shared" si="28"/>
        <v/>
      </c>
      <c r="K274" s="175" t="str">
        <f t="shared" si="28"/>
        <v/>
      </c>
      <c r="L274" s="175" t="str">
        <f t="shared" si="28"/>
        <v/>
      </c>
      <c r="M274" s="175" t="str">
        <f t="shared" si="28"/>
        <v/>
      </c>
      <c r="N274" s="175" t="str">
        <f t="shared" si="28"/>
        <v/>
      </c>
      <c r="O274" s="175" t="str">
        <f t="shared" si="28"/>
        <v/>
      </c>
      <c r="P274" s="175" t="str">
        <f t="shared" si="28"/>
        <v/>
      </c>
      <c r="Q274" s="175" t="str">
        <f t="shared" si="28"/>
        <v/>
      </c>
      <c r="R274" s="175" t="str">
        <f t="shared" si="28"/>
        <v/>
      </c>
      <c r="S274" s="175" t="str">
        <f t="shared" si="28"/>
        <v/>
      </c>
      <c r="T274" s="175" t="str">
        <f t="shared" si="28"/>
        <v/>
      </c>
      <c r="U274" s="175" t="str">
        <f t="shared" si="28"/>
        <v/>
      </c>
      <c r="V274" s="175" t="str">
        <f t="shared" si="28"/>
        <v/>
      </c>
      <c r="W274" s="175" t="str">
        <f t="shared" si="28"/>
        <v/>
      </c>
      <c r="X274" s="175" t="str">
        <f t="shared" si="28"/>
        <v/>
      </c>
      <c r="Y274" s="175" t="str">
        <f t="shared" si="28"/>
        <v/>
      </c>
      <c r="Z274" s="175" t="str">
        <f t="shared" si="28"/>
        <v/>
      </c>
      <c r="AA274" s="175" t="str">
        <f t="shared" si="28"/>
        <v/>
      </c>
      <c r="AB274" s="175" t="str">
        <f t="shared" si="28"/>
        <v/>
      </c>
      <c r="AC274" s="175" t="str">
        <f t="shared" si="28"/>
        <v/>
      </c>
      <c r="AD274" s="175" t="str">
        <f t="shared" si="28"/>
        <v/>
      </c>
      <c r="AE274" s="175" t="str">
        <f t="shared" si="28"/>
        <v/>
      </c>
      <c r="AF274" s="175" t="str">
        <f t="shared" si="28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36">
    <cfRule type="expression" dxfId="106" priority="156">
      <formula>$AH11=0</formula>
    </cfRule>
  </conditionalFormatting>
  <conditionalFormatting sqref="B8 M8 S8 AB8">
    <cfRule type="expression" dxfId="105" priority="410">
      <formula>C$9&lt;8/24</formula>
    </cfRule>
    <cfRule type="expression" dxfId="104" priority="409">
      <formula>AND(C$9&gt;=8/24,C$9&lt;14/24)</formula>
    </cfRule>
    <cfRule type="expression" dxfId="103" priority="408">
      <formula>AND(C$9&gt;=14/24,C$9&lt;20/24)</formula>
    </cfRule>
  </conditionalFormatting>
  <conditionalFormatting sqref="B101:D101">
    <cfRule type="expression" dxfId="102" priority="138">
      <formula>B$9&lt;8/24</formula>
    </cfRule>
  </conditionalFormatting>
  <conditionalFormatting sqref="B9:AF45">
    <cfRule type="expression" dxfId="101" priority="38">
      <formula>AND(B$9&gt;=14/24,B$9&lt;20/24)</formula>
    </cfRule>
    <cfRule type="expression" dxfId="100" priority="39">
      <formula>AND(B$9&gt;=8/24,B$9&lt;14/24)</formula>
    </cfRule>
    <cfRule type="expression" dxfId="99" priority="40">
      <formula>B$9&lt;8/24</formula>
    </cfRule>
    <cfRule type="expression" dxfId="98" priority="37">
      <formula>B$9&gt;=20/24</formula>
    </cfRule>
  </conditionalFormatting>
  <conditionalFormatting sqref="B11:AF46">
    <cfRule type="expression" dxfId="97" priority="35">
      <formula>B11&gt;$AG11</formula>
    </cfRule>
  </conditionalFormatting>
  <conditionalFormatting sqref="B46:AF46">
    <cfRule type="expression" dxfId="96" priority="31">
      <formula>B$9&gt;=20/24</formula>
    </cfRule>
    <cfRule type="expression" dxfId="95" priority="32">
      <formula>AND(B$9&gt;=14/24,B$9&lt;20/24)</formula>
    </cfRule>
    <cfRule type="expression" dxfId="94" priority="33">
      <formula>AND(B$9&gt;=8/24,B$9&lt;14/24)</formula>
    </cfRule>
    <cfRule type="expression" dxfId="93" priority="34">
      <formula>B$9&lt;8/24</formula>
    </cfRule>
  </conditionalFormatting>
  <conditionalFormatting sqref="B47:AF47">
    <cfRule type="expression" dxfId="92" priority="66">
      <formula>B47&gt;$AG47</formula>
    </cfRule>
  </conditionalFormatting>
  <conditionalFormatting sqref="B47:AF49">
    <cfRule type="expression" dxfId="91" priority="53">
      <formula>B$9&gt;=20/24</formula>
    </cfRule>
    <cfRule type="expression" dxfId="90" priority="54">
      <formula>AND(B$9&gt;=14/24,B$9&lt;20/24)</formula>
    </cfRule>
    <cfRule type="expression" dxfId="89" priority="55">
      <formula>AND(B$9&gt;=8/24,B$9&lt;14/24)</formula>
    </cfRule>
    <cfRule type="expression" dxfId="88" priority="56">
      <formula>B$9&lt;8/24</formula>
    </cfRule>
  </conditionalFormatting>
  <conditionalFormatting sqref="B48:AF49">
    <cfRule type="expression" dxfId="87" priority="52">
      <formula>B48&gt;$AG48</formula>
    </cfRule>
  </conditionalFormatting>
  <conditionalFormatting sqref="B51:AF53">
    <cfRule type="expression" dxfId="86" priority="107">
      <formula>B$9&lt;8/24</formula>
    </cfRule>
    <cfRule type="expression" dxfId="85" priority="106">
      <formula>AND(B$9&gt;=8/24,B$9&lt;14/24)</formula>
    </cfRule>
    <cfRule type="expression" dxfId="84" priority="105">
      <formula>AND(B$9&gt;=14/24,B$9&lt;20/24)</formula>
    </cfRule>
    <cfRule type="expression" dxfId="83" priority="104">
      <formula>B$9&gt;=20/24</formula>
    </cfRule>
    <cfRule type="expression" dxfId="82" priority="103">
      <formula>B51&gt;$AG51</formula>
    </cfRule>
  </conditionalFormatting>
  <conditionalFormatting sqref="B55:AF66">
    <cfRule type="expression" dxfId="81" priority="71">
      <formula>B$9&lt;8/24</formula>
    </cfRule>
    <cfRule type="expression" dxfId="80" priority="67">
      <formula>B55&gt;$AG55</formula>
    </cfRule>
    <cfRule type="expression" dxfId="79" priority="68">
      <formula>B$9&gt;=20/24</formula>
    </cfRule>
    <cfRule type="expression" dxfId="78" priority="69">
      <formula>AND(B$9&gt;=14/24,B$9&lt;20/24)</formula>
    </cfRule>
    <cfRule type="expression" dxfId="77" priority="70">
      <formula>AND(B$9&gt;=8/24,B$9&lt;14/24)</formula>
    </cfRule>
  </conditionalFormatting>
  <conditionalFormatting sqref="B69:AF71 B101:Y108">
    <cfRule type="expression" dxfId="76" priority="124">
      <formula>AND(B$9&gt;=8/24,B$9&lt;14/24)</formula>
    </cfRule>
    <cfRule type="expression" dxfId="75" priority="123">
      <formula>AND(B$9&gt;=14/24,B$9&lt;20/24)</formula>
    </cfRule>
    <cfRule type="expression" dxfId="74" priority="122">
      <formula>B$9&gt;=20/24</formula>
    </cfRule>
  </conditionalFormatting>
  <conditionalFormatting sqref="B69:AF71 B102:Y108">
    <cfRule type="expression" dxfId="73" priority="125">
      <formula>B$9&lt;8/24</formula>
    </cfRule>
  </conditionalFormatting>
  <conditionalFormatting sqref="B69:AF71">
    <cfRule type="expression" dxfId="72" priority="121">
      <formula>B69&gt;$AG69</formula>
    </cfRule>
  </conditionalFormatting>
  <conditionalFormatting sqref="B73:AF91">
    <cfRule type="expression" dxfId="71" priority="2">
      <formula>AND(B$9&gt;=14/24,B$9&lt;20/24)</formula>
    </cfRule>
    <cfRule type="expression" dxfId="70" priority="3">
      <formula>AND(B$9&gt;=8/24,B$9&lt;14/24)</formula>
    </cfRule>
    <cfRule type="expression" dxfId="69" priority="4">
      <formula>B$9&lt;8/24</formula>
    </cfRule>
    <cfRule type="expression" dxfId="68" priority="1">
      <formula>B$9&gt;=20/24</formula>
    </cfRule>
  </conditionalFormatting>
  <conditionalFormatting sqref="B109:AF109">
    <cfRule type="expression" dxfId="67" priority="99">
      <formula>B$9&gt;=20/24</formula>
    </cfRule>
    <cfRule type="expression" dxfId="66" priority="100">
      <formula>AND(B$9&gt;=14/24,B$9&lt;20/24)</formula>
    </cfRule>
    <cfRule type="expression" dxfId="65" priority="101">
      <formula>AND(B$9&gt;=8/24,B$9&lt;14/24)</formula>
    </cfRule>
    <cfRule type="expression" dxfId="64" priority="102">
      <formula>B$9&lt;8/24</formula>
    </cfRule>
  </conditionalFormatting>
  <conditionalFormatting sqref="B111:AF120">
    <cfRule type="expression" dxfId="63" priority="30">
      <formula>B$9&lt;8/24</formula>
    </cfRule>
    <cfRule type="expression" dxfId="62" priority="29">
      <formula>AND(B$9&gt;=8/24,B$9&lt;14/24)</formula>
    </cfRule>
    <cfRule type="expression" dxfId="61" priority="28">
      <formula>AND(B$9&gt;=14/24,B$9&lt;20/24)</formula>
    </cfRule>
    <cfRule type="expression" dxfId="60" priority="27">
      <formula>B$9&gt;=20/24</formula>
    </cfRule>
  </conditionalFormatting>
  <conditionalFormatting sqref="B50:AG50">
    <cfRule type="expression" dxfId="59" priority="51">
      <formula>B50&gt;$AG50</formula>
    </cfRule>
  </conditionalFormatting>
  <conditionalFormatting sqref="B54:AG54">
    <cfRule type="expression" dxfId="58" priority="76">
      <formula>B$9&lt;8/24</formula>
    </cfRule>
    <cfRule type="expression" dxfId="57" priority="74">
      <formula>AND(B$9&gt;=14/24,B$9&lt;20/24)</formula>
    </cfRule>
    <cfRule type="expression" dxfId="56" priority="73">
      <formula>B$9&gt;=20/24</formula>
    </cfRule>
    <cfRule type="expression" dxfId="55" priority="72">
      <formula>B54&gt;$AG54</formula>
    </cfRule>
    <cfRule type="expression" dxfId="54" priority="75">
      <formula>AND(B$9&gt;=8/24,B$9&lt;14/24)</formula>
    </cfRule>
  </conditionalFormatting>
  <conditionalFormatting sqref="B67:AG68 B72:AG72">
    <cfRule type="expression" dxfId="53" priority="81">
      <formula>B67&gt;$AG67</formula>
    </cfRule>
  </conditionalFormatting>
  <conditionalFormatting sqref="B72:AG72 B93:AF100">
    <cfRule type="expression" dxfId="52" priority="84">
      <formula>AND(B$9&gt;=8/24,B$9&lt;14/24)</formula>
    </cfRule>
    <cfRule type="expression" dxfId="51" priority="83">
      <formula>AND(B$9&gt;=14/24,B$9&lt;20/24)</formula>
    </cfRule>
    <cfRule type="expression" dxfId="50" priority="82">
      <formula>B$9&gt;=20/24</formula>
    </cfRule>
    <cfRule type="expression" dxfId="49" priority="85">
      <formula>B$9&lt;8/24</formula>
    </cfRule>
  </conditionalFormatting>
  <conditionalFormatting sqref="E101:AF101">
    <cfRule type="expression" dxfId="48" priority="295">
      <formula>E$9&lt;8/24</formula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47" priority="407">
      <formula>C$9&gt;=20/24</formula>
    </cfRule>
  </conditionalFormatting>
  <conditionalFormatting sqref="S8">
    <cfRule type="expression" dxfId="46" priority="382">
      <formula>AND(U$9&gt;=8/24,U$9&lt;14/24)</formula>
    </cfRule>
    <cfRule type="expression" dxfId="45" priority="383">
      <formula>U$9&lt;8/24</formula>
    </cfRule>
    <cfRule type="expression" dxfId="44" priority="381">
      <formula>AND(U$9&gt;=14/24,U$9&lt;20/24)</formula>
    </cfRule>
    <cfRule type="expression" dxfId="43" priority="380">
      <formula>U$9&gt;=20/24</formula>
    </cfRule>
  </conditionalFormatting>
  <conditionalFormatting sqref="T248">
    <cfRule type="expression" dxfId="42" priority="423">
      <formula>AX$9&lt;8/24</formula>
    </cfRule>
    <cfRule type="expression" dxfId="41" priority="420">
      <formula>AX$9&gt;=20/24</formula>
    </cfRule>
    <cfRule type="expression" dxfId="40" priority="421">
      <formula>AND(AX$9&gt;=14/24,AX$9&lt;20/24)</formula>
    </cfRule>
    <cfRule type="expression" dxfId="39" priority="422">
      <formula>AND(AX$9&gt;=8/24,AX$9&lt;14/24)</formula>
    </cfRule>
  </conditionalFormatting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Z101:AF101">
    <cfRule type="expression" dxfId="38" priority="292">
      <formula>Z$9&gt;=20/24</formula>
    </cfRule>
    <cfRule type="expression" dxfId="37" priority="293">
      <formula>AND(Z$9&gt;=14/24,Z$9&lt;20/24)</formula>
    </cfRule>
    <cfRule type="expression" dxfId="36" priority="294">
      <formula>AND(Z$9&gt;=8/24,Z$9&lt;14/24)</formula>
    </cfRule>
  </conditionalFormatting>
  <conditionalFormatting sqref="AB8">
    <cfRule type="expression" dxfId="35" priority="377">
      <formula>AND(AD$9&gt;=14/24,AD$9&lt;20/24)</formula>
    </cfRule>
    <cfRule type="expression" dxfId="34" priority="378">
      <formula>AND(AD$9&gt;=8/24,AD$9&lt;14/24)</formula>
    </cfRule>
    <cfRule type="expression" dxfId="33" priority="379">
      <formula>AD$9&lt;8/24</formula>
    </cfRule>
    <cfRule type="expression" dxfId="32" priority="376">
      <formula>AD$9&gt;=20/24</formula>
    </cfRule>
  </conditionalFormatting>
  <conditionalFormatting sqref="AB101:AB102 Z102:AA102 AC102:AD102 Z103:AD108 B227:AF227 D229:AF230 B229:B235 D231:H231 J231:AF231 D232:AF235 U248:AF248">
    <cfRule type="expression" dxfId="31" priority="401">
      <formula>B$9&gt;=20/24</formula>
    </cfRule>
    <cfRule type="expression" dxfId="30" priority="402">
      <formula>AND(B$9&gt;=14/24,B$9&lt;20/24)</formula>
    </cfRule>
    <cfRule type="expression" dxfId="29" priority="403">
      <formula>AND(B$9&gt;=8/24,B$9&lt;14/24)</formula>
    </cfRule>
    <cfRule type="expression" dxfId="28" priority="404">
      <formula>B$9&lt;8/24</formula>
    </cfRule>
  </conditionalFormatting>
  <conditionalFormatting sqref="AE102:AF108">
    <cfRule type="expression" dxfId="27" priority="362">
      <formula>AE$9&gt;=20/24</formula>
    </cfRule>
    <cfRule type="expression" dxfId="26" priority="364">
      <formula>AND(AE$9&gt;=8/24,AE$9&lt;14/24)</formula>
    </cfRule>
    <cfRule type="expression" dxfId="25" priority="363">
      <formula>AND(AE$9&gt;=14/24,AE$9&lt;20/24)</formula>
    </cfRule>
    <cfRule type="expression" dxfId="24" priority="365">
      <formula>AE$9&lt;8/24</formula>
    </cfRule>
  </conditionalFormatting>
  <conditionalFormatting sqref="AG89">
    <cfRule type="expression" dxfId="23" priority="336">
      <formula>AND(AG$9&gt;=8/24,AG$9&lt;14/24)</formula>
    </cfRule>
    <cfRule type="expression" dxfId="22" priority="337">
      <formula>AG$9&lt;8/24</formula>
    </cfRule>
    <cfRule type="expression" dxfId="21" priority="334">
      <formula>AG$9&gt;=20/24</formula>
    </cfRule>
    <cfRule type="expression" dxfId="20" priority="335">
      <formula>AND(AG$9&gt;=14/24,AG$9&lt;20/24)</formula>
    </cfRule>
  </conditionalFormatting>
  <conditionalFormatting sqref="AG248">
    <cfRule type="expression" dxfId="19" priority="414">
      <formula>AND(B$9&gt;=8/24,B$9&lt;14/24)</formula>
    </cfRule>
    <cfRule type="expression" dxfId="18" priority="412">
      <formula>B$9&gt;=20/24</formula>
    </cfRule>
    <cfRule type="expression" dxfId="17" priority="413">
      <formula>AND(B$9&gt;=14/24,B$9&lt;20/24)</formula>
    </cfRule>
    <cfRule type="expression" dxfId="16" priority="415">
      <formula>B$9&lt;8/24</formula>
    </cfRule>
  </conditionalFormatting>
  <conditionalFormatting sqref="AH248:AX248">
    <cfRule type="expression" dxfId="15" priority="416">
      <formula>AG$9&gt;=20/24</formula>
    </cfRule>
    <cfRule type="expression" dxfId="14" priority="417">
      <formula>AND(AG$9&gt;=14/24,AG$9&lt;20/24)</formula>
    </cfRule>
    <cfRule type="expression" dxfId="13" priority="418">
      <formula>AND(AG$9&gt;=8/24,AG$9&lt;14/24)</formula>
    </cfRule>
    <cfRule type="expression" dxfId="12" priority="419">
      <formula>AG$9&lt;8/24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11" priority="425">
      <formula>AJ$9&gt;=20/24</formula>
    </cfRule>
    <cfRule type="expression" dxfId="10" priority="426">
      <formula>AND(AJ$9&gt;=14/24,AJ$9&lt;20/24)</formula>
    </cfRule>
    <cfRule type="expression" dxfId="9" priority="427">
      <formula>AND(AJ$9&gt;=8/24,AJ$9&lt;14/24)</formula>
    </cfRule>
    <cfRule type="expression" dxfId="8" priority="428">
      <formula>AJ$9&lt;8/24</formula>
    </cfRule>
  </conditionalFormatting>
  <conditionalFormatting sqref="AL80:AN80 AL86:AN86">
    <cfRule type="expression" dxfId="7" priority="225">
      <formula>AL$9&gt;=20/24</formula>
    </cfRule>
    <cfRule type="expression" dxfId="6" priority="226">
      <formula>AND(AL$9&gt;=14/24,AL$9&lt;20/24)</formula>
    </cfRule>
    <cfRule type="expression" dxfId="5" priority="227">
      <formula>AND(AL$9&gt;=8/24,AL$9&lt;14/24)</formula>
    </cfRule>
    <cfRule type="expression" dxfId="4" priority="228">
      <formula>AL$9&lt;8/24</formula>
    </cfRule>
  </conditionalFormatting>
  <conditionalFormatting sqref="AN81:AN84">
    <cfRule type="expression" dxfId="3" priority="224">
      <formula>AN$9&lt;8/24</formula>
    </cfRule>
    <cfRule type="expression" dxfId="2" priority="221">
      <formula>AN$9&gt;=20/24</formula>
    </cfRule>
    <cfRule type="expression" dxfId="1" priority="222">
      <formula>AND(AN$9&gt;=14/24,AN$9&lt;20/24)</formula>
    </cfRule>
    <cfRule type="expression" dxfId="0" priority="223">
      <formula>AND(AN$9&gt;=8/24,AN$9&lt;14/24)</formula>
    </cfRule>
  </conditionalFormatting>
  <pageMargins left="0.7" right="0.7" top="0.75" bottom="0.75" header="0.3" footer="0.3"/>
  <pageSetup orientation="portrait" horizontalDpi="300" verticalDpi="300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B94F-B63F-4421-A799-A98D22C905FC}">
  <dimension ref="A1:CJ281"/>
  <sheetViews>
    <sheetView zoomScale="90" zoomScaleNormal="90" workbookViewId="0">
      <pane xSplit="1" ySplit="10" topLeftCell="B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C30" sqref="C3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7.7109375" style="1" customWidth="1"/>
    <col min="11" max="11" width="8.5703125" style="1" customWidth="1"/>
    <col min="12" max="12" width="6.42578125" style="1" customWidth="1"/>
    <col min="13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2080/03/24</v>
      </c>
      <c r="C4" s="187"/>
      <c r="D4" s="187"/>
      <c r="E4" s="188" t="str">
        <f ca="1">"2079/"&amp;"12/"&amp;INT(MID(CELL("filename",G6),FIND("]",CELL("filename",G6))+1,200))</f>
        <v>2079/12/24</v>
      </c>
      <c r="F4" s="188"/>
      <c r="G4" s="188"/>
      <c r="H4" s="188" t="str">
        <f ca="1">TEXT(E4,"dddd")</f>
        <v>Sunday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59.5</v>
      </c>
      <c r="C5" s="30">
        <f t="shared" si="0"/>
        <v>51.7</v>
      </c>
      <c r="D5" s="30">
        <f t="shared" si="0"/>
        <v>51.8</v>
      </c>
      <c r="E5" s="30">
        <f t="shared" si="0"/>
        <v>49.7</v>
      </c>
      <c r="F5" s="30">
        <f t="shared" si="0"/>
        <v>44.8</v>
      </c>
      <c r="G5" s="30">
        <f t="shared" si="0"/>
        <v>44.2</v>
      </c>
      <c r="H5" s="30">
        <f t="shared" si="0"/>
        <v>33.1</v>
      </c>
      <c r="I5" s="30">
        <f t="shared" si="0"/>
        <v>31.2</v>
      </c>
      <c r="J5" s="30">
        <f t="shared" si="0"/>
        <v>31.2</v>
      </c>
      <c r="K5" s="30">
        <f t="shared" si="0"/>
        <v>31.1</v>
      </c>
      <c r="L5" s="30">
        <f t="shared" si="0"/>
        <v>13.6</v>
      </c>
      <c r="M5" s="30">
        <f t="shared" si="0"/>
        <v>77.599999999999994</v>
      </c>
      <c r="N5" s="30">
        <f t="shared" si="0"/>
        <v>64.599999999999994</v>
      </c>
      <c r="O5" s="30">
        <f t="shared" si="0"/>
        <v>74.7</v>
      </c>
      <c r="P5" s="30">
        <f t="shared" si="0"/>
        <v>80.8</v>
      </c>
      <c r="Q5" s="30">
        <f t="shared" si="0"/>
        <v>66</v>
      </c>
      <c r="R5" s="30">
        <f t="shared" si="0"/>
        <v>39.299999999999997</v>
      </c>
      <c r="S5" s="30">
        <f t="shared" si="0"/>
        <v>51</v>
      </c>
      <c r="T5" s="30">
        <f t="shared" si="0"/>
        <v>50.1</v>
      </c>
      <c r="U5" s="30">
        <f t="shared" si="0"/>
        <v>59.2</v>
      </c>
      <c r="V5" s="30">
        <f t="shared" si="0"/>
        <v>67.199999999999989</v>
      </c>
      <c r="W5" s="30">
        <f t="shared" si="0"/>
        <v>14</v>
      </c>
      <c r="X5" s="30">
        <f t="shared" si="0"/>
        <v>25.2</v>
      </c>
      <c r="Y5" s="30">
        <f t="shared" si="0"/>
        <v>33.6</v>
      </c>
      <c r="Z5" s="30">
        <f t="shared" si="0"/>
        <v>73.8</v>
      </c>
      <c r="AA5" s="30">
        <f t="shared" si="0"/>
        <v>89.6</v>
      </c>
      <c r="AB5" s="30">
        <f t="shared" si="0"/>
        <v>84.2</v>
      </c>
      <c r="AC5" s="30">
        <f t="shared" si="0"/>
        <v>54.6</v>
      </c>
      <c r="AD5" s="30">
        <f t="shared" si="0"/>
        <v>92.5</v>
      </c>
      <c r="AE5" s="30">
        <f t="shared" si="0"/>
        <v>75</v>
      </c>
      <c r="AF5" s="30">
        <f>B84</f>
        <v>60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1934MW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Load=1867</v>
      </c>
      <c r="B7" s="35">
        <f t="shared" ref="B7:AF7" si="1">B91</f>
        <v>1923.2400000000002</v>
      </c>
      <c r="C7" s="35">
        <f t="shared" si="1"/>
        <v>1919.8400000000001</v>
      </c>
      <c r="D7" s="35">
        <f t="shared" si="1"/>
        <v>1913.0400000000002</v>
      </c>
      <c r="E7" s="35">
        <f t="shared" si="1"/>
        <v>1867.24</v>
      </c>
      <c r="F7" s="35">
        <f t="shared" si="1"/>
        <v>1881.44</v>
      </c>
      <c r="G7" s="35">
        <f t="shared" si="1"/>
        <v>1882.9399999999998</v>
      </c>
      <c r="H7" s="35">
        <f t="shared" si="1"/>
        <v>1897.84</v>
      </c>
      <c r="I7" s="35">
        <f t="shared" si="1"/>
        <v>1907.9399999999998</v>
      </c>
      <c r="J7" s="35">
        <f t="shared" si="1"/>
        <v>1922.44</v>
      </c>
      <c r="K7" s="35">
        <f t="shared" si="1"/>
        <v>1927.0400000000002</v>
      </c>
      <c r="L7" s="35">
        <f t="shared" si="1"/>
        <v>1926.94</v>
      </c>
      <c r="M7" s="35">
        <f t="shared" si="1"/>
        <v>1923.5399999999997</v>
      </c>
      <c r="N7" s="35">
        <f>N91</f>
        <v>1933.94</v>
      </c>
      <c r="O7" s="35">
        <f t="shared" si="1"/>
        <v>1934.34</v>
      </c>
      <c r="P7" s="35">
        <f t="shared" si="1"/>
        <v>1973.0400000000002</v>
      </c>
      <c r="Q7" s="35">
        <f t="shared" si="1"/>
        <v>2007.94</v>
      </c>
      <c r="R7" s="35">
        <f t="shared" si="1"/>
        <v>1958.3400000000001</v>
      </c>
      <c r="S7" s="35">
        <f t="shared" si="1"/>
        <v>1931.14</v>
      </c>
      <c r="T7" s="35">
        <f t="shared" si="1"/>
        <v>1984.2399999999998</v>
      </c>
      <c r="U7" s="35">
        <f t="shared" si="1"/>
        <v>1994.54</v>
      </c>
      <c r="V7" s="35">
        <f t="shared" si="1"/>
        <v>1980.64</v>
      </c>
      <c r="W7" s="35">
        <f t="shared" si="1"/>
        <v>2019.24</v>
      </c>
      <c r="X7" s="35">
        <f t="shared" si="1"/>
        <v>1960.2</v>
      </c>
      <c r="Y7" s="35">
        <f t="shared" si="1"/>
        <v>1904.8</v>
      </c>
      <c r="Z7" s="35">
        <f t="shared" si="1"/>
        <v>2027.4999999999998</v>
      </c>
      <c r="AA7" s="35">
        <f t="shared" si="1"/>
        <v>2078.1</v>
      </c>
      <c r="AB7" s="35">
        <f t="shared" si="1"/>
        <v>2118.2000000000003</v>
      </c>
      <c r="AC7" s="35">
        <f t="shared" si="1"/>
        <v>2078.6</v>
      </c>
      <c r="AD7" s="35">
        <f t="shared" si="1"/>
        <v>2065.9</v>
      </c>
      <c r="AE7" s="35">
        <f t="shared" si="1"/>
        <v>1970.04</v>
      </c>
      <c r="AF7" s="35">
        <f t="shared" si="1"/>
        <v>1953.5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60.3</v>
      </c>
      <c r="C11" s="45">
        <v>60.3</v>
      </c>
      <c r="D11" s="45">
        <v>60.3</v>
      </c>
      <c r="E11" s="45">
        <v>60.3</v>
      </c>
      <c r="F11" s="45">
        <v>60.3</v>
      </c>
      <c r="G11" s="45">
        <v>60.3</v>
      </c>
      <c r="H11" s="45">
        <v>60.3</v>
      </c>
      <c r="I11" s="45">
        <v>60.3</v>
      </c>
      <c r="J11" s="45">
        <v>60.3</v>
      </c>
      <c r="K11" s="45">
        <v>60.3</v>
      </c>
      <c r="L11" s="45">
        <v>60.3</v>
      </c>
      <c r="M11" s="45">
        <v>60.3</v>
      </c>
      <c r="N11" s="45">
        <v>60.3</v>
      </c>
      <c r="O11" s="45">
        <v>60.3</v>
      </c>
      <c r="P11" s="45">
        <v>60.3</v>
      </c>
      <c r="Q11" s="45">
        <v>60.3</v>
      </c>
      <c r="R11" s="45">
        <v>60.3</v>
      </c>
      <c r="S11" s="45">
        <v>60.3</v>
      </c>
      <c r="T11" s="45">
        <v>60.3</v>
      </c>
      <c r="U11" s="45">
        <v>60.3</v>
      </c>
      <c r="V11" s="45">
        <v>60.3</v>
      </c>
      <c r="W11" s="45">
        <v>60.3</v>
      </c>
      <c r="X11" s="45">
        <v>60.3</v>
      </c>
      <c r="Y11" s="45">
        <v>60.3</v>
      </c>
      <c r="Z11" s="45">
        <v>60.3</v>
      </c>
      <c r="AA11" s="45">
        <v>60.3</v>
      </c>
      <c r="AB11" s="45">
        <v>60.1</v>
      </c>
      <c r="AC11" s="45">
        <v>60.1</v>
      </c>
      <c r="AD11" s="45">
        <v>60.1</v>
      </c>
      <c r="AE11" s="45">
        <v>60.1</v>
      </c>
      <c r="AF11" s="45">
        <v>60.1</v>
      </c>
      <c r="AG11" s="46">
        <v>86</v>
      </c>
      <c r="AH11" s="47">
        <f t="shared" ref="AH11:AH76" si="2">MAX(B11:AF11)</f>
        <v>60.3</v>
      </c>
      <c r="AI11" s="48">
        <f t="shared" ref="AI11:AI76" si="3">MIN(B11:AF11)</f>
        <v>60.1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20</v>
      </c>
      <c r="C12" s="45">
        <v>0</v>
      </c>
      <c r="D12" s="45">
        <v>0</v>
      </c>
      <c r="E12" s="45">
        <v>5</v>
      </c>
      <c r="F12" s="45">
        <v>9</v>
      </c>
      <c r="G12" s="45">
        <v>9</v>
      </c>
      <c r="H12" s="45">
        <v>15</v>
      </c>
      <c r="I12" s="45">
        <v>16</v>
      </c>
      <c r="J12" s="45">
        <v>20</v>
      </c>
      <c r="K12" s="45">
        <v>20</v>
      </c>
      <c r="L12" s="45">
        <v>20</v>
      </c>
      <c r="M12" s="45">
        <v>26</v>
      </c>
      <c r="N12" s="45">
        <v>26</v>
      </c>
      <c r="O12" s="45">
        <v>26</v>
      </c>
      <c r="P12" s="45">
        <v>26</v>
      </c>
      <c r="Q12" s="45">
        <v>26</v>
      </c>
      <c r="R12" s="45">
        <v>26</v>
      </c>
      <c r="S12" s="45">
        <v>26</v>
      </c>
      <c r="T12" s="45">
        <v>26</v>
      </c>
      <c r="U12" s="45">
        <v>27</v>
      </c>
      <c r="V12" s="45">
        <v>27</v>
      </c>
      <c r="W12" s="45">
        <v>27</v>
      </c>
      <c r="X12" s="45">
        <v>9</v>
      </c>
      <c r="Y12" s="45">
        <v>9</v>
      </c>
      <c r="Z12" s="45">
        <v>27</v>
      </c>
      <c r="AA12" s="45">
        <v>27</v>
      </c>
      <c r="AB12" s="45">
        <v>27</v>
      </c>
      <c r="AC12" s="45">
        <v>27</v>
      </c>
      <c r="AD12" s="45">
        <v>27</v>
      </c>
      <c r="AE12" s="45">
        <v>27</v>
      </c>
      <c r="AF12" s="45">
        <v>27</v>
      </c>
      <c r="AG12" s="49">
        <v>54</v>
      </c>
      <c r="AH12" s="47">
        <f t="shared" si="2"/>
        <v>27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54.7</v>
      </c>
      <c r="C13" s="45">
        <v>54.7</v>
      </c>
      <c r="D13" s="45">
        <v>54.7</v>
      </c>
      <c r="E13" s="45">
        <v>54.7</v>
      </c>
      <c r="F13" s="45">
        <v>54.7</v>
      </c>
      <c r="G13" s="45">
        <v>54.7</v>
      </c>
      <c r="H13" s="45">
        <v>54.7</v>
      </c>
      <c r="I13" s="45">
        <v>54.8</v>
      </c>
      <c r="J13" s="45">
        <v>54.8</v>
      </c>
      <c r="K13" s="45">
        <v>54.8</v>
      </c>
      <c r="L13" s="45">
        <v>54.8</v>
      </c>
      <c r="M13" s="45">
        <v>54.8</v>
      </c>
      <c r="N13" s="45">
        <v>54.8</v>
      </c>
      <c r="O13" s="45">
        <v>54.8</v>
      </c>
      <c r="P13" s="45">
        <v>54.8</v>
      </c>
      <c r="Q13" s="45">
        <v>54.8</v>
      </c>
      <c r="R13" s="45">
        <v>54.8</v>
      </c>
      <c r="S13" s="45">
        <v>54.8</v>
      </c>
      <c r="T13" s="45">
        <v>54.8</v>
      </c>
      <c r="U13" s="45">
        <v>54.7</v>
      </c>
      <c r="V13" s="45">
        <v>54.7</v>
      </c>
      <c r="W13" s="45">
        <v>54.7</v>
      </c>
      <c r="X13" s="45">
        <v>54.7</v>
      </c>
      <c r="Y13" s="45">
        <v>54.7</v>
      </c>
      <c r="Z13" s="45">
        <v>54.7</v>
      </c>
      <c r="AA13" s="45">
        <v>54.7</v>
      </c>
      <c r="AB13" s="45">
        <v>54.8</v>
      </c>
      <c r="AC13" s="45">
        <v>54.8</v>
      </c>
      <c r="AD13" s="45">
        <v>54.8</v>
      </c>
      <c r="AE13" s="45">
        <v>54.8</v>
      </c>
      <c r="AF13" s="45">
        <v>54.7</v>
      </c>
      <c r="AG13" s="46">
        <v>52.4</v>
      </c>
      <c r="AH13" s="47">
        <f t="shared" si="2"/>
        <v>54.8</v>
      </c>
      <c r="AI13" s="48">
        <f t="shared" si="3"/>
        <v>54.7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50.5</v>
      </c>
      <c r="C14" s="50">
        <v>50.5</v>
      </c>
      <c r="D14" s="50">
        <v>50.5</v>
      </c>
      <c r="E14" s="50">
        <v>50.5</v>
      </c>
      <c r="F14" s="50">
        <v>50.5</v>
      </c>
      <c r="G14" s="50">
        <v>50.5</v>
      </c>
      <c r="H14" s="50">
        <v>50.5</v>
      </c>
      <c r="I14" s="50">
        <v>50.2</v>
      </c>
      <c r="J14" s="50">
        <v>50.2</v>
      </c>
      <c r="K14" s="50">
        <v>50.2</v>
      </c>
      <c r="L14" s="50">
        <v>50.2</v>
      </c>
      <c r="M14" s="50">
        <v>50.2</v>
      </c>
      <c r="N14" s="50">
        <v>50.2</v>
      </c>
      <c r="O14" s="50">
        <v>50.2</v>
      </c>
      <c r="P14" s="50">
        <v>50.2</v>
      </c>
      <c r="Q14" s="50">
        <v>50.2</v>
      </c>
      <c r="R14" s="50">
        <v>50.2</v>
      </c>
      <c r="S14" s="50">
        <v>50.2</v>
      </c>
      <c r="T14" s="50">
        <v>50.2</v>
      </c>
      <c r="U14" s="50">
        <v>50.5</v>
      </c>
      <c r="V14" s="50">
        <v>50.5</v>
      </c>
      <c r="W14" s="50">
        <v>50.5</v>
      </c>
      <c r="X14" s="50">
        <v>50.5</v>
      </c>
      <c r="Y14" s="50">
        <v>50.5</v>
      </c>
      <c r="Z14" s="50">
        <v>50.5</v>
      </c>
      <c r="AA14" s="45">
        <v>50.5</v>
      </c>
      <c r="AB14" s="45">
        <v>50.3</v>
      </c>
      <c r="AC14" s="45">
        <v>50.3</v>
      </c>
      <c r="AD14" s="45">
        <v>50.3</v>
      </c>
      <c r="AE14" s="45">
        <v>50.3</v>
      </c>
      <c r="AF14" s="45">
        <v>50.1</v>
      </c>
      <c r="AG14" s="49">
        <v>50</v>
      </c>
      <c r="AH14" s="47">
        <f t="shared" si="2"/>
        <v>50.5</v>
      </c>
      <c r="AI14" s="48">
        <f t="shared" si="3"/>
        <v>50.1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45.7</v>
      </c>
      <c r="C15" s="45">
        <v>45.7</v>
      </c>
      <c r="D15" s="45">
        <v>45.7</v>
      </c>
      <c r="E15" s="45">
        <v>40.6</v>
      </c>
      <c r="F15" s="45">
        <v>40.6</v>
      </c>
      <c r="G15" s="45">
        <v>45</v>
      </c>
      <c r="H15" s="45">
        <v>45</v>
      </c>
      <c r="I15" s="45">
        <v>45</v>
      </c>
      <c r="J15" s="45">
        <v>45</v>
      </c>
      <c r="K15" s="45">
        <v>45</v>
      </c>
      <c r="L15" s="45">
        <v>45</v>
      </c>
      <c r="M15" s="45">
        <v>45</v>
      </c>
      <c r="N15" s="45">
        <v>45</v>
      </c>
      <c r="O15" s="45">
        <v>45</v>
      </c>
      <c r="P15" s="45">
        <v>45</v>
      </c>
      <c r="Q15" s="45">
        <v>45</v>
      </c>
      <c r="R15" s="45">
        <v>45</v>
      </c>
      <c r="S15" s="45">
        <v>45</v>
      </c>
      <c r="T15" s="45">
        <v>45</v>
      </c>
      <c r="U15" s="45">
        <v>45.7</v>
      </c>
      <c r="V15" s="45">
        <v>45.7</v>
      </c>
      <c r="W15" s="45">
        <v>45.7</v>
      </c>
      <c r="X15" s="45">
        <v>45.7</v>
      </c>
      <c r="Y15" s="45">
        <v>45.7</v>
      </c>
      <c r="Z15" s="45">
        <v>45.7</v>
      </c>
      <c r="AA15" s="45">
        <v>45.7</v>
      </c>
      <c r="AB15" s="45">
        <v>45.7</v>
      </c>
      <c r="AC15" s="45">
        <v>45.7</v>
      </c>
      <c r="AD15" s="45">
        <v>45.7</v>
      </c>
      <c r="AE15" s="45">
        <v>45.7</v>
      </c>
      <c r="AF15" s="45">
        <v>45.7</v>
      </c>
      <c r="AG15" s="49">
        <v>45</v>
      </c>
      <c r="AH15" s="47">
        <f t="shared" si="2"/>
        <v>45.7</v>
      </c>
      <c r="AI15" s="48">
        <f t="shared" si="3"/>
        <v>40.6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0</v>
      </c>
      <c r="C16" s="45">
        <v>43</v>
      </c>
      <c r="D16" s="45">
        <v>44</v>
      </c>
      <c r="E16" s="45">
        <v>42</v>
      </c>
      <c r="F16" s="45">
        <v>42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42</v>
      </c>
      <c r="C17" s="45">
        <v>42</v>
      </c>
      <c r="D17" s="45">
        <v>42</v>
      </c>
      <c r="E17" s="45">
        <v>27</v>
      </c>
      <c r="F17" s="45">
        <v>27</v>
      </c>
      <c r="G17" s="45">
        <v>27</v>
      </c>
      <c r="H17" s="45">
        <v>27</v>
      </c>
      <c r="I17" s="45">
        <v>32</v>
      </c>
      <c r="J17" s="45">
        <v>42</v>
      </c>
      <c r="K17" s="45">
        <v>42</v>
      </c>
      <c r="L17" s="45">
        <v>42</v>
      </c>
      <c r="M17" s="45">
        <v>36</v>
      </c>
      <c r="N17" s="45">
        <v>36</v>
      </c>
      <c r="O17" s="45">
        <v>36</v>
      </c>
      <c r="P17" s="45">
        <v>36</v>
      </c>
      <c r="Q17" s="45">
        <v>36</v>
      </c>
      <c r="R17" s="45">
        <v>36</v>
      </c>
      <c r="S17" s="45">
        <v>36</v>
      </c>
      <c r="T17" s="45">
        <v>42.2</v>
      </c>
      <c r="U17" s="45">
        <v>42.2</v>
      </c>
      <c r="V17" s="45">
        <v>33</v>
      </c>
      <c r="W17" s="45">
        <v>33</v>
      </c>
      <c r="X17" s="45">
        <v>33</v>
      </c>
      <c r="Y17" s="45">
        <v>29</v>
      </c>
      <c r="Z17" s="45">
        <v>40</v>
      </c>
      <c r="AA17" s="45">
        <v>40</v>
      </c>
      <c r="AB17" s="45">
        <v>42.2</v>
      </c>
      <c r="AC17" s="45">
        <v>42.2</v>
      </c>
      <c r="AD17" s="45">
        <v>42.2</v>
      </c>
      <c r="AE17" s="45">
        <v>32</v>
      </c>
      <c r="AF17" s="45">
        <v>32</v>
      </c>
      <c r="AG17" s="49">
        <v>42</v>
      </c>
      <c r="AH17" s="47">
        <f t="shared" si="2"/>
        <v>42.2</v>
      </c>
      <c r="AI17" s="48">
        <f t="shared" si="3"/>
        <v>27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0</v>
      </c>
      <c r="AG18" s="49">
        <v>38.46</v>
      </c>
      <c r="AH18" s="47">
        <f t="shared" si="2"/>
        <v>38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9">
        <v>36</v>
      </c>
      <c r="AH19" s="47">
        <f t="shared" si="2"/>
        <v>0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15</v>
      </c>
      <c r="C20" s="45">
        <v>15</v>
      </c>
      <c r="D20" s="45">
        <v>15</v>
      </c>
      <c r="E20" s="45">
        <v>0</v>
      </c>
      <c r="F20" s="45">
        <v>0</v>
      </c>
      <c r="G20" s="45">
        <v>0</v>
      </c>
      <c r="H20" s="45">
        <v>0</v>
      </c>
      <c r="I20" s="45">
        <v>15</v>
      </c>
      <c r="J20" s="45">
        <v>15</v>
      </c>
      <c r="K20" s="45">
        <v>15</v>
      </c>
      <c r="L20" s="45">
        <v>15</v>
      </c>
      <c r="M20" s="45">
        <v>25.6</v>
      </c>
      <c r="N20" s="45">
        <v>25.6</v>
      </c>
      <c r="O20" s="45">
        <v>25.6</v>
      </c>
      <c r="P20" s="45">
        <v>30</v>
      </c>
      <c r="Q20" s="45">
        <v>30</v>
      </c>
      <c r="R20" s="45">
        <v>30</v>
      </c>
      <c r="S20" s="45">
        <v>30</v>
      </c>
      <c r="T20" s="45">
        <v>30</v>
      </c>
      <c r="U20" s="45">
        <v>30</v>
      </c>
      <c r="V20" s="45">
        <v>30</v>
      </c>
      <c r="W20" s="45">
        <v>30</v>
      </c>
      <c r="X20" s="45">
        <v>30</v>
      </c>
      <c r="Y20" s="45">
        <v>5.4</v>
      </c>
      <c r="Z20" s="45">
        <v>30</v>
      </c>
      <c r="AA20" s="45">
        <v>30</v>
      </c>
      <c r="AB20" s="45">
        <v>30.1</v>
      </c>
      <c r="AC20" s="45">
        <v>30.1</v>
      </c>
      <c r="AD20" s="45">
        <v>30.1</v>
      </c>
      <c r="AE20" s="45">
        <v>30.1</v>
      </c>
      <c r="AF20" s="45">
        <v>30.1</v>
      </c>
      <c r="AG20" s="51">
        <v>30</v>
      </c>
      <c r="AH20" s="47">
        <f t="shared" si="2"/>
        <v>30.1</v>
      </c>
      <c r="AI20" s="48">
        <f t="shared" si="3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20.6</v>
      </c>
      <c r="C21" s="45">
        <v>20.6</v>
      </c>
      <c r="D21" s="45">
        <v>20.6</v>
      </c>
      <c r="E21" s="45">
        <v>20.6</v>
      </c>
      <c r="F21" s="45">
        <v>20.6</v>
      </c>
      <c r="G21" s="45">
        <v>20.6</v>
      </c>
      <c r="H21" s="45">
        <v>20.6</v>
      </c>
      <c r="I21" s="45">
        <v>20.6</v>
      </c>
      <c r="J21" s="45">
        <v>20.6</v>
      </c>
      <c r="K21" s="45">
        <v>20.6</v>
      </c>
      <c r="L21" s="45">
        <v>20.6</v>
      </c>
      <c r="M21" s="45">
        <v>20.7</v>
      </c>
      <c r="N21" s="45">
        <v>33</v>
      </c>
      <c r="O21" s="45">
        <v>33</v>
      </c>
      <c r="P21" s="45">
        <v>33</v>
      </c>
      <c r="Q21" s="45">
        <v>33</v>
      </c>
      <c r="R21" s="45">
        <v>33</v>
      </c>
      <c r="S21" s="45">
        <v>33</v>
      </c>
      <c r="T21" s="45">
        <v>33</v>
      </c>
      <c r="U21" s="45">
        <v>33.200000000000003</v>
      </c>
      <c r="V21" s="45">
        <v>33.200000000000003</v>
      </c>
      <c r="W21" s="45">
        <v>33.200000000000003</v>
      </c>
      <c r="X21" s="45">
        <v>33.200000000000003</v>
      </c>
      <c r="Y21" s="45">
        <v>33.200000000000003</v>
      </c>
      <c r="Z21" s="45">
        <v>33.200000000000003</v>
      </c>
      <c r="AA21" s="45">
        <v>33.200000000000003</v>
      </c>
      <c r="AB21" s="45">
        <v>33.200000000000003</v>
      </c>
      <c r="AC21" s="45">
        <v>33.200000000000003</v>
      </c>
      <c r="AD21" s="45">
        <v>33.200000000000003</v>
      </c>
      <c r="AE21" s="45">
        <v>21.7</v>
      </c>
      <c r="AF21" s="45">
        <v>21.7</v>
      </c>
      <c r="AG21" s="49">
        <v>24.2</v>
      </c>
      <c r="AH21" s="47">
        <f t="shared" si="2"/>
        <v>33.200000000000003</v>
      </c>
      <c r="AI21" s="48">
        <f t="shared" si="3"/>
        <v>20.6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20.5</v>
      </c>
      <c r="C22" s="45">
        <v>20.5</v>
      </c>
      <c r="D22" s="45">
        <v>20.5</v>
      </c>
      <c r="E22" s="45">
        <v>20.5</v>
      </c>
      <c r="F22" s="45">
        <v>20.5</v>
      </c>
      <c r="G22" s="45">
        <v>20.5</v>
      </c>
      <c r="H22" s="45">
        <v>20.5</v>
      </c>
      <c r="I22" s="45">
        <v>20.5</v>
      </c>
      <c r="J22" s="45">
        <v>20.5</v>
      </c>
      <c r="K22" s="45">
        <v>20.5</v>
      </c>
      <c r="L22" s="45">
        <v>20.5</v>
      </c>
      <c r="M22" s="45">
        <v>20.5</v>
      </c>
      <c r="N22" s="45">
        <v>28.5</v>
      </c>
      <c r="O22" s="45">
        <v>28.5</v>
      </c>
      <c r="P22" s="45">
        <v>28.5</v>
      </c>
      <c r="Q22" s="45">
        <v>28.5</v>
      </c>
      <c r="R22" s="45">
        <v>28.5</v>
      </c>
      <c r="S22" s="45">
        <v>28.5</v>
      </c>
      <c r="T22" s="45">
        <v>28.5</v>
      </c>
      <c r="U22" s="45">
        <v>28.5</v>
      </c>
      <c r="V22" s="45">
        <v>28.5</v>
      </c>
      <c r="W22" s="45">
        <v>28.5</v>
      </c>
      <c r="X22" s="45">
        <v>28.5</v>
      </c>
      <c r="Y22" s="45">
        <v>28.5</v>
      </c>
      <c r="Z22" s="45">
        <v>28.5</v>
      </c>
      <c r="AA22" s="45">
        <v>28.5</v>
      </c>
      <c r="AB22" s="45">
        <v>28.6</v>
      </c>
      <c r="AC22" s="45">
        <v>28.6</v>
      </c>
      <c r="AD22" s="45">
        <v>28.6</v>
      </c>
      <c r="AE22" s="45">
        <v>21.2</v>
      </c>
      <c r="AF22" s="45">
        <v>21.2</v>
      </c>
      <c r="AG22" s="49">
        <v>28</v>
      </c>
      <c r="AH22" s="47">
        <f t="shared" si="2"/>
        <v>28.6</v>
      </c>
      <c r="AI22" s="48">
        <f t="shared" si="3"/>
        <v>20.5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0</v>
      </c>
      <c r="C23" s="45">
        <v>0</v>
      </c>
      <c r="D23" s="45">
        <v>0</v>
      </c>
      <c r="E23" s="45">
        <v>0</v>
      </c>
      <c r="F23" s="45">
        <v>9.3000000000000007</v>
      </c>
      <c r="G23" s="45">
        <v>9.3000000000000007</v>
      </c>
      <c r="H23" s="45">
        <v>9.3000000000000007</v>
      </c>
      <c r="I23" s="45">
        <v>9.3000000000000007</v>
      </c>
      <c r="J23" s="45">
        <v>9.3000000000000007</v>
      </c>
      <c r="K23" s="45">
        <v>9.3000000000000007</v>
      </c>
      <c r="L23" s="45">
        <v>9.3000000000000007</v>
      </c>
      <c r="M23" s="45">
        <v>9.3000000000000007</v>
      </c>
      <c r="N23" s="45">
        <v>9.3000000000000007</v>
      </c>
      <c r="O23" s="45">
        <v>9.3000000000000007</v>
      </c>
      <c r="P23" s="45">
        <v>9.3000000000000007</v>
      </c>
      <c r="Q23" s="45">
        <v>9.3000000000000007</v>
      </c>
      <c r="R23" s="45">
        <v>9.3000000000000007</v>
      </c>
      <c r="S23" s="45">
        <v>9.3000000000000007</v>
      </c>
      <c r="T23" s="45">
        <v>9.3000000000000007</v>
      </c>
      <c r="U23" s="45">
        <v>9.3000000000000007</v>
      </c>
      <c r="V23" s="45">
        <v>9.3000000000000007</v>
      </c>
      <c r="W23" s="45">
        <v>9.3000000000000007</v>
      </c>
      <c r="X23" s="45">
        <v>9.3000000000000007</v>
      </c>
      <c r="Y23" s="45">
        <v>5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9.3000000000000007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25.9</v>
      </c>
      <c r="C24" s="45">
        <v>20</v>
      </c>
      <c r="D24" s="45">
        <v>20</v>
      </c>
      <c r="E24" s="45">
        <v>20</v>
      </c>
      <c r="F24" s="45">
        <v>20</v>
      </c>
      <c r="G24" s="45">
        <v>20</v>
      </c>
      <c r="H24" s="45">
        <v>20</v>
      </c>
      <c r="I24" s="45">
        <v>20</v>
      </c>
      <c r="J24" s="45">
        <v>20</v>
      </c>
      <c r="K24" s="45">
        <v>20</v>
      </c>
      <c r="L24" s="45">
        <v>20</v>
      </c>
      <c r="M24" s="45">
        <v>26</v>
      </c>
      <c r="N24" s="45">
        <v>26</v>
      </c>
      <c r="O24" s="45">
        <v>26</v>
      </c>
      <c r="P24" s="45">
        <v>26</v>
      </c>
      <c r="Q24" s="45">
        <v>26</v>
      </c>
      <c r="R24" s="45">
        <v>26</v>
      </c>
      <c r="S24" s="45">
        <v>19</v>
      </c>
      <c r="T24" s="45">
        <v>0</v>
      </c>
      <c r="U24" s="45">
        <v>0</v>
      </c>
      <c r="V24" s="45">
        <v>25.4</v>
      </c>
      <c r="W24" s="45">
        <v>25.4</v>
      </c>
      <c r="X24" s="45">
        <v>25.4</v>
      </c>
      <c r="Y24" s="45">
        <v>25.4</v>
      </c>
      <c r="Z24" s="45">
        <v>25.4</v>
      </c>
      <c r="AA24" s="45">
        <v>25.4</v>
      </c>
      <c r="AB24" s="45">
        <v>26.1</v>
      </c>
      <c r="AC24" s="45">
        <v>26.1</v>
      </c>
      <c r="AD24" s="45">
        <v>26.1</v>
      </c>
      <c r="AE24" s="45">
        <v>26.1</v>
      </c>
      <c r="AF24" s="45">
        <v>26.1</v>
      </c>
      <c r="AG24" s="49">
        <v>25</v>
      </c>
      <c r="AH24" s="47">
        <f t="shared" si="2"/>
        <v>26.1</v>
      </c>
      <c r="AI24" s="48">
        <f t="shared" si="3"/>
        <v>0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20</v>
      </c>
      <c r="C27" s="45">
        <v>20</v>
      </c>
      <c r="D27" s="45">
        <v>20</v>
      </c>
      <c r="E27" s="45">
        <v>10.5</v>
      </c>
      <c r="F27" s="45">
        <v>10.5</v>
      </c>
      <c r="G27" s="45">
        <v>10.5</v>
      </c>
      <c r="H27" s="45">
        <v>15</v>
      </c>
      <c r="I27" s="45">
        <v>15.4</v>
      </c>
      <c r="J27" s="45">
        <v>15.4</v>
      </c>
      <c r="K27" s="45">
        <v>20</v>
      </c>
      <c r="L27" s="45">
        <v>20</v>
      </c>
      <c r="M27" s="45">
        <v>20</v>
      </c>
      <c r="N27" s="45">
        <v>20</v>
      </c>
      <c r="O27" s="45">
        <v>20</v>
      </c>
      <c r="P27" s="45">
        <v>20</v>
      </c>
      <c r="Q27" s="45">
        <v>20</v>
      </c>
      <c r="R27" s="45">
        <v>20</v>
      </c>
      <c r="S27" s="45">
        <v>20</v>
      </c>
      <c r="T27" s="45">
        <v>20</v>
      </c>
      <c r="U27" s="45">
        <v>25</v>
      </c>
      <c r="V27" s="45">
        <v>25</v>
      </c>
      <c r="W27" s="45">
        <v>25</v>
      </c>
      <c r="X27" s="45">
        <v>25</v>
      </c>
      <c r="Y27" s="45">
        <v>5</v>
      </c>
      <c r="Z27" s="45">
        <v>25</v>
      </c>
      <c r="AA27" s="45">
        <v>25</v>
      </c>
      <c r="AB27" s="45">
        <v>25</v>
      </c>
      <c r="AC27" s="45">
        <v>25</v>
      </c>
      <c r="AD27" s="45">
        <v>25</v>
      </c>
      <c r="AE27" s="45">
        <v>25</v>
      </c>
      <c r="AF27" s="45">
        <v>25</v>
      </c>
      <c r="AG27" s="49">
        <v>25</v>
      </c>
      <c r="AH27" s="47">
        <f t="shared" si="2"/>
        <v>25</v>
      </c>
      <c r="AI27" s="48">
        <f t="shared" si="3"/>
        <v>5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25.7</v>
      </c>
      <c r="C28" s="45">
        <v>25.7</v>
      </c>
      <c r="D28" s="45">
        <v>25.7</v>
      </c>
      <c r="E28" s="45">
        <v>25.7</v>
      </c>
      <c r="F28" s="45">
        <v>25.7</v>
      </c>
      <c r="G28" s="45">
        <v>25.7</v>
      </c>
      <c r="H28" s="45">
        <v>25.7</v>
      </c>
      <c r="I28" s="45">
        <v>25.7</v>
      </c>
      <c r="J28" s="45">
        <v>25.7</v>
      </c>
      <c r="K28" s="45">
        <v>25.7</v>
      </c>
      <c r="L28" s="45">
        <v>25.7</v>
      </c>
      <c r="M28" s="45">
        <v>25.7</v>
      </c>
      <c r="N28" s="45">
        <v>25.7</v>
      </c>
      <c r="O28" s="45">
        <v>25.7</v>
      </c>
      <c r="P28" s="45">
        <v>25.7</v>
      </c>
      <c r="Q28" s="45">
        <v>25.7</v>
      </c>
      <c r="R28" s="45">
        <v>25.7</v>
      </c>
      <c r="S28" s="45">
        <v>25.7</v>
      </c>
      <c r="T28" s="45">
        <v>25.7</v>
      </c>
      <c r="U28" s="45">
        <v>25.7</v>
      </c>
      <c r="V28" s="45">
        <v>25.7</v>
      </c>
      <c r="W28" s="45">
        <v>25.7</v>
      </c>
      <c r="X28" s="45">
        <v>25.7</v>
      </c>
      <c r="Y28" s="45">
        <v>25.7</v>
      </c>
      <c r="Z28" s="45">
        <v>25.7</v>
      </c>
      <c r="AA28" s="45">
        <v>25.7</v>
      </c>
      <c r="AB28" s="45">
        <v>25.6</v>
      </c>
      <c r="AC28" s="45">
        <v>25.6</v>
      </c>
      <c r="AD28" s="45">
        <v>25.6</v>
      </c>
      <c r="AE28" s="45">
        <v>25.6</v>
      </c>
      <c r="AF28" s="45">
        <v>25.6</v>
      </c>
      <c r="AG28" s="49">
        <v>23.5</v>
      </c>
      <c r="AH28" s="47">
        <f t="shared" si="2"/>
        <v>25.7</v>
      </c>
      <c r="AI28" s="48">
        <f t="shared" si="3"/>
        <v>25.6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0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0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20.6</v>
      </c>
      <c r="P32" s="45">
        <v>20.6</v>
      </c>
      <c r="Q32" s="45">
        <v>20.6</v>
      </c>
      <c r="R32" s="45">
        <v>20.6</v>
      </c>
      <c r="S32" s="45">
        <v>20.6</v>
      </c>
      <c r="T32" s="45">
        <v>20.6</v>
      </c>
      <c r="U32" s="45">
        <v>20.6</v>
      </c>
      <c r="V32" s="45">
        <v>20.6</v>
      </c>
      <c r="W32" s="45">
        <v>20.6</v>
      </c>
      <c r="X32" s="45">
        <v>20.6</v>
      </c>
      <c r="Y32" s="45">
        <v>20.6</v>
      </c>
      <c r="Z32" s="45">
        <v>20.6</v>
      </c>
      <c r="AA32" s="45">
        <v>20.6</v>
      </c>
      <c r="AB32" s="45">
        <v>20.6</v>
      </c>
      <c r="AC32" s="45">
        <v>20.6</v>
      </c>
      <c r="AD32" s="45">
        <v>20.6</v>
      </c>
      <c r="AE32" s="45">
        <v>20.6</v>
      </c>
      <c r="AF32" s="45">
        <v>20.6</v>
      </c>
      <c r="AG32" s="49">
        <v>22</v>
      </c>
      <c r="AH32" s="47">
        <f t="shared" si="2"/>
        <v>22</v>
      </c>
      <c r="AI32" s="48">
        <f t="shared" si="3"/>
        <v>20.6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10</v>
      </c>
      <c r="C33" s="45">
        <v>10</v>
      </c>
      <c r="D33" s="45">
        <v>10</v>
      </c>
      <c r="E33" s="45">
        <v>10</v>
      </c>
      <c r="F33" s="45">
        <v>5</v>
      </c>
      <c r="G33" s="45">
        <v>5</v>
      </c>
      <c r="H33" s="45">
        <v>10</v>
      </c>
      <c r="I33" s="45">
        <v>10</v>
      </c>
      <c r="J33" s="45">
        <v>10</v>
      </c>
      <c r="K33" s="45">
        <v>10</v>
      </c>
      <c r="L33" s="45">
        <v>10</v>
      </c>
      <c r="M33" s="45">
        <v>10</v>
      </c>
      <c r="N33" s="45">
        <v>10</v>
      </c>
      <c r="O33" s="45">
        <v>10</v>
      </c>
      <c r="P33" s="45">
        <v>10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>
        <v>10</v>
      </c>
      <c r="W33" s="45">
        <v>10</v>
      </c>
      <c r="X33" s="45">
        <v>10</v>
      </c>
      <c r="Y33" s="45">
        <v>5</v>
      </c>
      <c r="Z33" s="45">
        <v>10</v>
      </c>
      <c r="AA33" s="45">
        <v>10</v>
      </c>
      <c r="AB33" s="45">
        <v>10</v>
      </c>
      <c r="AC33" s="45">
        <v>10</v>
      </c>
      <c r="AD33" s="45">
        <v>10</v>
      </c>
      <c r="AE33" s="45">
        <v>10</v>
      </c>
      <c r="AF33" s="45">
        <v>10</v>
      </c>
      <c r="AG33" s="49">
        <v>20</v>
      </c>
      <c r="AH33" s="47">
        <f t="shared" si="2"/>
        <v>10</v>
      </c>
      <c r="AI33" s="48">
        <f t="shared" si="3"/>
        <v>5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19</v>
      </c>
      <c r="C34" s="45">
        <v>5</v>
      </c>
      <c r="D34" s="45">
        <v>5</v>
      </c>
      <c r="E34" s="45">
        <v>5</v>
      </c>
      <c r="F34" s="45">
        <v>5</v>
      </c>
      <c r="G34" s="45">
        <v>5</v>
      </c>
      <c r="H34" s="45">
        <v>5</v>
      </c>
      <c r="I34" s="45">
        <v>5</v>
      </c>
      <c r="J34" s="45">
        <v>5</v>
      </c>
      <c r="K34" s="45">
        <v>5</v>
      </c>
      <c r="L34" s="45">
        <v>5</v>
      </c>
      <c r="M34" s="45">
        <v>5</v>
      </c>
      <c r="N34" s="45">
        <v>5</v>
      </c>
      <c r="O34" s="45">
        <v>10</v>
      </c>
      <c r="P34" s="45">
        <v>14</v>
      </c>
      <c r="Q34" s="45">
        <v>14</v>
      </c>
      <c r="R34" s="45">
        <v>14</v>
      </c>
      <c r="S34" s="45">
        <v>14</v>
      </c>
      <c r="T34" s="45">
        <v>16</v>
      </c>
      <c r="U34" s="45">
        <v>16</v>
      </c>
      <c r="V34" s="45">
        <v>16</v>
      </c>
      <c r="W34" s="45">
        <v>16</v>
      </c>
      <c r="X34" s="45">
        <v>16</v>
      </c>
      <c r="Y34" s="45">
        <v>6</v>
      </c>
      <c r="Z34" s="45">
        <v>12</v>
      </c>
      <c r="AA34" s="45">
        <v>12</v>
      </c>
      <c r="AB34" s="45">
        <v>12</v>
      </c>
      <c r="AC34" s="45">
        <v>12</v>
      </c>
      <c r="AD34" s="45">
        <v>12</v>
      </c>
      <c r="AE34" s="45">
        <v>12</v>
      </c>
      <c r="AF34" s="45">
        <v>12</v>
      </c>
      <c r="AG34" s="49">
        <v>18</v>
      </c>
      <c r="AH34" s="47">
        <f t="shared" si="2"/>
        <v>19</v>
      </c>
      <c r="AI34" s="48">
        <f t="shared" si="3"/>
        <v>5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0</v>
      </c>
      <c r="AG35" s="49">
        <v>14.9</v>
      </c>
      <c r="AH35" s="47">
        <f t="shared" si="2"/>
        <v>15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0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0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6</v>
      </c>
      <c r="C39" s="45">
        <v>6</v>
      </c>
      <c r="D39" s="45">
        <v>6</v>
      </c>
      <c r="E39" s="45">
        <v>6</v>
      </c>
      <c r="F39" s="45">
        <v>12</v>
      </c>
      <c r="G39" s="45">
        <v>12</v>
      </c>
      <c r="H39" s="45">
        <v>12</v>
      </c>
      <c r="I39" s="45">
        <v>12</v>
      </c>
      <c r="J39" s="45">
        <v>12</v>
      </c>
      <c r="K39" s="45">
        <v>12</v>
      </c>
      <c r="L39" s="45">
        <v>12</v>
      </c>
      <c r="M39" s="45">
        <v>8</v>
      </c>
      <c r="N39" s="45">
        <v>8</v>
      </c>
      <c r="O39" s="45">
        <v>10</v>
      </c>
      <c r="P39" s="45">
        <v>10</v>
      </c>
      <c r="Q39" s="45">
        <v>10</v>
      </c>
      <c r="R39" s="45">
        <v>10</v>
      </c>
      <c r="S39" s="45">
        <v>10</v>
      </c>
      <c r="T39" s="45">
        <v>10</v>
      </c>
      <c r="U39" s="45">
        <v>12</v>
      </c>
      <c r="V39" s="45">
        <v>12</v>
      </c>
      <c r="W39" s="45">
        <v>12</v>
      </c>
      <c r="X39" s="45">
        <v>12</v>
      </c>
      <c r="Y39" s="45">
        <v>12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12</v>
      </c>
      <c r="AG39" s="49">
        <v>12</v>
      </c>
      <c r="AH39" s="47">
        <f t="shared" si="2"/>
        <v>12</v>
      </c>
      <c r="AI39" s="48">
        <f t="shared" si="3"/>
        <v>6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12</v>
      </c>
      <c r="C41" s="45">
        <v>12</v>
      </c>
      <c r="D41" s="45">
        <v>12</v>
      </c>
      <c r="E41" s="45">
        <v>12</v>
      </c>
      <c r="F41" s="45">
        <v>12</v>
      </c>
      <c r="G41" s="45">
        <v>12</v>
      </c>
      <c r="H41" s="45">
        <v>12</v>
      </c>
      <c r="I41" s="45">
        <v>12</v>
      </c>
      <c r="J41" s="45">
        <v>12</v>
      </c>
      <c r="K41" s="45">
        <v>12</v>
      </c>
      <c r="L41" s="45">
        <v>12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12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9</v>
      </c>
      <c r="C42" s="45">
        <v>9</v>
      </c>
      <c r="D42" s="45">
        <v>9</v>
      </c>
      <c r="E42" s="45">
        <v>9</v>
      </c>
      <c r="F42" s="45">
        <v>9</v>
      </c>
      <c r="G42" s="45">
        <v>9</v>
      </c>
      <c r="H42" s="45">
        <v>9</v>
      </c>
      <c r="I42" s="45">
        <v>9</v>
      </c>
      <c r="J42" s="45">
        <v>9</v>
      </c>
      <c r="K42" s="45">
        <v>9</v>
      </c>
      <c r="L42" s="45">
        <v>9</v>
      </c>
      <c r="M42" s="45">
        <v>9</v>
      </c>
      <c r="N42" s="45">
        <v>9</v>
      </c>
      <c r="O42" s="45">
        <v>9</v>
      </c>
      <c r="P42" s="45">
        <v>9</v>
      </c>
      <c r="Q42" s="45">
        <v>9</v>
      </c>
      <c r="R42" s="45">
        <v>9</v>
      </c>
      <c r="S42" s="45">
        <v>9</v>
      </c>
      <c r="T42" s="45">
        <v>9</v>
      </c>
      <c r="U42" s="45">
        <v>9</v>
      </c>
      <c r="V42" s="45">
        <v>9</v>
      </c>
      <c r="W42" s="45">
        <v>9</v>
      </c>
      <c r="X42" s="45">
        <v>9</v>
      </c>
      <c r="Y42" s="45">
        <v>9</v>
      </c>
      <c r="Z42" s="45">
        <v>9</v>
      </c>
      <c r="AA42" s="45">
        <v>9</v>
      </c>
      <c r="AB42" s="45">
        <v>9</v>
      </c>
      <c r="AC42" s="45">
        <v>9</v>
      </c>
      <c r="AD42" s="45">
        <v>9</v>
      </c>
      <c r="AE42" s="45">
        <v>9</v>
      </c>
      <c r="AF42" s="45">
        <v>9</v>
      </c>
      <c r="AG42" s="52">
        <v>22</v>
      </c>
      <c r="AH42" s="47">
        <f t="shared" si="2"/>
        <v>9</v>
      </c>
      <c r="AI42" s="48">
        <f t="shared" si="3"/>
        <v>9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8</v>
      </c>
      <c r="C45" s="45">
        <v>5</v>
      </c>
      <c r="D45" s="45">
        <v>5</v>
      </c>
      <c r="E45" s="45">
        <v>5</v>
      </c>
      <c r="F45" s="45">
        <v>5</v>
      </c>
      <c r="G45" s="45">
        <v>5</v>
      </c>
      <c r="H45" s="45">
        <v>5</v>
      </c>
      <c r="I45" s="45">
        <v>5</v>
      </c>
      <c r="J45" s="45">
        <v>5</v>
      </c>
      <c r="K45" s="45">
        <v>5</v>
      </c>
      <c r="L45" s="45">
        <v>5</v>
      </c>
      <c r="M45" s="45">
        <v>5</v>
      </c>
      <c r="N45" s="45">
        <v>5</v>
      </c>
      <c r="O45" s="45">
        <v>5</v>
      </c>
      <c r="P45" s="45">
        <v>5</v>
      </c>
      <c r="Q45" s="45">
        <v>5</v>
      </c>
      <c r="R45" s="45">
        <v>5</v>
      </c>
      <c r="S45" s="45">
        <v>5</v>
      </c>
      <c r="T45" s="45">
        <v>5</v>
      </c>
      <c r="U45" s="45">
        <v>5</v>
      </c>
      <c r="V45" s="45">
        <v>5</v>
      </c>
      <c r="W45" s="45">
        <v>5</v>
      </c>
      <c r="X45" s="45">
        <v>5</v>
      </c>
      <c r="Y45" s="45">
        <v>5</v>
      </c>
      <c r="Z45" s="45">
        <v>5</v>
      </c>
      <c r="AA45" s="45">
        <v>5</v>
      </c>
      <c r="AB45" s="45">
        <v>5</v>
      </c>
      <c r="AC45" s="45">
        <v>5</v>
      </c>
      <c r="AD45" s="45">
        <v>5</v>
      </c>
      <c r="AE45" s="45">
        <v>5</v>
      </c>
      <c r="AF45" s="45">
        <v>5</v>
      </c>
      <c r="AG45" s="54">
        <v>10</v>
      </c>
      <c r="AH45" s="47">
        <f t="shared" si="2"/>
        <v>8</v>
      </c>
      <c r="AI45" s="48">
        <f t="shared" si="3"/>
        <v>5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AD50" si="4">SUM(B11:B48)</f>
        <v>935.4</v>
      </c>
      <c r="C50" s="59">
        <f t="shared" si="4"/>
        <v>957.5</v>
      </c>
      <c r="D50" s="59">
        <f t="shared" si="4"/>
        <v>958.5</v>
      </c>
      <c r="E50" s="59">
        <f t="shared" si="4"/>
        <v>916.90000000000009</v>
      </c>
      <c r="F50" s="59">
        <f t="shared" si="4"/>
        <v>931.2</v>
      </c>
      <c r="G50" s="59">
        <f t="shared" si="4"/>
        <v>937.6</v>
      </c>
      <c r="H50" s="59">
        <f t="shared" si="4"/>
        <v>953.1</v>
      </c>
      <c r="I50" s="59">
        <f t="shared" si="4"/>
        <v>974.3</v>
      </c>
      <c r="J50" s="59">
        <f t="shared" si="4"/>
        <v>988.3</v>
      </c>
      <c r="K50" s="59">
        <f t="shared" si="4"/>
        <v>992.90000000000009</v>
      </c>
      <c r="L50" s="59">
        <f t="shared" si="4"/>
        <v>992.90000000000009</v>
      </c>
      <c r="M50" s="59">
        <f t="shared" si="4"/>
        <v>1005.6</v>
      </c>
      <c r="N50" s="59">
        <f t="shared" si="4"/>
        <v>972.90000000000009</v>
      </c>
      <c r="O50" s="59">
        <f t="shared" si="4"/>
        <v>978.50000000000011</v>
      </c>
      <c r="P50" s="59">
        <f t="shared" si="4"/>
        <v>986.90000000000009</v>
      </c>
      <c r="Q50" s="59">
        <f t="shared" si="4"/>
        <v>986.90000000000009</v>
      </c>
      <c r="R50" s="59">
        <f t="shared" si="4"/>
        <v>986.90000000000009</v>
      </c>
      <c r="S50" s="59">
        <f t="shared" si="4"/>
        <v>990.9</v>
      </c>
      <c r="T50" s="59">
        <f t="shared" si="4"/>
        <v>1033.0999999999999</v>
      </c>
      <c r="U50" s="59">
        <f t="shared" si="4"/>
        <v>1042.2</v>
      </c>
      <c r="V50" s="59">
        <f t="shared" si="4"/>
        <v>1058.4000000000001</v>
      </c>
      <c r="W50" s="59">
        <f t="shared" si="4"/>
        <v>1058.4000000000001</v>
      </c>
      <c r="X50" s="59">
        <f t="shared" si="4"/>
        <v>1040.4000000000001</v>
      </c>
      <c r="Y50" s="59">
        <f t="shared" si="4"/>
        <v>972.49999999999989</v>
      </c>
      <c r="Z50" s="59">
        <f t="shared" si="4"/>
        <v>1061.0999999999999</v>
      </c>
      <c r="AA50" s="59">
        <f t="shared" si="4"/>
        <v>1061.0999999999999</v>
      </c>
      <c r="AB50" s="59">
        <f t="shared" ref="AB50" si="5">SUM(AB11:AB48)</f>
        <v>1063.8000000000002</v>
      </c>
      <c r="AC50" s="59">
        <f t="shared" si="4"/>
        <v>1063.8000000000002</v>
      </c>
      <c r="AD50" s="59">
        <f t="shared" si="4"/>
        <v>1063.8000000000002</v>
      </c>
      <c r="AE50" s="59">
        <f t="shared" ref="AE50:AF50" si="6">SUM(AE11:AE48)</f>
        <v>1034.7</v>
      </c>
      <c r="AF50" s="59">
        <f t="shared" si="6"/>
        <v>981.40000000000009</v>
      </c>
      <c r="AG50" s="60">
        <f>SUM(AG13:AG48)</f>
        <v>922.14</v>
      </c>
      <c r="AH50" s="47">
        <f t="shared" si="2"/>
        <v>1063.8000000000002</v>
      </c>
      <c r="AI50" s="48">
        <f t="shared" si="3"/>
        <v>916.90000000000009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62">
        <v>456</v>
      </c>
      <c r="S51" s="62">
        <v>456</v>
      </c>
      <c r="T51" s="62">
        <v>456</v>
      </c>
      <c r="U51" s="62">
        <v>456</v>
      </c>
      <c r="V51" s="62">
        <v>456</v>
      </c>
      <c r="W51" s="62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380</v>
      </c>
      <c r="AF51" s="45">
        <v>380</v>
      </c>
      <c r="AG51" s="51">
        <v>456</v>
      </c>
      <c r="AH51" s="47">
        <f t="shared" si="2"/>
        <v>456</v>
      </c>
      <c r="AI51" s="48">
        <f t="shared" si="3"/>
        <v>380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60</v>
      </c>
      <c r="O52" s="64">
        <v>60</v>
      </c>
      <c r="P52" s="64">
        <v>60</v>
      </c>
      <c r="Q52" s="64">
        <v>60</v>
      </c>
      <c r="R52" s="64">
        <v>60</v>
      </c>
      <c r="S52" s="64">
        <v>60</v>
      </c>
      <c r="T52" s="64">
        <v>60</v>
      </c>
      <c r="U52" s="64">
        <v>60</v>
      </c>
      <c r="V52" s="64">
        <v>60</v>
      </c>
      <c r="W52" s="64">
        <v>60</v>
      </c>
      <c r="X52" s="64">
        <v>60</v>
      </c>
      <c r="Y52" s="64">
        <v>60</v>
      </c>
      <c r="Z52" s="64">
        <v>60</v>
      </c>
      <c r="AA52" s="64">
        <v>60</v>
      </c>
      <c r="AB52" s="64">
        <v>60</v>
      </c>
      <c r="AC52" s="64">
        <v>60</v>
      </c>
      <c r="AD52" s="64">
        <v>60</v>
      </c>
      <c r="AE52" s="64">
        <v>55</v>
      </c>
      <c r="AF52" s="64">
        <v>55</v>
      </c>
      <c r="AG52" s="54">
        <v>60</v>
      </c>
      <c r="AH52" s="47">
        <f t="shared" si="2"/>
        <v>60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21</v>
      </c>
      <c r="C53" s="66">
        <v>21</v>
      </c>
      <c r="D53" s="66">
        <v>21</v>
      </c>
      <c r="E53" s="66">
        <v>21</v>
      </c>
      <c r="F53" s="66">
        <v>21</v>
      </c>
      <c r="G53" s="66">
        <v>21</v>
      </c>
      <c r="H53" s="66">
        <v>21</v>
      </c>
      <c r="I53" s="66">
        <v>21</v>
      </c>
      <c r="J53" s="66">
        <v>21</v>
      </c>
      <c r="K53" s="66">
        <v>21</v>
      </c>
      <c r="L53" s="66">
        <v>21</v>
      </c>
      <c r="M53" s="66">
        <v>22</v>
      </c>
      <c r="N53" s="66">
        <v>22</v>
      </c>
      <c r="O53" s="66">
        <v>22</v>
      </c>
      <c r="P53" s="66">
        <v>22</v>
      </c>
      <c r="Q53" s="66">
        <v>22</v>
      </c>
      <c r="R53" s="66">
        <v>22</v>
      </c>
      <c r="S53" s="66">
        <v>22</v>
      </c>
      <c r="T53" s="66">
        <v>22</v>
      </c>
      <c r="U53" s="66">
        <v>22</v>
      </c>
      <c r="V53" s="66">
        <v>22</v>
      </c>
      <c r="W53" s="66">
        <v>22</v>
      </c>
      <c r="X53" s="66">
        <v>22</v>
      </c>
      <c r="Y53" s="66">
        <v>22</v>
      </c>
      <c r="Z53" s="66">
        <v>22</v>
      </c>
      <c r="AA53" s="66">
        <v>22</v>
      </c>
      <c r="AB53" s="66">
        <v>22</v>
      </c>
      <c r="AC53" s="66">
        <v>22</v>
      </c>
      <c r="AD53" s="66">
        <v>22</v>
      </c>
      <c r="AE53" s="66">
        <v>22</v>
      </c>
      <c r="AF53" s="66">
        <v>22</v>
      </c>
      <c r="AG53" s="67">
        <v>22.1</v>
      </c>
      <c r="AH53" s="47">
        <f t="shared" si="2"/>
        <v>22</v>
      </c>
      <c r="AI53" s="48">
        <f t="shared" si="3"/>
        <v>21</v>
      </c>
      <c r="AK53" s="74"/>
    </row>
    <row r="54" spans="1:41" ht="15.75" thickBot="1" x14ac:dyDescent="0.3">
      <c r="A54" s="68" t="s">
        <v>70</v>
      </c>
      <c r="B54" s="59">
        <v>532</v>
      </c>
      <c r="C54" s="59">
        <f t="shared" ref="C54:AG54" si="7">SUM(C51:C53)</f>
        <v>532</v>
      </c>
      <c r="D54" s="59">
        <f t="shared" si="7"/>
        <v>532</v>
      </c>
      <c r="E54" s="59">
        <f t="shared" si="7"/>
        <v>532</v>
      </c>
      <c r="F54" s="59">
        <f t="shared" si="7"/>
        <v>532</v>
      </c>
      <c r="G54" s="59">
        <f t="shared" si="7"/>
        <v>532</v>
      </c>
      <c r="H54" s="59">
        <f t="shared" si="7"/>
        <v>532</v>
      </c>
      <c r="I54" s="59">
        <f t="shared" si="7"/>
        <v>532</v>
      </c>
      <c r="J54" s="59">
        <f t="shared" si="7"/>
        <v>532</v>
      </c>
      <c r="K54" s="59">
        <f t="shared" si="7"/>
        <v>532</v>
      </c>
      <c r="L54" s="59">
        <f t="shared" si="7"/>
        <v>532</v>
      </c>
      <c r="M54" s="59">
        <f t="shared" si="7"/>
        <v>533</v>
      </c>
      <c r="N54" s="59">
        <f t="shared" si="7"/>
        <v>538</v>
      </c>
      <c r="O54" s="59">
        <f t="shared" si="7"/>
        <v>538</v>
      </c>
      <c r="P54" s="59">
        <f t="shared" si="7"/>
        <v>538</v>
      </c>
      <c r="Q54" s="59">
        <f t="shared" si="7"/>
        <v>538</v>
      </c>
      <c r="R54" s="59">
        <f t="shared" si="7"/>
        <v>538</v>
      </c>
      <c r="S54" s="59">
        <f t="shared" si="7"/>
        <v>538</v>
      </c>
      <c r="T54" s="59">
        <f t="shared" si="7"/>
        <v>538</v>
      </c>
      <c r="U54" s="59">
        <f t="shared" si="7"/>
        <v>538</v>
      </c>
      <c r="V54" s="59">
        <f t="shared" si="7"/>
        <v>538</v>
      </c>
      <c r="W54" s="59">
        <f t="shared" si="7"/>
        <v>538</v>
      </c>
      <c r="X54" s="59">
        <f t="shared" si="7"/>
        <v>538</v>
      </c>
      <c r="Y54" s="59">
        <f t="shared" si="7"/>
        <v>538</v>
      </c>
      <c r="Z54" s="59">
        <f t="shared" si="7"/>
        <v>538</v>
      </c>
      <c r="AA54" s="59">
        <f t="shared" si="7"/>
        <v>538</v>
      </c>
      <c r="AB54" s="59">
        <f t="shared" ref="AB54" si="8">SUM(AB51:AB53)</f>
        <v>538</v>
      </c>
      <c r="AC54" s="59">
        <f t="shared" si="7"/>
        <v>538</v>
      </c>
      <c r="AD54" s="59">
        <f t="shared" si="7"/>
        <v>538</v>
      </c>
      <c r="AE54" s="59">
        <f t="shared" ref="AE54:AF54" si="9">SUM(AE51:AE53)</f>
        <v>457</v>
      </c>
      <c r="AF54" s="59">
        <f t="shared" si="9"/>
        <v>457</v>
      </c>
      <c r="AG54" s="60">
        <f t="shared" si="7"/>
        <v>538.1</v>
      </c>
      <c r="AH54" s="47">
        <f t="shared" si="2"/>
        <v>538</v>
      </c>
      <c r="AI54" s="48">
        <f t="shared" si="3"/>
        <v>457</v>
      </c>
      <c r="AK54" s="74"/>
    </row>
    <row r="55" spans="1:41" x14ac:dyDescent="0.25">
      <c r="A55" s="44" t="s">
        <v>71</v>
      </c>
      <c r="B55" s="45">
        <v>96</v>
      </c>
      <c r="C55" s="45">
        <v>96</v>
      </c>
      <c r="D55" s="45">
        <v>96</v>
      </c>
      <c r="E55" s="45">
        <v>93</v>
      </c>
      <c r="F55" s="45">
        <v>95</v>
      </c>
      <c r="G55" s="45">
        <v>95</v>
      </c>
      <c r="H55" s="45">
        <v>94.9</v>
      </c>
      <c r="I55" s="45">
        <v>94.9</v>
      </c>
      <c r="J55" s="45">
        <v>94.9</v>
      </c>
      <c r="K55" s="45">
        <v>94.9</v>
      </c>
      <c r="L55" s="45">
        <v>94.9</v>
      </c>
      <c r="M55" s="45">
        <v>91.5</v>
      </c>
      <c r="N55" s="45">
        <v>95.6</v>
      </c>
      <c r="O55" s="45">
        <v>91.2</v>
      </c>
      <c r="P55" s="45">
        <v>91.1</v>
      </c>
      <c r="Q55" s="45">
        <v>93</v>
      </c>
      <c r="R55" s="45">
        <v>92.9</v>
      </c>
      <c r="S55" s="45">
        <v>92.9</v>
      </c>
      <c r="T55" s="45">
        <v>92.9</v>
      </c>
      <c r="U55" s="45">
        <v>93</v>
      </c>
      <c r="V55" s="45">
        <v>93</v>
      </c>
      <c r="W55" s="45">
        <v>92.9</v>
      </c>
      <c r="X55" s="45">
        <v>92.8</v>
      </c>
      <c r="Y55" s="45">
        <v>92.8</v>
      </c>
      <c r="Z55" s="45">
        <v>92.8</v>
      </c>
      <c r="AA55" s="45">
        <v>92.8</v>
      </c>
      <c r="AB55" s="45">
        <v>93.1</v>
      </c>
      <c r="AC55" s="45">
        <v>93.1</v>
      </c>
      <c r="AD55" s="45">
        <v>93.1</v>
      </c>
      <c r="AE55" s="45">
        <v>96.1</v>
      </c>
      <c r="AF55" s="45">
        <v>95</v>
      </c>
      <c r="AG55" s="51">
        <v>144</v>
      </c>
      <c r="AH55" s="47">
        <f t="shared" si="2"/>
        <v>96.1</v>
      </c>
      <c r="AI55" s="48">
        <f t="shared" si="3"/>
        <v>91.1</v>
      </c>
      <c r="AK55" s="74"/>
    </row>
    <row r="56" spans="1:41" x14ac:dyDescent="0.25">
      <c r="A56" s="53" t="s">
        <v>72</v>
      </c>
      <c r="B56" s="64">
        <v>70.5</v>
      </c>
      <c r="C56" s="64">
        <v>70.5</v>
      </c>
      <c r="D56" s="64">
        <v>70.5</v>
      </c>
      <c r="E56" s="64">
        <v>70</v>
      </c>
      <c r="F56" s="64">
        <v>70</v>
      </c>
      <c r="G56" s="64">
        <v>70</v>
      </c>
      <c r="H56" s="64">
        <v>70</v>
      </c>
      <c r="I56" s="64">
        <v>70</v>
      </c>
      <c r="J56" s="64">
        <v>70</v>
      </c>
      <c r="K56" s="64">
        <v>70</v>
      </c>
      <c r="L56" s="64">
        <v>70</v>
      </c>
      <c r="M56" s="64">
        <v>71.400000000000006</v>
      </c>
      <c r="N56" s="64">
        <v>71.400000000000006</v>
      </c>
      <c r="O56" s="64">
        <v>71.5</v>
      </c>
      <c r="P56" s="64">
        <v>72.5</v>
      </c>
      <c r="Q56" s="64">
        <v>72.5</v>
      </c>
      <c r="R56" s="64">
        <v>70.3</v>
      </c>
      <c r="S56" s="64">
        <v>70.3</v>
      </c>
      <c r="T56" s="64">
        <v>70.3</v>
      </c>
      <c r="U56" s="45">
        <v>70.8</v>
      </c>
      <c r="V56" s="45">
        <v>70.8</v>
      </c>
      <c r="W56" s="45">
        <v>71.400000000000006</v>
      </c>
      <c r="X56" s="45">
        <v>69.8</v>
      </c>
      <c r="Y56" s="45">
        <v>69.8</v>
      </c>
      <c r="Z56" s="45">
        <v>69.8</v>
      </c>
      <c r="AA56" s="45">
        <v>69.8</v>
      </c>
      <c r="AB56" s="45">
        <v>69.5</v>
      </c>
      <c r="AC56" s="45">
        <v>69.5</v>
      </c>
      <c r="AD56" s="45">
        <v>69.5</v>
      </c>
      <c r="AE56" s="45">
        <v>69.5</v>
      </c>
      <c r="AF56" s="45">
        <v>69.5</v>
      </c>
      <c r="AG56" s="54">
        <v>70</v>
      </c>
      <c r="AH56" s="47">
        <f t="shared" si="2"/>
        <v>72.5</v>
      </c>
      <c r="AI56" s="48">
        <f t="shared" si="3"/>
        <v>69.5</v>
      </c>
      <c r="AK56" s="74"/>
    </row>
    <row r="57" spans="1:41" x14ac:dyDescent="0.25">
      <c r="A57" s="53" t="s">
        <v>73</v>
      </c>
      <c r="B57" s="64">
        <v>63.4</v>
      </c>
      <c r="C57" s="64">
        <v>63.4</v>
      </c>
      <c r="D57" s="64">
        <v>63.4</v>
      </c>
      <c r="E57" s="64">
        <v>62.6</v>
      </c>
      <c r="F57" s="64">
        <v>62.6</v>
      </c>
      <c r="G57" s="64">
        <v>62.6</v>
      </c>
      <c r="H57" s="64">
        <v>62.7</v>
      </c>
      <c r="I57" s="64">
        <v>62.7</v>
      </c>
      <c r="J57" s="64">
        <v>62.7</v>
      </c>
      <c r="K57" s="64">
        <v>62.7</v>
      </c>
      <c r="L57" s="64">
        <v>62.7</v>
      </c>
      <c r="M57" s="64">
        <v>62.8</v>
      </c>
      <c r="N57" s="64">
        <v>62.8</v>
      </c>
      <c r="O57" s="64">
        <v>62.6</v>
      </c>
      <c r="P57" s="64">
        <v>63</v>
      </c>
      <c r="Q57" s="64">
        <v>63</v>
      </c>
      <c r="R57" s="64">
        <v>63.1</v>
      </c>
      <c r="S57" s="64">
        <v>63.1</v>
      </c>
      <c r="T57" s="64">
        <v>63.1</v>
      </c>
      <c r="U57" s="45">
        <v>63.5</v>
      </c>
      <c r="V57" s="45">
        <v>63.5</v>
      </c>
      <c r="W57" s="45">
        <v>63.8</v>
      </c>
      <c r="X57" s="45">
        <v>63.96</v>
      </c>
      <c r="Y57" s="45">
        <v>63.96</v>
      </c>
      <c r="Z57" s="45">
        <v>63.96</v>
      </c>
      <c r="AA57" s="45">
        <v>63.96</v>
      </c>
      <c r="AB57" s="45">
        <v>63.96</v>
      </c>
      <c r="AC57" s="45">
        <v>63.96</v>
      </c>
      <c r="AD57" s="45">
        <v>63.96</v>
      </c>
      <c r="AE57" s="45">
        <v>63.4</v>
      </c>
      <c r="AF57" s="45">
        <v>63.96</v>
      </c>
      <c r="AG57" s="54">
        <v>69</v>
      </c>
      <c r="AH57" s="47">
        <f t="shared" si="2"/>
        <v>63.96</v>
      </c>
      <c r="AI57" s="48">
        <f t="shared" si="3"/>
        <v>62.6</v>
      </c>
      <c r="AK57" s="74"/>
    </row>
    <row r="58" spans="1:41" x14ac:dyDescent="0.25">
      <c r="A58" s="53" t="s">
        <v>74</v>
      </c>
      <c r="B58" s="64">
        <v>61.2</v>
      </c>
      <c r="C58" s="64">
        <v>61.2</v>
      </c>
      <c r="D58" s="64">
        <v>61.2</v>
      </c>
      <c r="E58" s="64">
        <v>61.2</v>
      </c>
      <c r="F58" s="64">
        <v>61.2</v>
      </c>
      <c r="G58" s="64">
        <v>61.2</v>
      </c>
      <c r="H58" s="64">
        <v>61.2</v>
      </c>
      <c r="I58" s="64">
        <v>61.2</v>
      </c>
      <c r="J58" s="64">
        <v>61.2</v>
      </c>
      <c r="K58" s="64">
        <v>61.2</v>
      </c>
      <c r="L58" s="64">
        <v>61.2</v>
      </c>
      <c r="M58" s="64">
        <v>58.7</v>
      </c>
      <c r="N58" s="64">
        <v>58.7</v>
      </c>
      <c r="O58" s="64">
        <v>58.7</v>
      </c>
      <c r="P58" s="64">
        <v>58.7</v>
      </c>
      <c r="Q58" s="64">
        <v>58.7</v>
      </c>
      <c r="R58" s="64">
        <v>55.9</v>
      </c>
      <c r="S58" s="64">
        <v>59</v>
      </c>
      <c r="T58" s="64">
        <v>59</v>
      </c>
      <c r="U58" s="45">
        <v>58.5</v>
      </c>
      <c r="V58" s="45">
        <v>0</v>
      </c>
      <c r="W58" s="45">
        <v>30</v>
      </c>
      <c r="X58" s="45">
        <v>60.7</v>
      </c>
      <c r="Y58" s="45">
        <v>60.7</v>
      </c>
      <c r="Z58" s="45">
        <v>60.7</v>
      </c>
      <c r="AA58" s="45">
        <v>60.7</v>
      </c>
      <c r="AB58" s="45">
        <v>60.7</v>
      </c>
      <c r="AC58" s="45">
        <v>60.7</v>
      </c>
      <c r="AD58" s="45">
        <v>60.7</v>
      </c>
      <c r="AE58" s="45">
        <v>60</v>
      </c>
      <c r="AF58" s="45">
        <v>60.1</v>
      </c>
      <c r="AG58" s="54">
        <v>60</v>
      </c>
      <c r="AH58" s="47">
        <f t="shared" si="2"/>
        <v>61.2</v>
      </c>
      <c r="AI58" s="48">
        <f t="shared" si="3"/>
        <v>0</v>
      </c>
      <c r="AK58" s="74"/>
    </row>
    <row r="59" spans="1:41" x14ac:dyDescent="0.25">
      <c r="A59" s="53" t="s">
        <v>75</v>
      </c>
      <c r="B59" s="64">
        <v>30</v>
      </c>
      <c r="C59" s="64">
        <v>30</v>
      </c>
      <c r="D59" s="64">
        <v>30</v>
      </c>
      <c r="E59" s="64">
        <v>30</v>
      </c>
      <c r="F59" s="64">
        <v>30</v>
      </c>
      <c r="G59" s="64">
        <v>30</v>
      </c>
      <c r="H59" s="64">
        <v>30</v>
      </c>
      <c r="I59" s="64">
        <v>30</v>
      </c>
      <c r="J59" s="64">
        <v>30</v>
      </c>
      <c r="K59" s="64">
        <v>30</v>
      </c>
      <c r="L59" s="64">
        <v>30</v>
      </c>
      <c r="M59" s="64">
        <v>30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45">
        <v>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2.4</v>
      </c>
      <c r="K60" s="64">
        <v>2.4</v>
      </c>
      <c r="L60" s="64">
        <v>2.4</v>
      </c>
      <c r="M60" s="64">
        <v>5.7</v>
      </c>
      <c r="N60" s="64">
        <v>5.7</v>
      </c>
      <c r="O60" s="64">
        <v>18</v>
      </c>
      <c r="P60" s="64">
        <v>15.4</v>
      </c>
      <c r="Q60" s="64">
        <v>15.4</v>
      </c>
      <c r="R60" s="64">
        <v>18.5</v>
      </c>
      <c r="S60" s="64">
        <v>10.9</v>
      </c>
      <c r="T60" s="64">
        <v>10.4</v>
      </c>
      <c r="U60" s="45">
        <v>7.9</v>
      </c>
      <c r="V60" s="45">
        <v>2.6</v>
      </c>
      <c r="W60" s="45">
        <v>1.7</v>
      </c>
      <c r="X60" s="45">
        <v>0.5</v>
      </c>
      <c r="Y60" s="45">
        <v>0.3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18.5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16</v>
      </c>
      <c r="C61" s="64">
        <v>16</v>
      </c>
      <c r="D61" s="64">
        <v>16</v>
      </c>
      <c r="E61" s="64">
        <v>16</v>
      </c>
      <c r="F61" s="64">
        <v>16</v>
      </c>
      <c r="G61" s="64">
        <v>16</v>
      </c>
      <c r="H61" s="64">
        <v>16</v>
      </c>
      <c r="I61" s="64">
        <v>16</v>
      </c>
      <c r="J61" s="64">
        <v>16</v>
      </c>
      <c r="K61" s="64">
        <v>16</v>
      </c>
      <c r="L61" s="64">
        <v>16</v>
      </c>
      <c r="M61" s="64">
        <v>16</v>
      </c>
      <c r="N61" s="64">
        <v>16</v>
      </c>
      <c r="O61" s="64">
        <v>16</v>
      </c>
      <c r="P61" s="64">
        <v>16</v>
      </c>
      <c r="Q61" s="64">
        <v>16</v>
      </c>
      <c r="R61" s="64">
        <v>16</v>
      </c>
      <c r="S61" s="64">
        <v>16</v>
      </c>
      <c r="T61" s="64">
        <v>16</v>
      </c>
      <c r="U61" s="64">
        <v>16</v>
      </c>
      <c r="V61" s="64">
        <v>16</v>
      </c>
      <c r="W61" s="64">
        <v>16</v>
      </c>
      <c r="X61" s="64">
        <v>16</v>
      </c>
      <c r="Y61" s="64">
        <v>16</v>
      </c>
      <c r="Z61" s="64">
        <v>16</v>
      </c>
      <c r="AA61" s="64">
        <v>16</v>
      </c>
      <c r="AB61" s="64">
        <v>16</v>
      </c>
      <c r="AC61" s="64">
        <v>16</v>
      </c>
      <c r="AD61" s="64">
        <v>16</v>
      </c>
      <c r="AE61" s="64">
        <v>16</v>
      </c>
      <c r="AF61" s="64">
        <v>16</v>
      </c>
      <c r="AG61" s="54">
        <v>24</v>
      </c>
      <c r="AH61" s="47">
        <f t="shared" si="2"/>
        <v>16</v>
      </c>
      <c r="AI61" s="48">
        <f t="shared" si="3"/>
        <v>16</v>
      </c>
      <c r="AK61" s="74"/>
    </row>
    <row r="62" spans="1:41" x14ac:dyDescent="0.25">
      <c r="A62" s="53" t="s">
        <v>78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>
        <v>4</v>
      </c>
      <c r="P62" s="64">
        <v>4</v>
      </c>
      <c r="Q62" s="64">
        <v>4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2"/>
        <v>4</v>
      </c>
      <c r="AI62" s="48">
        <f t="shared" si="3"/>
        <v>4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10.5</v>
      </c>
      <c r="C63" s="64">
        <v>10.5</v>
      </c>
      <c r="D63" s="64">
        <v>10.5</v>
      </c>
      <c r="E63" s="64">
        <v>10.5</v>
      </c>
      <c r="F63" s="64">
        <v>10.5</v>
      </c>
      <c r="G63" s="64">
        <v>10.5</v>
      </c>
      <c r="H63" s="64">
        <v>10.5</v>
      </c>
      <c r="I63" s="64">
        <v>10.5</v>
      </c>
      <c r="J63" s="64">
        <v>10.5</v>
      </c>
      <c r="K63" s="64">
        <v>10.5</v>
      </c>
      <c r="L63" s="64">
        <v>10.5</v>
      </c>
      <c r="M63" s="64">
        <v>12</v>
      </c>
      <c r="N63" s="64">
        <v>12</v>
      </c>
      <c r="O63" s="64">
        <v>12</v>
      </c>
      <c r="P63" s="64">
        <v>12</v>
      </c>
      <c r="Q63" s="64">
        <v>12</v>
      </c>
      <c r="R63" s="64">
        <v>12</v>
      </c>
      <c r="S63" s="64">
        <v>12</v>
      </c>
      <c r="T63" s="64">
        <v>12</v>
      </c>
      <c r="U63" s="64">
        <v>12</v>
      </c>
      <c r="V63" s="64">
        <v>10.8</v>
      </c>
      <c r="W63" s="64">
        <v>10.8</v>
      </c>
      <c r="X63" s="64">
        <v>10.8</v>
      </c>
      <c r="Y63" s="64">
        <v>12.3</v>
      </c>
      <c r="Z63" s="64">
        <v>12.3</v>
      </c>
      <c r="AA63" s="64">
        <v>12.3</v>
      </c>
      <c r="AB63" s="64">
        <v>12.3</v>
      </c>
      <c r="AC63" s="64">
        <v>12.3</v>
      </c>
      <c r="AD63" s="64">
        <v>12.3</v>
      </c>
      <c r="AE63" s="64">
        <v>12.3</v>
      </c>
      <c r="AF63" s="64">
        <v>12.3</v>
      </c>
      <c r="AG63" s="54">
        <v>14.1</v>
      </c>
      <c r="AH63" s="47">
        <f t="shared" si="2"/>
        <v>12.3</v>
      </c>
      <c r="AI63" s="48">
        <f t="shared" si="3"/>
        <v>10.5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>
        <v>0</v>
      </c>
      <c r="AA64" s="64">
        <v>0</v>
      </c>
      <c r="AB64" s="64">
        <v>0</v>
      </c>
      <c r="AC64" s="64">
        <v>0</v>
      </c>
      <c r="AD64" s="64">
        <v>0</v>
      </c>
      <c r="AE64" s="64">
        <v>0</v>
      </c>
      <c r="AF64" s="64">
        <v>0</v>
      </c>
      <c r="AG64" s="54">
        <v>14</v>
      </c>
      <c r="AH64" s="47">
        <f t="shared" si="2"/>
        <v>0</v>
      </c>
      <c r="AI64" s="48">
        <f t="shared" si="3"/>
        <v>0</v>
      </c>
      <c r="AK64" s="74"/>
    </row>
    <row r="65" spans="1:40" x14ac:dyDescent="0.25">
      <c r="A65" s="53" t="s">
        <v>81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9.5</v>
      </c>
      <c r="X65" s="64">
        <v>9.5</v>
      </c>
      <c r="Y65" s="64">
        <v>9.5</v>
      </c>
      <c r="Z65" s="64">
        <v>9.5</v>
      </c>
      <c r="AA65" s="64">
        <v>9.5</v>
      </c>
      <c r="AB65" s="64">
        <v>9.5</v>
      </c>
      <c r="AC65" s="64">
        <v>9.5</v>
      </c>
      <c r="AD65" s="64">
        <v>9.5</v>
      </c>
      <c r="AE65" s="64">
        <v>9.5</v>
      </c>
      <c r="AF65" s="64">
        <v>9.5</v>
      </c>
      <c r="AG65" s="54">
        <v>10.050000000000001</v>
      </c>
      <c r="AH65" s="47">
        <f t="shared" si="2"/>
        <v>9.5</v>
      </c>
      <c r="AI65" s="48">
        <f t="shared" si="3"/>
        <v>9.5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v>370.84000000000003</v>
      </c>
      <c r="C68" s="59">
        <f t="shared" ref="C68:AG68" si="10">SUM(C55:C67)</f>
        <v>370.84000000000003</v>
      </c>
      <c r="D68" s="59">
        <f t="shared" si="10"/>
        <v>370.84000000000003</v>
      </c>
      <c r="E68" s="59">
        <f t="shared" si="10"/>
        <v>366.54</v>
      </c>
      <c r="F68" s="59">
        <f t="shared" si="10"/>
        <v>368.54</v>
      </c>
      <c r="G68" s="59">
        <f t="shared" si="10"/>
        <v>368.54</v>
      </c>
      <c r="H68" s="59">
        <f t="shared" si="10"/>
        <v>368.54</v>
      </c>
      <c r="I68" s="59">
        <f t="shared" si="10"/>
        <v>368.54</v>
      </c>
      <c r="J68" s="59">
        <f t="shared" si="10"/>
        <v>370.94</v>
      </c>
      <c r="K68" s="59">
        <f t="shared" si="10"/>
        <v>370.94</v>
      </c>
      <c r="L68" s="59">
        <f t="shared" si="10"/>
        <v>370.94</v>
      </c>
      <c r="M68" s="59">
        <f t="shared" si="10"/>
        <v>371.34</v>
      </c>
      <c r="N68" s="59">
        <f t="shared" si="10"/>
        <v>345.44</v>
      </c>
      <c r="O68" s="59">
        <f t="shared" si="10"/>
        <v>353.24</v>
      </c>
      <c r="P68" s="59">
        <f t="shared" si="10"/>
        <v>351.94</v>
      </c>
      <c r="Q68" s="59">
        <f t="shared" si="10"/>
        <v>353.84</v>
      </c>
      <c r="R68" s="59">
        <f t="shared" si="10"/>
        <v>351.94</v>
      </c>
      <c r="S68" s="59">
        <f t="shared" si="10"/>
        <v>347.43999999999994</v>
      </c>
      <c r="T68" s="59">
        <f t="shared" si="10"/>
        <v>346.93999999999994</v>
      </c>
      <c r="U68" s="59">
        <f t="shared" si="10"/>
        <v>344.94</v>
      </c>
      <c r="V68" s="59">
        <f t="shared" si="10"/>
        <v>309.94000000000005</v>
      </c>
      <c r="W68" s="59">
        <f t="shared" si="10"/>
        <v>339.84000000000003</v>
      </c>
      <c r="X68" s="59">
        <f t="shared" si="10"/>
        <v>367.8</v>
      </c>
      <c r="Y68" s="59">
        <f t="shared" si="10"/>
        <v>369.1</v>
      </c>
      <c r="Z68" s="59">
        <f t="shared" si="10"/>
        <v>368.8</v>
      </c>
      <c r="AA68" s="59">
        <f t="shared" si="10"/>
        <v>368.8</v>
      </c>
      <c r="AB68" s="59">
        <f t="shared" ref="AB68" si="11">SUM(AB55:AB67)</f>
        <v>368.8</v>
      </c>
      <c r="AC68" s="59">
        <f t="shared" si="10"/>
        <v>368.8</v>
      </c>
      <c r="AD68" s="59">
        <f t="shared" si="10"/>
        <v>368.8</v>
      </c>
      <c r="AE68" s="59">
        <f t="shared" ref="AE68:AF68" si="12">SUM(AE55:AE67)</f>
        <v>370.54</v>
      </c>
      <c r="AF68" s="59">
        <f t="shared" si="12"/>
        <v>340.1</v>
      </c>
      <c r="AG68" s="60">
        <f t="shared" si="10"/>
        <v>489.91</v>
      </c>
      <c r="AH68" s="47">
        <f t="shared" si="2"/>
        <v>371.34</v>
      </c>
      <c r="AI68" s="48">
        <f t="shared" si="3"/>
        <v>309.94000000000005</v>
      </c>
      <c r="AK68" s="74"/>
    </row>
    <row r="69" spans="1:40" x14ac:dyDescent="0.25">
      <c r="A69" s="44" t="s">
        <v>85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13.8</v>
      </c>
      <c r="Q69" s="45">
        <v>30</v>
      </c>
      <c r="R69" s="45">
        <v>10.4</v>
      </c>
      <c r="S69" s="45">
        <v>10.4</v>
      </c>
      <c r="T69" s="45">
        <v>9.6999999999999993</v>
      </c>
      <c r="U69" s="45">
        <v>14.2</v>
      </c>
      <c r="V69" s="45">
        <v>10.199999999999999</v>
      </c>
      <c r="W69" s="45">
        <v>10.199999999999999</v>
      </c>
      <c r="X69" s="45">
        <v>0</v>
      </c>
      <c r="Y69" s="45">
        <v>0</v>
      </c>
      <c r="Z69" s="45">
        <v>26</v>
      </c>
      <c r="AA69" s="45">
        <v>30</v>
      </c>
      <c r="AB69" s="45">
        <v>34.200000000000003</v>
      </c>
      <c r="AC69" s="45">
        <v>13.8</v>
      </c>
      <c r="AD69" s="45">
        <v>29.5</v>
      </c>
      <c r="AE69" s="45">
        <v>10.199999999999999</v>
      </c>
      <c r="AF69" s="45">
        <v>0</v>
      </c>
      <c r="AG69" s="51">
        <v>60</v>
      </c>
      <c r="AH69" s="47">
        <f t="shared" si="2"/>
        <v>34.200000000000003</v>
      </c>
      <c r="AI69" s="48">
        <f t="shared" si="3"/>
        <v>0</v>
      </c>
      <c r="AK69" s="74"/>
    </row>
    <row r="70" spans="1:40" x14ac:dyDescent="0.25">
      <c r="A70" s="53" t="s">
        <v>86</v>
      </c>
      <c r="B70" s="45">
        <v>0</v>
      </c>
      <c r="C70" s="45">
        <v>0</v>
      </c>
      <c r="D70" s="45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5.6</v>
      </c>
      <c r="Q70" s="64">
        <v>13.5</v>
      </c>
      <c r="R70" s="64">
        <v>3.7</v>
      </c>
      <c r="S70" s="64">
        <v>3.7</v>
      </c>
      <c r="T70" s="64">
        <v>4</v>
      </c>
      <c r="U70" s="64">
        <v>3.7</v>
      </c>
      <c r="V70" s="64">
        <v>3.6</v>
      </c>
      <c r="W70" s="64">
        <v>4.0999999999999996</v>
      </c>
      <c r="X70" s="64">
        <v>0</v>
      </c>
      <c r="Y70" s="64">
        <v>0</v>
      </c>
      <c r="Z70" s="64">
        <v>0</v>
      </c>
      <c r="AA70" s="64">
        <v>4.7</v>
      </c>
      <c r="AB70" s="64">
        <v>17.399999999999999</v>
      </c>
      <c r="AC70" s="64">
        <v>7.3</v>
      </c>
      <c r="AD70" s="64">
        <v>8.1999999999999993</v>
      </c>
      <c r="AE70" s="64">
        <v>3.6</v>
      </c>
      <c r="AF70" s="64">
        <v>0</v>
      </c>
      <c r="AG70" s="54">
        <v>32</v>
      </c>
      <c r="AH70" s="47">
        <f t="shared" si="2"/>
        <v>17.399999999999999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>
        <v>0</v>
      </c>
      <c r="C71" s="45">
        <v>0</v>
      </c>
      <c r="D71" s="45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2.1</v>
      </c>
      <c r="Q71" s="66">
        <v>4.9000000000000004</v>
      </c>
      <c r="R71" s="66">
        <v>1.4</v>
      </c>
      <c r="S71" s="66">
        <v>1.4</v>
      </c>
      <c r="T71" s="66">
        <v>1.5</v>
      </c>
      <c r="U71" s="66">
        <v>1.4</v>
      </c>
      <c r="V71" s="66">
        <v>1.3</v>
      </c>
      <c r="W71" s="66">
        <v>1.5</v>
      </c>
      <c r="X71" s="66">
        <v>0</v>
      </c>
      <c r="Y71" s="66">
        <v>0</v>
      </c>
      <c r="Z71" s="66">
        <v>0</v>
      </c>
      <c r="AA71" s="66">
        <v>1.7</v>
      </c>
      <c r="AB71" s="66">
        <v>6.4</v>
      </c>
      <c r="AC71" s="66">
        <v>2.7</v>
      </c>
      <c r="AD71" s="66">
        <v>3</v>
      </c>
      <c r="AE71" s="66">
        <v>1.5</v>
      </c>
      <c r="AF71" s="66">
        <v>0</v>
      </c>
      <c r="AG71" s="67">
        <v>14</v>
      </c>
      <c r="AH71" s="47">
        <f t="shared" si="2"/>
        <v>6.4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D72" si="13">M69+M70+M71</f>
        <v>0</v>
      </c>
      <c r="N72" s="59">
        <f t="shared" si="13"/>
        <v>0</v>
      </c>
      <c r="O72" s="59">
        <f t="shared" si="13"/>
        <v>0</v>
      </c>
      <c r="P72" s="59">
        <f t="shared" si="13"/>
        <v>21.5</v>
      </c>
      <c r="Q72" s="59">
        <f t="shared" si="13"/>
        <v>48.4</v>
      </c>
      <c r="R72" s="59">
        <f t="shared" si="13"/>
        <v>15.500000000000002</v>
      </c>
      <c r="S72" s="59">
        <f t="shared" si="13"/>
        <v>15.500000000000002</v>
      </c>
      <c r="T72" s="59">
        <f t="shared" si="13"/>
        <v>15.2</v>
      </c>
      <c r="U72" s="59">
        <f t="shared" si="13"/>
        <v>19.299999999999997</v>
      </c>
      <c r="V72" s="59">
        <f t="shared" si="13"/>
        <v>15.1</v>
      </c>
      <c r="W72" s="59">
        <f t="shared" si="13"/>
        <v>15.799999999999999</v>
      </c>
      <c r="X72" s="59">
        <f t="shared" si="13"/>
        <v>0</v>
      </c>
      <c r="Y72" s="59">
        <f t="shared" si="13"/>
        <v>0</v>
      </c>
      <c r="Z72" s="59">
        <f t="shared" si="13"/>
        <v>26</v>
      </c>
      <c r="AA72" s="59">
        <f t="shared" si="13"/>
        <v>36.400000000000006</v>
      </c>
      <c r="AB72" s="59">
        <f t="shared" si="13"/>
        <v>58</v>
      </c>
      <c r="AC72" s="59">
        <f t="shared" si="13"/>
        <v>23.8</v>
      </c>
      <c r="AD72" s="59">
        <f t="shared" si="13"/>
        <v>40.700000000000003</v>
      </c>
      <c r="AE72" s="59">
        <f t="shared" ref="AE72:AF72" si="14">AE69+AE70+AE71</f>
        <v>15.299999999999999</v>
      </c>
      <c r="AF72" s="59">
        <f t="shared" si="14"/>
        <v>0</v>
      </c>
      <c r="AG72" s="60">
        <f>SUM(AG69:AG71)</f>
        <v>106</v>
      </c>
      <c r="AH72" s="47">
        <f t="shared" si="2"/>
        <v>58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30</v>
      </c>
      <c r="C73" s="45">
        <v>29.7</v>
      </c>
      <c r="D73" s="45">
        <v>22</v>
      </c>
      <c r="E73" s="45">
        <v>22.1</v>
      </c>
      <c r="F73" s="45">
        <v>20</v>
      </c>
      <c r="G73" s="45">
        <v>15.1</v>
      </c>
      <c r="H73" s="45">
        <v>14.4</v>
      </c>
      <c r="I73" s="45">
        <v>8.3000000000000007</v>
      </c>
      <c r="J73" s="45">
        <v>26.2</v>
      </c>
      <c r="K73" s="45">
        <v>26.2</v>
      </c>
      <c r="L73" s="45">
        <v>26.1</v>
      </c>
      <c r="M73" s="45">
        <v>8.6</v>
      </c>
      <c r="N73" s="45">
        <v>72.599999999999994</v>
      </c>
      <c r="O73" s="45">
        <v>52.6</v>
      </c>
      <c r="P73" s="45">
        <v>62.7</v>
      </c>
      <c r="Q73" s="45">
        <v>68.8</v>
      </c>
      <c r="R73" s="45">
        <v>66</v>
      </c>
      <c r="S73" s="45">
        <v>27.3</v>
      </c>
      <c r="T73" s="45">
        <v>39</v>
      </c>
      <c r="U73" s="45">
        <v>30.1</v>
      </c>
      <c r="V73" s="45">
        <v>39.200000000000003</v>
      </c>
      <c r="W73" s="45">
        <v>46.8</v>
      </c>
      <c r="X73" s="45">
        <v>2</v>
      </c>
      <c r="Y73" s="45">
        <v>13.2</v>
      </c>
      <c r="Z73" s="45">
        <v>21.6</v>
      </c>
      <c r="AA73" s="45">
        <v>52.5</v>
      </c>
      <c r="AB73" s="45">
        <v>62.4</v>
      </c>
      <c r="AC73" s="45">
        <v>57.7</v>
      </c>
      <c r="AD73" s="45">
        <v>28</v>
      </c>
      <c r="AE73" s="45">
        <v>65</v>
      </c>
      <c r="AF73" s="45">
        <v>70</v>
      </c>
      <c r="AG73" s="51"/>
      <c r="AH73" s="47">
        <f t="shared" si="2"/>
        <v>72.599999999999994</v>
      </c>
      <c r="AI73" s="48">
        <f t="shared" si="3"/>
        <v>2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-330</v>
      </c>
      <c r="C75" s="64">
        <v>-344</v>
      </c>
      <c r="D75" s="64">
        <v>-370</v>
      </c>
      <c r="E75" s="64">
        <v>-340</v>
      </c>
      <c r="F75" s="64">
        <v>-380</v>
      </c>
      <c r="G75" s="64">
        <v>-377</v>
      </c>
      <c r="H75" s="64">
        <v>-410</v>
      </c>
      <c r="I75" s="64">
        <v>-390</v>
      </c>
      <c r="J75" s="64">
        <v>-380</v>
      </c>
      <c r="K75" s="64">
        <v>-340</v>
      </c>
      <c r="L75" s="64">
        <v>-269</v>
      </c>
      <c r="M75" s="64">
        <v>-272</v>
      </c>
      <c r="N75" s="64">
        <v>-284</v>
      </c>
      <c r="O75" s="64">
        <v>-275</v>
      </c>
      <c r="P75" s="64">
        <v>-261.5</v>
      </c>
      <c r="Q75" s="64">
        <v>-274.7</v>
      </c>
      <c r="R75" s="64">
        <v>-245.9</v>
      </c>
      <c r="S75" s="64">
        <v>-249</v>
      </c>
      <c r="T75" s="64">
        <v>-272</v>
      </c>
      <c r="U75" s="64">
        <v>-245.7</v>
      </c>
      <c r="V75" s="64">
        <v>-286</v>
      </c>
      <c r="W75" s="64">
        <v>-268.39999999999998</v>
      </c>
      <c r="X75" s="64">
        <v>-270</v>
      </c>
      <c r="Y75" s="64">
        <v>-261</v>
      </c>
      <c r="Z75" s="64">
        <v>-317</v>
      </c>
      <c r="AA75" s="64">
        <v>-272</v>
      </c>
      <c r="AB75" s="64">
        <v>-301.8</v>
      </c>
      <c r="AC75" s="64">
        <v>-285</v>
      </c>
      <c r="AD75" s="64">
        <v>-221.1</v>
      </c>
      <c r="AE75" s="64">
        <v>-235</v>
      </c>
      <c r="AF75" s="64">
        <v>-226.8</v>
      </c>
      <c r="AG75" s="75"/>
      <c r="AH75" s="47">
        <f t="shared" si="2"/>
        <v>-221.1</v>
      </c>
      <c r="AI75" s="48">
        <f t="shared" si="3"/>
        <v>-410</v>
      </c>
      <c r="AK75" s="74"/>
    </row>
    <row r="76" spans="1:40" x14ac:dyDescent="0.25">
      <c r="A76" s="53" t="s">
        <v>92</v>
      </c>
      <c r="B76" s="64">
        <v>20</v>
      </c>
      <c r="C76" s="64">
        <v>19.8</v>
      </c>
      <c r="D76" s="64">
        <v>19.7</v>
      </c>
      <c r="E76" s="76">
        <v>19.7</v>
      </c>
      <c r="F76" s="76">
        <v>19.7</v>
      </c>
      <c r="G76" s="76">
        <v>19.7</v>
      </c>
      <c r="H76" s="76">
        <v>19.8</v>
      </c>
      <c r="I76" s="76">
        <v>19.8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12</v>
      </c>
      <c r="P76" s="76">
        <v>12</v>
      </c>
      <c r="Q76" s="76">
        <v>12</v>
      </c>
      <c r="R76" s="76"/>
      <c r="S76" s="76">
        <v>12</v>
      </c>
      <c r="T76" s="76">
        <v>12</v>
      </c>
      <c r="U76" s="76">
        <v>20</v>
      </c>
      <c r="V76" s="76">
        <v>20</v>
      </c>
      <c r="W76" s="76">
        <v>20.399999999999999</v>
      </c>
      <c r="X76" s="76">
        <v>12</v>
      </c>
      <c r="Y76" s="76">
        <v>12</v>
      </c>
      <c r="Z76" s="76">
        <v>12</v>
      </c>
      <c r="AA76" s="76">
        <v>21.3</v>
      </c>
      <c r="AB76" s="76">
        <v>22.2</v>
      </c>
      <c r="AC76" s="76">
        <v>21.5</v>
      </c>
      <c r="AD76" s="64">
        <v>21.6</v>
      </c>
      <c r="AE76" s="64">
        <v>22.5</v>
      </c>
      <c r="AF76" s="64">
        <v>0</v>
      </c>
      <c r="AG76" s="75"/>
      <c r="AH76" s="47">
        <f t="shared" si="2"/>
        <v>22.5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15">MAX(B77:AF77)</f>
        <v>0</v>
      </c>
      <c r="AI77" s="48">
        <f t="shared" ref="AI77:AI120" si="16">MIN(B77:AF77)</f>
        <v>0</v>
      </c>
      <c r="AK77" s="74"/>
    </row>
    <row r="78" spans="1:40" x14ac:dyDescent="0.25">
      <c r="A78" s="53" t="s">
        <v>94</v>
      </c>
      <c r="B78" s="45">
        <v>5</v>
      </c>
      <c r="C78" s="77">
        <v>5</v>
      </c>
      <c r="D78" s="77">
        <v>5</v>
      </c>
      <c r="E78" s="77">
        <v>5</v>
      </c>
      <c r="F78" s="77">
        <v>5</v>
      </c>
      <c r="G78" s="77">
        <v>5</v>
      </c>
      <c r="H78" s="77">
        <v>5</v>
      </c>
      <c r="I78" s="77">
        <v>5</v>
      </c>
      <c r="J78" s="77">
        <v>5</v>
      </c>
      <c r="K78" s="77">
        <v>5</v>
      </c>
      <c r="L78" s="77">
        <v>5</v>
      </c>
      <c r="M78" s="77">
        <v>5</v>
      </c>
      <c r="N78" s="77">
        <v>5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5</v>
      </c>
      <c r="AC78" s="77">
        <v>5</v>
      </c>
      <c r="AD78" s="77">
        <v>5</v>
      </c>
      <c r="AE78" s="77">
        <v>5</v>
      </c>
      <c r="AF78" s="77">
        <v>5</v>
      </c>
      <c r="AG78" s="75"/>
      <c r="AH78" s="47">
        <f t="shared" si="15"/>
        <v>5</v>
      </c>
      <c r="AI78" s="48">
        <f t="shared" si="16"/>
        <v>0</v>
      </c>
      <c r="AK78" s="74"/>
    </row>
    <row r="79" spans="1:40" ht="15.75" thickBot="1" x14ac:dyDescent="0.3">
      <c r="A79" s="53" t="s">
        <v>95</v>
      </c>
      <c r="B79" s="45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5"/>
        <v>0</v>
      </c>
      <c r="AI79" s="48">
        <f t="shared" si="16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>
        <v>5</v>
      </c>
      <c r="C80" s="77">
        <v>5</v>
      </c>
      <c r="D80" s="77">
        <v>5</v>
      </c>
      <c r="E80" s="77">
        <v>5</v>
      </c>
      <c r="F80" s="77">
        <v>5</v>
      </c>
      <c r="G80" s="77">
        <v>5</v>
      </c>
      <c r="H80" s="77">
        <v>5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15"/>
        <v>5</v>
      </c>
      <c r="AI80" s="48">
        <f t="shared" si="16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5"/>
        <v>0</v>
      </c>
      <c r="AI81" s="48">
        <f t="shared" si="16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>
        <v>0</v>
      </c>
      <c r="C82" s="77">
        <v>0</v>
      </c>
      <c r="D82" s="77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5"/>
        <v>0</v>
      </c>
      <c r="AI82" s="48">
        <f t="shared" si="16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>
        <v>0</v>
      </c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5"/>
        <v>0</v>
      </c>
      <c r="AI83" s="48">
        <f t="shared" si="16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v>60</v>
      </c>
      <c r="C84" s="59">
        <f t="shared" ref="C84:AF84" si="17">SUMIF(C73:C83,"&gt;0")</f>
        <v>59.5</v>
      </c>
      <c r="D84" s="59">
        <f t="shared" si="17"/>
        <v>51.7</v>
      </c>
      <c r="E84" s="59">
        <f t="shared" si="17"/>
        <v>51.8</v>
      </c>
      <c r="F84" s="59">
        <f t="shared" si="17"/>
        <v>49.7</v>
      </c>
      <c r="G84" s="59">
        <f t="shared" si="17"/>
        <v>44.8</v>
      </c>
      <c r="H84" s="59">
        <f t="shared" si="17"/>
        <v>44.2</v>
      </c>
      <c r="I84" s="59">
        <f t="shared" si="17"/>
        <v>33.1</v>
      </c>
      <c r="J84" s="59">
        <f t="shared" si="17"/>
        <v>31.2</v>
      </c>
      <c r="K84" s="59">
        <f t="shared" si="17"/>
        <v>31.2</v>
      </c>
      <c r="L84" s="59">
        <f t="shared" si="17"/>
        <v>31.1</v>
      </c>
      <c r="M84" s="59">
        <f t="shared" si="17"/>
        <v>13.6</v>
      </c>
      <c r="N84" s="59">
        <f t="shared" si="17"/>
        <v>77.599999999999994</v>
      </c>
      <c r="O84" s="59">
        <f t="shared" si="17"/>
        <v>64.599999999999994</v>
      </c>
      <c r="P84" s="59">
        <f t="shared" si="17"/>
        <v>74.7</v>
      </c>
      <c r="Q84" s="59">
        <f t="shared" si="17"/>
        <v>80.8</v>
      </c>
      <c r="R84" s="59">
        <f t="shared" si="17"/>
        <v>66</v>
      </c>
      <c r="S84" s="59">
        <f t="shared" si="17"/>
        <v>39.299999999999997</v>
      </c>
      <c r="T84" s="59">
        <f t="shared" si="17"/>
        <v>51</v>
      </c>
      <c r="U84" s="59">
        <f t="shared" si="17"/>
        <v>50.1</v>
      </c>
      <c r="V84" s="59">
        <f t="shared" si="17"/>
        <v>59.2</v>
      </c>
      <c r="W84" s="59">
        <f t="shared" si="17"/>
        <v>67.199999999999989</v>
      </c>
      <c r="X84" s="59">
        <f t="shared" si="17"/>
        <v>14</v>
      </c>
      <c r="Y84" s="59">
        <f t="shared" si="17"/>
        <v>25.2</v>
      </c>
      <c r="Z84" s="59">
        <f t="shared" si="17"/>
        <v>33.6</v>
      </c>
      <c r="AA84" s="59">
        <f t="shared" si="17"/>
        <v>73.8</v>
      </c>
      <c r="AB84" s="59">
        <f t="shared" si="17"/>
        <v>89.6</v>
      </c>
      <c r="AC84" s="59">
        <f t="shared" si="17"/>
        <v>84.2</v>
      </c>
      <c r="AD84" s="59">
        <f t="shared" si="17"/>
        <v>54.6</v>
      </c>
      <c r="AE84" s="59">
        <f t="shared" si="17"/>
        <v>92.5</v>
      </c>
      <c r="AF84" s="59">
        <f t="shared" si="17"/>
        <v>75</v>
      </c>
      <c r="AG84" s="88">
        <f>SUM(AG73:AG83)</f>
        <v>0</v>
      </c>
      <c r="AH84" s="47">
        <f t="shared" si="15"/>
        <v>92.5</v>
      </c>
      <c r="AI84" s="48">
        <f t="shared" si="16"/>
        <v>13.6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5"/>
        <v>0</v>
      </c>
      <c r="AI85" s="48">
        <f t="shared" si="16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5"/>
        <v>0</v>
      </c>
      <c r="AI86" s="48">
        <f t="shared" si="16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5"/>
        <v>0</v>
      </c>
      <c r="AI87" s="48">
        <f t="shared" si="16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15"/>
        <v>0</v>
      </c>
      <c r="AI88" s="48">
        <f t="shared" si="16"/>
        <v>0</v>
      </c>
    </row>
    <row r="89" spans="1:40" ht="15.75" thickBot="1" x14ac:dyDescent="0.3">
      <c r="A89" s="73" t="s">
        <v>108</v>
      </c>
      <c r="B89" s="95">
        <v>1923.2400000000002</v>
      </c>
      <c r="C89" s="95">
        <f t="shared" ref="C89:AG89" si="18">C50+C54+C72+C68+C84+C88</f>
        <v>1919.8400000000001</v>
      </c>
      <c r="D89" s="95">
        <f t="shared" si="18"/>
        <v>1913.0400000000002</v>
      </c>
      <c r="E89" s="95">
        <f t="shared" si="18"/>
        <v>1867.24</v>
      </c>
      <c r="F89" s="95">
        <f t="shared" si="18"/>
        <v>1881.44</v>
      </c>
      <c r="G89" s="95">
        <f t="shared" si="18"/>
        <v>1882.9399999999998</v>
      </c>
      <c r="H89" s="95">
        <f t="shared" si="18"/>
        <v>1897.84</v>
      </c>
      <c r="I89" s="95">
        <f t="shared" si="18"/>
        <v>1907.9399999999998</v>
      </c>
      <c r="J89" s="95">
        <f t="shared" si="18"/>
        <v>1922.44</v>
      </c>
      <c r="K89" s="95">
        <f t="shared" si="18"/>
        <v>1927.0400000000002</v>
      </c>
      <c r="L89" s="95">
        <f t="shared" si="18"/>
        <v>1926.94</v>
      </c>
      <c r="M89" s="95">
        <f t="shared" si="18"/>
        <v>1923.5399999999997</v>
      </c>
      <c r="N89" s="95">
        <f t="shared" si="18"/>
        <v>1933.94</v>
      </c>
      <c r="O89" s="95">
        <f t="shared" si="18"/>
        <v>1934.34</v>
      </c>
      <c r="P89" s="95">
        <f t="shared" si="18"/>
        <v>1973.0400000000002</v>
      </c>
      <c r="Q89" s="95">
        <f t="shared" si="18"/>
        <v>2007.94</v>
      </c>
      <c r="R89" s="95">
        <f t="shared" si="18"/>
        <v>1958.3400000000001</v>
      </c>
      <c r="S89" s="95">
        <f t="shared" si="18"/>
        <v>1931.14</v>
      </c>
      <c r="T89" s="95">
        <f t="shared" si="18"/>
        <v>1984.2399999999998</v>
      </c>
      <c r="U89" s="95">
        <f t="shared" si="18"/>
        <v>1994.54</v>
      </c>
      <c r="V89" s="95">
        <f t="shared" si="18"/>
        <v>1980.64</v>
      </c>
      <c r="W89" s="95">
        <f t="shared" si="18"/>
        <v>2019.24</v>
      </c>
      <c r="X89" s="95">
        <f t="shared" si="18"/>
        <v>1960.2</v>
      </c>
      <c r="Y89" s="95">
        <f t="shared" si="18"/>
        <v>1904.8</v>
      </c>
      <c r="Z89" s="95">
        <f t="shared" si="18"/>
        <v>2027.4999999999998</v>
      </c>
      <c r="AA89" s="95">
        <f t="shared" si="18"/>
        <v>2078.1</v>
      </c>
      <c r="AB89" s="95">
        <f t="shared" si="18"/>
        <v>2118.2000000000003</v>
      </c>
      <c r="AC89" s="95">
        <f t="shared" si="18"/>
        <v>2078.6</v>
      </c>
      <c r="AD89" s="95">
        <f t="shared" si="18"/>
        <v>2065.9</v>
      </c>
      <c r="AE89" s="95">
        <f t="shared" si="18"/>
        <v>1970.04</v>
      </c>
      <c r="AF89" s="95">
        <f t="shared" si="18"/>
        <v>1853.5</v>
      </c>
      <c r="AG89" s="60">
        <f t="shared" si="18"/>
        <v>2111.5500000000002</v>
      </c>
      <c r="AH89" s="47">
        <f t="shared" si="15"/>
        <v>2118.2000000000003</v>
      </c>
      <c r="AI89" s="48">
        <f t="shared" si="16"/>
        <v>1853.5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>
        <v>100</v>
      </c>
      <c r="AG90" s="88"/>
      <c r="AH90" s="47">
        <f t="shared" si="15"/>
        <v>100</v>
      </c>
      <c r="AI90" s="48">
        <f t="shared" si="16"/>
        <v>100</v>
      </c>
    </row>
    <row r="91" spans="1:40" ht="15.75" thickBot="1" x14ac:dyDescent="0.3">
      <c r="A91" s="73" t="s">
        <v>110</v>
      </c>
      <c r="B91" s="95">
        <v>1923.2400000000002</v>
      </c>
      <c r="C91" s="95">
        <f t="shared" ref="C91:AF91" si="19">C89+C90</f>
        <v>1919.8400000000001</v>
      </c>
      <c r="D91" s="95">
        <f t="shared" si="19"/>
        <v>1913.0400000000002</v>
      </c>
      <c r="E91" s="95">
        <f t="shared" si="19"/>
        <v>1867.24</v>
      </c>
      <c r="F91" s="95">
        <f t="shared" si="19"/>
        <v>1881.44</v>
      </c>
      <c r="G91" s="95">
        <f t="shared" si="19"/>
        <v>1882.9399999999998</v>
      </c>
      <c r="H91" s="95">
        <f t="shared" si="19"/>
        <v>1897.84</v>
      </c>
      <c r="I91" s="95">
        <f t="shared" si="19"/>
        <v>1907.9399999999998</v>
      </c>
      <c r="J91" s="95">
        <f t="shared" si="19"/>
        <v>1922.44</v>
      </c>
      <c r="K91" s="95">
        <f t="shared" si="19"/>
        <v>1927.0400000000002</v>
      </c>
      <c r="L91" s="95">
        <f t="shared" si="19"/>
        <v>1926.94</v>
      </c>
      <c r="M91" s="95">
        <f t="shared" si="19"/>
        <v>1923.5399999999997</v>
      </c>
      <c r="N91" s="95">
        <f t="shared" si="19"/>
        <v>1933.94</v>
      </c>
      <c r="O91" s="95">
        <f t="shared" si="19"/>
        <v>1934.34</v>
      </c>
      <c r="P91" s="95">
        <f t="shared" si="19"/>
        <v>1973.0400000000002</v>
      </c>
      <c r="Q91" s="95">
        <f t="shared" si="19"/>
        <v>2007.94</v>
      </c>
      <c r="R91" s="95">
        <f t="shared" si="19"/>
        <v>1958.3400000000001</v>
      </c>
      <c r="S91" s="95">
        <f t="shared" si="19"/>
        <v>1931.14</v>
      </c>
      <c r="T91" s="95">
        <f t="shared" si="19"/>
        <v>1984.2399999999998</v>
      </c>
      <c r="U91" s="95">
        <f t="shared" si="19"/>
        <v>1994.54</v>
      </c>
      <c r="V91" s="95">
        <f t="shared" si="19"/>
        <v>1980.64</v>
      </c>
      <c r="W91" s="95">
        <f t="shared" si="19"/>
        <v>2019.24</v>
      </c>
      <c r="X91" s="95">
        <f t="shared" si="19"/>
        <v>1960.2</v>
      </c>
      <c r="Y91" s="95">
        <f t="shared" si="19"/>
        <v>1904.8</v>
      </c>
      <c r="Z91" s="95">
        <f t="shared" si="19"/>
        <v>2027.4999999999998</v>
      </c>
      <c r="AA91" s="95">
        <f t="shared" si="19"/>
        <v>2078.1</v>
      </c>
      <c r="AB91" s="95">
        <f t="shared" si="19"/>
        <v>2118.2000000000003</v>
      </c>
      <c r="AC91" s="95">
        <f t="shared" si="19"/>
        <v>2078.6</v>
      </c>
      <c r="AD91" s="95">
        <f t="shared" si="19"/>
        <v>2065.9</v>
      </c>
      <c r="AE91" s="95">
        <f t="shared" si="19"/>
        <v>1970.04</v>
      </c>
      <c r="AF91" s="95">
        <f t="shared" si="19"/>
        <v>1953.5</v>
      </c>
      <c r="AG91" s="88">
        <f>AG88+AG84+AG72+AG68+AG50+AG90</f>
        <v>1573.45</v>
      </c>
      <c r="AH91" s="47">
        <f t="shared" si="15"/>
        <v>2118.2000000000003</v>
      </c>
      <c r="AI91" s="48">
        <f t="shared" si="16"/>
        <v>1867.24</v>
      </c>
    </row>
    <row r="92" spans="1:40" ht="15.75" thickBot="1" x14ac:dyDescent="0.3">
      <c r="A92" s="73" t="s">
        <v>111</v>
      </c>
      <c r="B92" s="95">
        <v>1923.2400000000002</v>
      </c>
      <c r="C92" s="95">
        <f t="shared" ref="C92:AF92" si="20">C91-C99</f>
        <v>1919.8400000000001</v>
      </c>
      <c r="D92" s="95">
        <f t="shared" si="20"/>
        <v>1913.0400000000002</v>
      </c>
      <c r="E92" s="95">
        <f t="shared" si="20"/>
        <v>1867.24</v>
      </c>
      <c r="F92" s="95">
        <f t="shared" si="20"/>
        <v>1881.44</v>
      </c>
      <c r="G92" s="95">
        <f t="shared" si="20"/>
        <v>1882.9399999999998</v>
      </c>
      <c r="H92" s="95">
        <f t="shared" si="20"/>
        <v>1897.84</v>
      </c>
      <c r="I92" s="95">
        <f t="shared" si="20"/>
        <v>1907.9399999999998</v>
      </c>
      <c r="J92" s="95">
        <f t="shared" si="20"/>
        <v>1922.44</v>
      </c>
      <c r="K92" s="95">
        <f t="shared" si="20"/>
        <v>1927.0400000000002</v>
      </c>
      <c r="L92" s="95">
        <f t="shared" si="20"/>
        <v>1926.94</v>
      </c>
      <c r="M92" s="95">
        <f t="shared" si="20"/>
        <v>1923.5399999999997</v>
      </c>
      <c r="N92" s="95">
        <f t="shared" si="20"/>
        <v>1933.94</v>
      </c>
      <c r="O92" s="95">
        <f t="shared" si="20"/>
        <v>1934.34</v>
      </c>
      <c r="P92" s="95">
        <f t="shared" si="20"/>
        <v>1973.0400000000002</v>
      </c>
      <c r="Q92" s="95">
        <f t="shared" si="20"/>
        <v>2007.94</v>
      </c>
      <c r="R92" s="95">
        <f t="shared" si="20"/>
        <v>1958.3400000000001</v>
      </c>
      <c r="S92" s="95">
        <f t="shared" si="20"/>
        <v>1931.14</v>
      </c>
      <c r="T92" s="95">
        <f t="shared" si="20"/>
        <v>1984.2399999999998</v>
      </c>
      <c r="U92" s="95">
        <f t="shared" si="20"/>
        <v>1994.54</v>
      </c>
      <c r="V92" s="95">
        <f t="shared" si="20"/>
        <v>1980.64</v>
      </c>
      <c r="W92" s="95">
        <f t="shared" si="20"/>
        <v>2019.24</v>
      </c>
      <c r="X92" s="95">
        <f t="shared" si="20"/>
        <v>1960.2</v>
      </c>
      <c r="Y92" s="95">
        <f t="shared" si="20"/>
        <v>1904.8</v>
      </c>
      <c r="Z92" s="95">
        <f t="shared" si="20"/>
        <v>2027.4999999999998</v>
      </c>
      <c r="AA92" s="95">
        <f t="shared" si="20"/>
        <v>2078.1</v>
      </c>
      <c r="AB92" s="95">
        <f t="shared" si="20"/>
        <v>2118.2000000000003</v>
      </c>
      <c r="AC92" s="95">
        <f t="shared" si="20"/>
        <v>2078.6</v>
      </c>
      <c r="AD92" s="95">
        <f t="shared" si="20"/>
        <v>2065.9</v>
      </c>
      <c r="AE92" s="95">
        <f t="shared" si="20"/>
        <v>1970.04</v>
      </c>
      <c r="AF92" s="95">
        <f t="shared" si="20"/>
        <v>1953.5</v>
      </c>
      <c r="AG92" s="88"/>
      <c r="AH92" s="47">
        <f t="shared" si="15"/>
        <v>2118.2000000000003</v>
      </c>
      <c r="AI92" s="48">
        <f t="shared" si="16"/>
        <v>1867.24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5"/>
        <v>0</v>
      </c>
      <c r="AI93" s="48">
        <f t="shared" si="16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5"/>
        <v>0</v>
      </c>
      <c r="AI94" s="48">
        <f t="shared" si="16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5"/>
        <v>0</v>
      </c>
      <c r="AI95" s="48">
        <f t="shared" si="16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5"/>
        <v>0</v>
      </c>
      <c r="AI96" s="48">
        <f t="shared" si="16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5"/>
        <v>0</v>
      </c>
      <c r="AI97" s="48">
        <f t="shared" si="16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5"/>
        <v>0</v>
      </c>
      <c r="AI98" s="48">
        <f t="shared" si="16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15"/>
        <v>0</v>
      </c>
      <c r="AI99" s="48">
        <f t="shared" si="16"/>
        <v>0</v>
      </c>
      <c r="AK99" s="74"/>
    </row>
    <row r="100" spans="1:37" ht="15.75" thickBot="1" x14ac:dyDescent="0.3">
      <c r="A100" s="73" t="s">
        <v>116</v>
      </c>
      <c r="B100" s="59">
        <v>60</v>
      </c>
      <c r="C100" s="59">
        <f t="shared" ref="C100:AF100" si="21">C84-C99</f>
        <v>59.5</v>
      </c>
      <c r="D100" s="59">
        <f t="shared" si="21"/>
        <v>51.7</v>
      </c>
      <c r="E100" s="59">
        <f t="shared" si="21"/>
        <v>51.8</v>
      </c>
      <c r="F100" s="59">
        <f t="shared" si="21"/>
        <v>49.7</v>
      </c>
      <c r="G100" s="59">
        <f t="shared" si="21"/>
        <v>44.8</v>
      </c>
      <c r="H100" s="59">
        <f t="shared" si="21"/>
        <v>44.2</v>
      </c>
      <c r="I100" s="59">
        <f t="shared" si="21"/>
        <v>33.1</v>
      </c>
      <c r="J100" s="59">
        <f t="shared" si="21"/>
        <v>31.2</v>
      </c>
      <c r="K100" s="59">
        <f t="shared" si="21"/>
        <v>31.2</v>
      </c>
      <c r="L100" s="59">
        <f t="shared" si="21"/>
        <v>31.1</v>
      </c>
      <c r="M100" s="59">
        <f t="shared" si="21"/>
        <v>13.6</v>
      </c>
      <c r="N100" s="59">
        <f t="shared" si="21"/>
        <v>77.599999999999994</v>
      </c>
      <c r="O100" s="59">
        <f t="shared" si="21"/>
        <v>64.599999999999994</v>
      </c>
      <c r="P100" s="59">
        <f t="shared" si="21"/>
        <v>74.7</v>
      </c>
      <c r="Q100" s="59">
        <f t="shared" si="21"/>
        <v>80.8</v>
      </c>
      <c r="R100" s="59">
        <f t="shared" si="21"/>
        <v>66</v>
      </c>
      <c r="S100" s="59">
        <f t="shared" si="21"/>
        <v>39.299999999999997</v>
      </c>
      <c r="T100" s="59">
        <f t="shared" si="21"/>
        <v>51</v>
      </c>
      <c r="U100" s="59">
        <f t="shared" si="21"/>
        <v>50.1</v>
      </c>
      <c r="V100" s="59">
        <f t="shared" si="21"/>
        <v>59.2</v>
      </c>
      <c r="W100" s="59">
        <f t="shared" si="21"/>
        <v>67.199999999999989</v>
      </c>
      <c r="X100" s="59">
        <f t="shared" si="21"/>
        <v>14</v>
      </c>
      <c r="Y100" s="59">
        <f t="shared" si="21"/>
        <v>25.2</v>
      </c>
      <c r="Z100" s="59">
        <f t="shared" si="21"/>
        <v>33.6</v>
      </c>
      <c r="AA100" s="59">
        <f t="shared" si="21"/>
        <v>73.8</v>
      </c>
      <c r="AB100" s="59">
        <f t="shared" si="21"/>
        <v>89.6</v>
      </c>
      <c r="AC100" s="59">
        <f t="shared" si="21"/>
        <v>84.2</v>
      </c>
      <c r="AD100" s="59">
        <f t="shared" si="21"/>
        <v>54.6</v>
      </c>
      <c r="AE100" s="59">
        <f t="shared" si="21"/>
        <v>92.5</v>
      </c>
      <c r="AF100" s="59">
        <f t="shared" si="21"/>
        <v>75</v>
      </c>
      <c r="AG100" s="88"/>
      <c r="AH100" s="47">
        <f t="shared" si="15"/>
        <v>92.5</v>
      </c>
      <c r="AI100" s="48">
        <f t="shared" si="16"/>
        <v>13.6</v>
      </c>
    </row>
    <row r="101" spans="1:37" x14ac:dyDescent="0.25">
      <c r="A101" s="100" t="s">
        <v>117</v>
      </c>
      <c r="B101" s="101">
        <v>50.03</v>
      </c>
      <c r="C101" s="101">
        <v>49.94</v>
      </c>
      <c r="D101" s="101">
        <v>49.96</v>
      </c>
      <c r="E101" s="101">
        <v>50.01</v>
      </c>
      <c r="F101" s="101">
        <v>50.02</v>
      </c>
      <c r="G101" s="101">
        <v>49.98</v>
      </c>
      <c r="H101" s="101">
        <v>49.97</v>
      </c>
      <c r="I101" s="101">
        <v>50.12</v>
      </c>
      <c r="J101" s="101">
        <v>49.99</v>
      </c>
      <c r="K101" s="101">
        <v>50.01</v>
      </c>
      <c r="L101" s="101">
        <v>50.01</v>
      </c>
      <c r="M101" s="101">
        <v>49.96</v>
      </c>
      <c r="N101" s="101">
        <v>49.933</v>
      </c>
      <c r="O101" s="101">
        <v>49.993000000000002</v>
      </c>
      <c r="P101" s="101">
        <v>49.767000000000003</v>
      </c>
      <c r="Q101" s="101">
        <v>49.886000000000003</v>
      </c>
      <c r="R101" s="101">
        <v>49.98</v>
      </c>
      <c r="S101" s="101">
        <v>49.98</v>
      </c>
      <c r="T101" s="101">
        <v>50</v>
      </c>
      <c r="U101" s="101">
        <v>49.970999999999997</v>
      </c>
      <c r="V101" s="101">
        <v>49.954999999999998</v>
      </c>
      <c r="W101" s="101">
        <v>49.99</v>
      </c>
      <c r="X101" s="101">
        <v>50.073</v>
      </c>
      <c r="Y101" s="101">
        <v>50.078000000000003</v>
      </c>
      <c r="Z101" s="101">
        <v>50.146999999999998</v>
      </c>
      <c r="AA101" s="101">
        <v>50.021000000000001</v>
      </c>
      <c r="AB101" s="101">
        <v>49.99</v>
      </c>
      <c r="AC101" s="101">
        <v>50.031999999999996</v>
      </c>
      <c r="AD101" s="101">
        <v>50.084000000000003</v>
      </c>
      <c r="AE101" s="101">
        <v>50.06</v>
      </c>
      <c r="AF101" s="101">
        <v>50.07</v>
      </c>
      <c r="AG101" s="102"/>
      <c r="AH101" s="47">
        <f t="shared" si="15"/>
        <v>50.146999999999998</v>
      </c>
      <c r="AI101" s="48">
        <f t="shared" si="16"/>
        <v>49.767000000000003</v>
      </c>
    </row>
    <row r="102" spans="1:37" x14ac:dyDescent="0.25">
      <c r="A102" s="103" t="s">
        <v>118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4"/>
      <c r="AH102" s="47">
        <f t="shared" si="15"/>
        <v>0</v>
      </c>
      <c r="AI102" s="48">
        <f t="shared" si="16"/>
        <v>0</v>
      </c>
    </row>
    <row r="103" spans="1:37" x14ac:dyDescent="0.25">
      <c r="A103" s="103" t="s">
        <v>119</v>
      </c>
      <c r="B103" s="64">
        <v>129.4</v>
      </c>
      <c r="C103" s="64">
        <v>129</v>
      </c>
      <c r="D103" s="64">
        <v>129</v>
      </c>
      <c r="E103" s="64">
        <v>127.9</v>
      </c>
      <c r="F103" s="64">
        <v>127.9</v>
      </c>
      <c r="G103" s="64">
        <v>128.6</v>
      </c>
      <c r="H103" s="64">
        <v>127.9</v>
      </c>
      <c r="I103" s="64">
        <v>128.69999999999999</v>
      </c>
      <c r="J103" s="64">
        <v>126.5</v>
      </c>
      <c r="K103" s="64">
        <v>127.1</v>
      </c>
      <c r="L103" s="64">
        <v>125</v>
      </c>
      <c r="M103" s="64">
        <v>126</v>
      </c>
      <c r="N103" s="64">
        <v>123.4</v>
      </c>
      <c r="O103" s="64">
        <v>123.5</v>
      </c>
      <c r="P103" s="64">
        <v>123.4</v>
      </c>
      <c r="Q103" s="64">
        <v>123.7</v>
      </c>
      <c r="R103" s="64">
        <v>123.3</v>
      </c>
      <c r="S103" s="64">
        <v>124.4</v>
      </c>
      <c r="T103" s="64">
        <v>125</v>
      </c>
      <c r="U103" s="64">
        <v>123.9</v>
      </c>
      <c r="V103" s="64">
        <v>125.4</v>
      </c>
      <c r="W103" s="64">
        <v>125.2</v>
      </c>
      <c r="X103" s="64">
        <v>127.3</v>
      </c>
      <c r="Y103" s="64">
        <v>127</v>
      </c>
      <c r="Z103" s="64">
        <v>127.8</v>
      </c>
      <c r="AA103" s="64">
        <v>126.4</v>
      </c>
      <c r="AB103" s="64">
        <v>128.5</v>
      </c>
      <c r="AC103" s="64">
        <v>127.3</v>
      </c>
      <c r="AD103" s="64">
        <v>127.4</v>
      </c>
      <c r="AE103" s="64">
        <v>127.3</v>
      </c>
      <c r="AF103" s="64">
        <v>127.3</v>
      </c>
      <c r="AG103" s="104"/>
      <c r="AH103" s="47">
        <f t="shared" si="15"/>
        <v>129.4</v>
      </c>
      <c r="AI103" s="48">
        <f t="shared" si="16"/>
        <v>123.3</v>
      </c>
    </row>
    <row r="104" spans="1:37" x14ac:dyDescent="0.25">
      <c r="A104" s="103" t="s">
        <v>120</v>
      </c>
      <c r="B104" s="64">
        <v>130.69999999999999</v>
      </c>
      <c r="C104" s="64">
        <v>130.9</v>
      </c>
      <c r="D104" s="64">
        <v>130.9</v>
      </c>
      <c r="E104" s="64">
        <v>130.69999999999999</v>
      </c>
      <c r="F104" s="64">
        <v>130.69999999999999</v>
      </c>
      <c r="G104" s="64">
        <v>128.19999999999999</v>
      </c>
      <c r="H104" s="64">
        <v>129.19999999999999</v>
      </c>
      <c r="I104" s="64">
        <v>127</v>
      </c>
      <c r="J104" s="64">
        <v>122.2</v>
      </c>
      <c r="K104" s="64">
        <v>127.7</v>
      </c>
      <c r="L104" s="64">
        <v>126.3</v>
      </c>
      <c r="M104" s="64">
        <v>122.5</v>
      </c>
      <c r="N104" s="64">
        <v>123</v>
      </c>
      <c r="O104" s="64">
        <v>126.7</v>
      </c>
      <c r="P104" s="64">
        <v>126</v>
      </c>
      <c r="Q104" s="64">
        <v>127.4</v>
      </c>
      <c r="R104" s="64">
        <v>128</v>
      </c>
      <c r="S104" s="64">
        <v>126.2</v>
      </c>
      <c r="T104" s="64">
        <v>130.4</v>
      </c>
      <c r="U104" s="64">
        <v>124.4</v>
      </c>
      <c r="V104" s="64">
        <v>127.8</v>
      </c>
      <c r="W104" s="64">
        <v>129.19999999999999</v>
      </c>
      <c r="X104" s="64">
        <v>127.8</v>
      </c>
      <c r="Y104" s="64">
        <v>126.9</v>
      </c>
      <c r="Z104" s="64">
        <v>129</v>
      </c>
      <c r="AA104" s="64">
        <v>124.6</v>
      </c>
      <c r="AB104" s="64">
        <v>125.9</v>
      </c>
      <c r="AC104" s="64">
        <v>126.4</v>
      </c>
      <c r="AD104" s="64">
        <v>126.8</v>
      </c>
      <c r="AE104" s="64">
        <v>126.1</v>
      </c>
      <c r="AF104" s="64">
        <v>127.5</v>
      </c>
      <c r="AG104" s="104"/>
      <c r="AH104" s="47">
        <f t="shared" si="15"/>
        <v>130.9</v>
      </c>
      <c r="AI104" s="48">
        <f t="shared" si="16"/>
        <v>122.2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5"/>
        <v>0</v>
      </c>
      <c r="AI105" s="48">
        <f t="shared" si="16"/>
        <v>0</v>
      </c>
    </row>
    <row r="106" spans="1:37" x14ac:dyDescent="0.25">
      <c r="A106" s="105" t="s">
        <v>122</v>
      </c>
      <c r="B106" s="106">
        <v>132.80000000000001</v>
      </c>
      <c r="C106" s="106">
        <v>130</v>
      </c>
      <c r="D106" s="106">
        <v>130</v>
      </c>
      <c r="E106" s="106">
        <v>132.1</v>
      </c>
      <c r="F106" s="106">
        <v>132.1</v>
      </c>
      <c r="G106" s="106">
        <v>130.69999999999999</v>
      </c>
      <c r="H106" s="106">
        <v>132.69999999999999</v>
      </c>
      <c r="I106" s="106">
        <v>132.19999999999999</v>
      </c>
      <c r="J106" s="106">
        <v>128.69999999999999</v>
      </c>
      <c r="K106" s="106">
        <v>131.19999999999999</v>
      </c>
      <c r="L106" s="106">
        <v>128.6</v>
      </c>
      <c r="M106" s="106">
        <v>131</v>
      </c>
      <c r="N106" s="106">
        <v>131.6</v>
      </c>
      <c r="O106" s="106">
        <v>129.69999999999999</v>
      </c>
      <c r="P106" s="106">
        <v>131.69999999999999</v>
      </c>
      <c r="Q106" s="106">
        <v>134.9</v>
      </c>
      <c r="R106" s="106">
        <v>127.1</v>
      </c>
      <c r="S106" s="106">
        <v>130.6</v>
      </c>
      <c r="T106" s="106">
        <v>129</v>
      </c>
      <c r="U106" s="106">
        <v>128.19999999999999</v>
      </c>
      <c r="V106" s="106">
        <v>133.5</v>
      </c>
      <c r="W106" s="106">
        <v>133.1</v>
      </c>
      <c r="X106" s="64">
        <v>133.80000000000001</v>
      </c>
      <c r="Y106" s="106">
        <v>132.19999999999999</v>
      </c>
      <c r="Z106" s="106">
        <v>129.5</v>
      </c>
      <c r="AA106" s="106">
        <v>134.9</v>
      </c>
      <c r="AB106" s="106">
        <v>129.5</v>
      </c>
      <c r="AC106" s="106">
        <v>128.69999999999999</v>
      </c>
      <c r="AD106" s="106">
        <v>127.4</v>
      </c>
      <c r="AE106" s="106">
        <v>128.4</v>
      </c>
      <c r="AF106" s="106">
        <v>132.4</v>
      </c>
      <c r="AG106" s="107"/>
      <c r="AH106" s="47">
        <f t="shared" si="15"/>
        <v>134.9</v>
      </c>
      <c r="AI106" s="48">
        <f t="shared" si="16"/>
        <v>127.1</v>
      </c>
    </row>
    <row r="107" spans="1:37" x14ac:dyDescent="0.25">
      <c r="A107" s="103" t="s">
        <v>123</v>
      </c>
      <c r="B107" s="64">
        <v>128</v>
      </c>
      <c r="C107" s="64">
        <v>128</v>
      </c>
      <c r="D107" s="64">
        <v>128</v>
      </c>
      <c r="E107" s="64">
        <v>126.6</v>
      </c>
      <c r="F107" s="64">
        <v>126.6</v>
      </c>
      <c r="G107" s="64">
        <v>129</v>
      </c>
      <c r="H107" s="64">
        <v>130</v>
      </c>
      <c r="I107" s="64">
        <v>130</v>
      </c>
      <c r="J107" s="64">
        <v>132.9</v>
      </c>
      <c r="K107" s="64">
        <v>128.4</v>
      </c>
      <c r="L107" s="64">
        <v>130.19999999999999</v>
      </c>
      <c r="M107" s="64">
        <v>129.5</v>
      </c>
      <c r="N107" s="64">
        <v>132.1</v>
      </c>
      <c r="O107" s="64">
        <v>128</v>
      </c>
      <c r="P107" s="64">
        <v>130</v>
      </c>
      <c r="Q107" s="64">
        <v>137.4</v>
      </c>
      <c r="R107" s="64">
        <v>126.1</v>
      </c>
      <c r="S107" s="64">
        <v>131.6</v>
      </c>
      <c r="T107" s="64">
        <v>129.19999999999999</v>
      </c>
      <c r="U107" s="64">
        <v>133.4</v>
      </c>
      <c r="V107" s="64">
        <v>129.69999999999999</v>
      </c>
      <c r="W107" s="64">
        <v>129.6</v>
      </c>
      <c r="X107" s="106">
        <v>125.3</v>
      </c>
      <c r="Y107" s="64">
        <v>131.6</v>
      </c>
      <c r="Z107" s="64">
        <v>129</v>
      </c>
      <c r="AA107" s="64">
        <v>134.1</v>
      </c>
      <c r="AB107" s="64">
        <v>128.80000000000001</v>
      </c>
      <c r="AC107" s="64">
        <v>128.6</v>
      </c>
      <c r="AD107" s="64">
        <v>132.19999999999999</v>
      </c>
      <c r="AE107" s="64">
        <v>132.4</v>
      </c>
      <c r="AF107" s="64">
        <v>134</v>
      </c>
      <c r="AG107" s="104"/>
      <c r="AH107" s="47">
        <f t="shared" si="15"/>
        <v>137.4</v>
      </c>
      <c r="AI107" s="48">
        <f t="shared" si="16"/>
        <v>125.3</v>
      </c>
    </row>
    <row r="108" spans="1:37" ht="15.75" thickBot="1" x14ac:dyDescent="0.3">
      <c r="A108" s="103" t="s">
        <v>124</v>
      </c>
      <c r="B108" s="92">
        <v>64.599999999999994</v>
      </c>
      <c r="C108" s="92">
        <v>64.400000000000006</v>
      </c>
      <c r="D108" s="92">
        <v>64.400000000000006</v>
      </c>
      <c r="E108" s="92">
        <v>64.3</v>
      </c>
      <c r="F108" s="92">
        <v>64.3</v>
      </c>
      <c r="G108" s="92">
        <v>64.7</v>
      </c>
      <c r="H108" s="92">
        <v>64.3</v>
      </c>
      <c r="I108" s="92">
        <v>64.7</v>
      </c>
      <c r="J108" s="92">
        <v>64</v>
      </c>
      <c r="K108" s="92">
        <v>63.3</v>
      </c>
      <c r="L108" s="92">
        <v>62.8</v>
      </c>
      <c r="M108" s="92">
        <v>63</v>
      </c>
      <c r="N108" s="92">
        <v>61.6</v>
      </c>
      <c r="O108" s="92">
        <v>61.9</v>
      </c>
      <c r="P108" s="92">
        <v>62</v>
      </c>
      <c r="Q108" s="92">
        <v>61.9</v>
      </c>
      <c r="R108" s="92">
        <v>61.8</v>
      </c>
      <c r="S108" s="92">
        <v>62.2</v>
      </c>
      <c r="T108" s="92">
        <v>62.2</v>
      </c>
      <c r="U108" s="92">
        <v>62</v>
      </c>
      <c r="V108" s="92">
        <v>62.6</v>
      </c>
      <c r="W108" s="92">
        <v>62.7</v>
      </c>
      <c r="X108" s="92">
        <v>63.7</v>
      </c>
      <c r="Y108" s="92">
        <v>63.6</v>
      </c>
      <c r="Z108" s="92">
        <v>64.2</v>
      </c>
      <c r="AA108" s="92">
        <v>63.6</v>
      </c>
      <c r="AB108" s="92">
        <v>64.7</v>
      </c>
      <c r="AC108" s="92">
        <v>64.3</v>
      </c>
      <c r="AD108" s="92">
        <v>64.5</v>
      </c>
      <c r="AE108" s="92">
        <v>64.400000000000006</v>
      </c>
      <c r="AF108" s="92">
        <v>64.2</v>
      </c>
      <c r="AG108" s="108"/>
      <c r="AH108" s="47">
        <f t="shared" si="15"/>
        <v>64.7</v>
      </c>
      <c r="AI108" s="48">
        <f t="shared" si="16"/>
        <v>61.6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5"/>
        <v>0</v>
      </c>
      <c r="AI109" s="48">
        <f t="shared" si="16"/>
        <v>0</v>
      </c>
    </row>
    <row r="110" spans="1:37" ht="15.75" thickBot="1" x14ac:dyDescent="0.3">
      <c r="A110" s="110" t="s">
        <v>126</v>
      </c>
      <c r="B110" s="111">
        <v>119.6</v>
      </c>
      <c r="C110" s="111">
        <f t="shared" ref="C110:O110" si="22">SUM(C20,C26,C29:C30,C58,C60:C61,C63,C65,C111:C115,C138,C144,C150,C159,C161,C173,C180,C183:C184,C191,C193,C195,C199:C201,C203:C205,C210,C216:C217,C219:C221,C229,C234)</f>
        <v>76.139999999999986</v>
      </c>
      <c r="D110" s="111">
        <f t="shared" si="22"/>
        <v>61.139999999999986</v>
      </c>
      <c r="E110" s="111">
        <f t="shared" si="22"/>
        <v>49.539999999999949</v>
      </c>
      <c r="F110" s="111">
        <f t="shared" si="22"/>
        <v>49.539999999999949</v>
      </c>
      <c r="G110" s="111">
        <f t="shared" si="22"/>
        <v>59.939999999999976</v>
      </c>
      <c r="H110" s="111">
        <f t="shared" si="22"/>
        <v>85.639999999999958</v>
      </c>
      <c r="I110" s="111">
        <f t="shared" si="22"/>
        <v>136.73999999999998</v>
      </c>
      <c r="J110" s="111">
        <f t="shared" si="22"/>
        <v>144.38999999999999</v>
      </c>
      <c r="K110" s="111">
        <f t="shared" si="22"/>
        <v>186.24000000000004</v>
      </c>
      <c r="L110" s="111">
        <f t="shared" si="22"/>
        <v>197.84000000000006</v>
      </c>
      <c r="M110" s="111">
        <f t="shared" si="22"/>
        <v>223.74000000000004</v>
      </c>
      <c r="N110" s="111">
        <f t="shared" si="22"/>
        <v>226.04000000000002</v>
      </c>
      <c r="O110" s="111">
        <f t="shared" si="22"/>
        <v>238.74000000000004</v>
      </c>
      <c r="P110" s="111">
        <v>42</v>
      </c>
      <c r="Q110" s="111">
        <f t="shared" ref="Q110:AF110" si="23">SUM(Q20,Q26,Q29:Q30,Q58,Q60:Q61,Q63,Q65,Q111:Q115,Q138,Q144,Q150,Q159,Q161,Q173,Q180,Q183:Q184,Q191,Q193,Q195,Q199:Q201,Q203:Q205,Q210,Q216:Q217,Q219:Q221,Q229,Q234)</f>
        <v>553.80000000000007</v>
      </c>
      <c r="R110" s="111">
        <f t="shared" si="23"/>
        <v>534.30000000000007</v>
      </c>
      <c r="S110" s="111">
        <f t="shared" si="23"/>
        <v>246.60000000000002</v>
      </c>
      <c r="T110" s="111">
        <f t="shared" si="23"/>
        <v>256.89999999999998</v>
      </c>
      <c r="U110" s="111">
        <f t="shared" si="23"/>
        <v>260.39999999999998</v>
      </c>
      <c r="V110" s="111">
        <f t="shared" si="23"/>
        <v>247.49999999999997</v>
      </c>
      <c r="W110" s="111">
        <f t="shared" si="23"/>
        <v>275.40000000000003</v>
      </c>
      <c r="X110" s="111">
        <f t="shared" si="23"/>
        <v>239.70000000000002</v>
      </c>
      <c r="Y110" s="111">
        <f t="shared" si="23"/>
        <v>210.59999999999997</v>
      </c>
      <c r="Z110" s="111">
        <f t="shared" si="23"/>
        <v>252.89999999999998</v>
      </c>
      <c r="AA110" s="111">
        <f t="shared" si="23"/>
        <v>286.60000000000002</v>
      </c>
      <c r="AB110" s="111">
        <f t="shared" si="23"/>
        <v>262.00000000000006</v>
      </c>
      <c r="AC110" s="111">
        <f t="shared" si="23"/>
        <v>222.70000000000005</v>
      </c>
      <c r="AD110" s="111"/>
      <c r="AE110" s="111">
        <f t="shared" si="23"/>
        <v>118.49999999999999</v>
      </c>
      <c r="AF110" s="111">
        <f t="shared" si="23"/>
        <v>114.4</v>
      </c>
      <c r="AG110" s="112"/>
      <c r="AH110" s="47">
        <f t="shared" si="15"/>
        <v>553.80000000000007</v>
      </c>
      <c r="AI110" s="48">
        <f t="shared" si="16"/>
        <v>42</v>
      </c>
    </row>
    <row r="111" spans="1:37" x14ac:dyDescent="0.25">
      <c r="A111" s="100" t="s">
        <v>127</v>
      </c>
      <c r="B111" s="113">
        <v>41</v>
      </c>
      <c r="C111" s="113">
        <v>48</v>
      </c>
      <c r="D111" s="113">
        <v>45</v>
      </c>
      <c r="E111" s="113">
        <v>19.7</v>
      </c>
      <c r="F111" s="113">
        <v>19.7</v>
      </c>
      <c r="G111" s="113">
        <v>20.399999999999999</v>
      </c>
      <c r="H111" s="113">
        <v>40.200000000000003</v>
      </c>
      <c r="I111" s="113">
        <v>42</v>
      </c>
      <c r="J111" s="113">
        <v>42.2</v>
      </c>
      <c r="K111" s="113">
        <v>45.1</v>
      </c>
      <c r="L111" s="113">
        <v>45.5</v>
      </c>
      <c r="M111" s="113">
        <v>50</v>
      </c>
      <c r="N111" s="113">
        <v>57</v>
      </c>
      <c r="O111" s="113">
        <v>44</v>
      </c>
      <c r="P111" s="113">
        <v>51.6</v>
      </c>
      <c r="Q111" s="113">
        <v>52.4</v>
      </c>
      <c r="R111" s="113">
        <v>46.7</v>
      </c>
      <c r="S111" s="113">
        <v>53.9</v>
      </c>
      <c r="T111" s="113">
        <v>28</v>
      </c>
      <c r="U111" s="113">
        <v>46.3</v>
      </c>
      <c r="V111" s="113">
        <v>73.8</v>
      </c>
      <c r="W111" s="113">
        <v>62.4</v>
      </c>
      <c r="X111" s="113">
        <v>22.6</v>
      </c>
      <c r="Y111" s="113">
        <v>23.2</v>
      </c>
      <c r="Z111" s="113">
        <v>53.8</v>
      </c>
      <c r="AA111" s="113">
        <v>64.599999999999994</v>
      </c>
      <c r="AB111" s="113">
        <v>50.6</v>
      </c>
      <c r="AC111" s="113">
        <v>52</v>
      </c>
      <c r="AD111" s="113">
        <v>42.4</v>
      </c>
      <c r="AE111" s="113">
        <v>47.8</v>
      </c>
      <c r="AF111" s="113">
        <v>50.3</v>
      </c>
      <c r="AG111" s="114">
        <v>75</v>
      </c>
      <c r="AH111" s="47">
        <f t="shared" si="15"/>
        <v>73.8</v>
      </c>
      <c r="AI111" s="48">
        <f t="shared" si="16"/>
        <v>19.7</v>
      </c>
    </row>
    <row r="112" spans="1:37" x14ac:dyDescent="0.25">
      <c r="A112" s="103" t="s">
        <v>128</v>
      </c>
      <c r="B112" s="115">
        <v>22</v>
      </c>
      <c r="C112" s="115">
        <v>27</v>
      </c>
      <c r="D112" s="115">
        <v>25</v>
      </c>
      <c r="E112" s="115">
        <v>36.200000000000003</v>
      </c>
      <c r="F112" s="115">
        <v>36.200000000000003</v>
      </c>
      <c r="G112" s="115">
        <v>38.1</v>
      </c>
      <c r="H112" s="115">
        <v>67.2</v>
      </c>
      <c r="I112" s="115">
        <v>69.7</v>
      </c>
      <c r="J112" s="115">
        <v>59.9</v>
      </c>
      <c r="K112" s="115">
        <v>76</v>
      </c>
      <c r="L112" s="115">
        <v>76.099999999999994</v>
      </c>
      <c r="M112" s="115">
        <v>76.099999999999994</v>
      </c>
      <c r="N112" s="115">
        <v>87.1</v>
      </c>
      <c r="O112" s="115">
        <v>70.400000000000006</v>
      </c>
      <c r="P112" s="115">
        <v>80.599999999999994</v>
      </c>
      <c r="Q112" s="115">
        <v>85.1</v>
      </c>
      <c r="R112" s="115">
        <v>77.400000000000006</v>
      </c>
      <c r="S112" s="115">
        <v>84</v>
      </c>
      <c r="T112" s="115">
        <v>50</v>
      </c>
      <c r="U112" s="115">
        <v>78.099999999999994</v>
      </c>
      <c r="V112" s="115">
        <v>109.5</v>
      </c>
      <c r="W112" s="115">
        <v>96.9</v>
      </c>
      <c r="X112" s="115">
        <v>33.9</v>
      </c>
      <c r="Y112" s="115">
        <v>34.1</v>
      </c>
      <c r="Z112" s="115">
        <v>80.2</v>
      </c>
      <c r="AA112" s="115">
        <v>95.5</v>
      </c>
      <c r="AB112" s="115">
        <v>78</v>
      </c>
      <c r="AC112" s="115">
        <v>79.8</v>
      </c>
      <c r="AD112" s="115">
        <v>68.3</v>
      </c>
      <c r="AE112" s="115">
        <v>79.3</v>
      </c>
      <c r="AF112" s="115">
        <v>81.3</v>
      </c>
      <c r="AG112" s="114">
        <v>240</v>
      </c>
      <c r="AH112" s="47">
        <f t="shared" si="15"/>
        <v>109.5</v>
      </c>
      <c r="AI112" s="48">
        <f t="shared" si="16"/>
        <v>22</v>
      </c>
    </row>
    <row r="113" spans="1:37" x14ac:dyDescent="0.25">
      <c r="A113" s="103" t="s">
        <v>129</v>
      </c>
      <c r="B113" s="115">
        <v>-140</v>
      </c>
      <c r="C113" s="115">
        <v>-170</v>
      </c>
      <c r="D113" s="115">
        <v>-180</v>
      </c>
      <c r="E113" s="115">
        <f>-77.9-83.4</f>
        <v>-161.30000000000001</v>
      </c>
      <c r="F113" s="115">
        <f t="shared" ref="F113" si="24">-77.9-83.4</f>
        <v>-161.30000000000001</v>
      </c>
      <c r="G113" s="115">
        <f>-74.1-79.2</f>
        <v>-153.30000000000001</v>
      </c>
      <c r="H113" s="115">
        <f>-85.2-92.1</f>
        <v>-177.3</v>
      </c>
      <c r="I113" s="115">
        <f>-76-77.2</f>
        <v>-153.19999999999999</v>
      </c>
      <c r="J113" s="115">
        <f>-71.5-72.5</f>
        <v>-144</v>
      </c>
      <c r="K113" s="115">
        <f>-58.7-62.7</f>
        <v>-121.4</v>
      </c>
      <c r="L113" s="115">
        <f>-53.5-56.6</f>
        <v>-110.1</v>
      </c>
      <c r="M113" s="115">
        <v>-102</v>
      </c>
      <c r="N113" s="115">
        <v>-156</v>
      </c>
      <c r="O113" s="115">
        <v>-150</v>
      </c>
      <c r="P113" s="115">
        <v>-151</v>
      </c>
      <c r="Q113" s="115">
        <v>142</v>
      </c>
      <c r="R113" s="115">
        <v>142.30000000000001</v>
      </c>
      <c r="S113" s="115">
        <v>-148</v>
      </c>
      <c r="T113" s="115">
        <v>-108</v>
      </c>
      <c r="U113" s="115">
        <f>-64-68.6</f>
        <v>-132.6</v>
      </c>
      <c r="V113" s="115">
        <v>-130</v>
      </c>
      <c r="W113" s="115">
        <v>-107</v>
      </c>
      <c r="X113" s="115">
        <v>-87</v>
      </c>
      <c r="Y113" s="115">
        <v>-93</v>
      </c>
      <c r="Z113" s="115">
        <v>-133</v>
      </c>
      <c r="AA113" s="115">
        <v>-132</v>
      </c>
      <c r="AB113" s="115">
        <f>-57.9-66.1</f>
        <v>-124</v>
      </c>
      <c r="AC113" s="115">
        <v>-156.19999999999999</v>
      </c>
      <c r="AD113" s="115">
        <v>-165.2</v>
      </c>
      <c r="AE113" s="115">
        <f>-94.9-99.4</f>
        <v>-194.3</v>
      </c>
      <c r="AF113" s="115">
        <f>-95.9-99.4</f>
        <v>-195.3</v>
      </c>
      <c r="AG113" s="114">
        <v>240</v>
      </c>
      <c r="AH113" s="47">
        <f t="shared" si="15"/>
        <v>142.30000000000001</v>
      </c>
      <c r="AI113" s="48">
        <f t="shared" si="16"/>
        <v>-195.3</v>
      </c>
    </row>
    <row r="114" spans="1:37" x14ac:dyDescent="0.25">
      <c r="A114" s="103" t="s">
        <v>130</v>
      </c>
      <c r="B114" s="115">
        <v>-12</v>
      </c>
      <c r="C114" s="115">
        <v>-13</v>
      </c>
      <c r="D114" s="115">
        <v>-13</v>
      </c>
      <c r="E114" s="115">
        <v>-14.7</v>
      </c>
      <c r="F114" s="115">
        <v>-14.7</v>
      </c>
      <c r="G114" s="115">
        <v>-11</v>
      </c>
      <c r="H114" s="115">
        <v>-10.6</v>
      </c>
      <c r="I114" s="115">
        <v>-5</v>
      </c>
      <c r="J114" s="115">
        <v>0.85</v>
      </c>
      <c r="K114" s="115">
        <v>0.9</v>
      </c>
      <c r="L114" s="115">
        <v>0.8</v>
      </c>
      <c r="M114" s="115">
        <v>1.4</v>
      </c>
      <c r="N114" s="115">
        <v>-4.7</v>
      </c>
      <c r="O114" s="115">
        <v>4.5999999999999996</v>
      </c>
      <c r="P114" s="115">
        <v>7.7</v>
      </c>
      <c r="Q114" s="115">
        <v>14</v>
      </c>
      <c r="R114" s="115">
        <v>0.8</v>
      </c>
      <c r="S114" s="115">
        <v>1.3</v>
      </c>
      <c r="T114" s="115">
        <v>8</v>
      </c>
      <c r="U114" s="115">
        <v>10.3</v>
      </c>
      <c r="V114" s="115">
        <v>5.2</v>
      </c>
      <c r="W114" s="115">
        <v>5.8</v>
      </c>
      <c r="X114" s="115">
        <v>12.3</v>
      </c>
      <c r="Y114" s="115">
        <v>11.7</v>
      </c>
      <c r="Z114" s="115">
        <v>20.2</v>
      </c>
      <c r="AA114" s="115">
        <v>24</v>
      </c>
      <c r="AB114" s="115">
        <v>22</v>
      </c>
      <c r="AC114" s="115">
        <v>8.6</v>
      </c>
      <c r="AD114" s="115">
        <v>10.6</v>
      </c>
      <c r="AE114" s="115">
        <v>-11.2</v>
      </c>
      <c r="AF114" s="115">
        <v>-18.899999999999999</v>
      </c>
      <c r="AG114" s="114">
        <v>60</v>
      </c>
      <c r="AH114" s="47">
        <f t="shared" si="15"/>
        <v>24</v>
      </c>
      <c r="AI114" s="48">
        <f t="shared" si="16"/>
        <v>-18.899999999999999</v>
      </c>
    </row>
    <row r="115" spans="1:37" x14ac:dyDescent="0.25">
      <c r="A115" s="116" t="s">
        <v>131</v>
      </c>
      <c r="B115" s="117">
        <v>24</v>
      </c>
      <c r="C115" s="117">
        <v>24</v>
      </c>
      <c r="D115" s="117">
        <v>24</v>
      </c>
      <c r="E115" s="117">
        <v>24.5</v>
      </c>
      <c r="F115" s="117">
        <v>24.5</v>
      </c>
      <c r="G115" s="117">
        <v>20.6</v>
      </c>
      <c r="H115" s="117">
        <v>21</v>
      </c>
      <c r="I115" s="117">
        <v>23.1</v>
      </c>
      <c r="J115" s="117">
        <v>22.9</v>
      </c>
      <c r="K115" s="117">
        <v>23.1</v>
      </c>
      <c r="L115" s="117">
        <v>23</v>
      </c>
      <c r="M115" s="117">
        <v>22.8</v>
      </c>
      <c r="N115" s="117">
        <v>67.2</v>
      </c>
      <c r="O115" s="117">
        <v>82</v>
      </c>
      <c r="P115" s="117">
        <v>75.2</v>
      </c>
      <c r="Q115" s="117">
        <v>71.7</v>
      </c>
      <c r="R115" s="117">
        <v>78.2</v>
      </c>
      <c r="S115" s="117">
        <v>71</v>
      </c>
      <c r="T115" s="117">
        <v>95</v>
      </c>
      <c r="U115" s="117">
        <v>77.400000000000006</v>
      </c>
      <c r="V115" s="117">
        <v>73.099999999999994</v>
      </c>
      <c r="W115" s="117">
        <v>72.3</v>
      </c>
      <c r="X115" s="117">
        <v>83.4</v>
      </c>
      <c r="Y115" s="117">
        <v>83.4</v>
      </c>
      <c r="Z115" s="117">
        <v>56.2</v>
      </c>
      <c r="AA115" s="117">
        <v>59</v>
      </c>
      <c r="AB115" s="117">
        <v>59.8</v>
      </c>
      <c r="AC115" s="117">
        <v>62.9</v>
      </c>
      <c r="AD115" s="117">
        <v>56.5</v>
      </c>
      <c r="AE115" s="117">
        <v>22</v>
      </c>
      <c r="AF115" s="117">
        <v>22</v>
      </c>
      <c r="AG115" s="118">
        <v>120</v>
      </c>
      <c r="AH115" s="47">
        <f t="shared" si="15"/>
        <v>95</v>
      </c>
      <c r="AI115" s="48">
        <f t="shared" si="16"/>
        <v>20.6</v>
      </c>
    </row>
    <row r="116" spans="1:37" x14ac:dyDescent="0.25">
      <c r="A116" s="116" t="s">
        <v>132</v>
      </c>
      <c r="B116" s="117">
        <v>63</v>
      </c>
      <c r="C116" s="117">
        <v>55</v>
      </c>
      <c r="D116" s="117">
        <v>37</v>
      </c>
      <c r="E116" s="117">
        <v>63</v>
      </c>
      <c r="F116" s="117">
        <v>63</v>
      </c>
      <c r="G116" s="117">
        <v>52</v>
      </c>
      <c r="H116" s="117">
        <v>38.700000000000003</v>
      </c>
      <c r="I116" s="117">
        <v>51</v>
      </c>
      <c r="J116" s="117">
        <v>67.099999999999994</v>
      </c>
      <c r="K116" s="117">
        <v>77.400000000000006</v>
      </c>
      <c r="L116" s="117">
        <v>94.2</v>
      </c>
      <c r="M116" s="117">
        <v>94.2</v>
      </c>
      <c r="N116" s="117">
        <v>58.7</v>
      </c>
      <c r="O116" s="117">
        <v>78.5</v>
      </c>
      <c r="P116" s="117">
        <v>69.5</v>
      </c>
      <c r="Q116" s="117">
        <v>62.6</v>
      </c>
      <c r="R116" s="117">
        <v>66.599999999999994</v>
      </c>
      <c r="S116" s="117">
        <v>62</v>
      </c>
      <c r="T116" s="117">
        <v>82</v>
      </c>
      <c r="U116" s="117">
        <v>66.7</v>
      </c>
      <c r="V116" s="117">
        <v>64.3</v>
      </c>
      <c r="W116" s="117">
        <v>56.3</v>
      </c>
      <c r="X116" s="117">
        <v>65.7</v>
      </c>
      <c r="Y116" s="117">
        <v>67</v>
      </c>
      <c r="Z116" s="117">
        <v>36.5</v>
      </c>
      <c r="AA116" s="117">
        <v>32</v>
      </c>
      <c r="AB116" s="117">
        <v>35.1</v>
      </c>
      <c r="AC116" s="117">
        <v>46.5</v>
      </c>
      <c r="AD116" s="117">
        <v>44.8</v>
      </c>
      <c r="AE116" s="117">
        <v>51.4</v>
      </c>
      <c r="AF116" s="117">
        <v>50.4</v>
      </c>
      <c r="AG116" s="118"/>
      <c r="AH116" s="47">
        <f t="shared" si="15"/>
        <v>94.2</v>
      </c>
      <c r="AI116" s="48">
        <f t="shared" si="16"/>
        <v>32</v>
      </c>
    </row>
    <row r="117" spans="1:37" x14ac:dyDescent="0.25">
      <c r="A117" s="116" t="s">
        <v>133</v>
      </c>
      <c r="B117" s="117">
        <v>64</v>
      </c>
      <c r="C117" s="117">
        <v>60</v>
      </c>
      <c r="D117" s="117">
        <v>54</v>
      </c>
      <c r="E117" s="117">
        <v>42.7</v>
      </c>
      <c r="F117" s="117">
        <v>42.7</v>
      </c>
      <c r="G117" s="117">
        <v>44.5</v>
      </c>
      <c r="H117" s="117">
        <v>24.8</v>
      </c>
      <c r="I117" s="117">
        <v>26.6</v>
      </c>
      <c r="J117" s="117">
        <v>28.6</v>
      </c>
      <c r="K117" s="117">
        <v>34.4</v>
      </c>
      <c r="L117" s="117">
        <v>30.6</v>
      </c>
      <c r="M117" s="117">
        <v>30.2</v>
      </c>
      <c r="N117" s="117">
        <v>21.6</v>
      </c>
      <c r="O117" s="117">
        <v>33.700000000000003</v>
      </c>
      <c r="P117" s="117">
        <v>31.2</v>
      </c>
      <c r="Q117" s="117">
        <v>24.3</v>
      </c>
      <c r="R117" s="117">
        <v>20.7</v>
      </c>
      <c r="S117" s="117">
        <v>22</v>
      </c>
      <c r="T117" s="117">
        <v>33</v>
      </c>
      <c r="U117" s="117">
        <v>34.4</v>
      </c>
      <c r="V117" s="117">
        <v>10</v>
      </c>
      <c r="W117" s="117">
        <v>17.5</v>
      </c>
      <c r="X117" s="117">
        <v>36.4</v>
      </c>
      <c r="Y117" s="117">
        <v>34.200000000000003</v>
      </c>
      <c r="Z117" s="117">
        <v>30.7</v>
      </c>
      <c r="AA117" s="117">
        <v>8</v>
      </c>
      <c r="AB117" s="117">
        <v>33.799999999999997</v>
      </c>
      <c r="AC117" s="117">
        <v>29.8</v>
      </c>
      <c r="AD117" s="117">
        <v>45.8</v>
      </c>
      <c r="AE117" s="117">
        <v>43.5</v>
      </c>
      <c r="AF117" s="117">
        <v>40.1</v>
      </c>
      <c r="AG117" s="119"/>
      <c r="AH117" s="47">
        <f t="shared" si="15"/>
        <v>64</v>
      </c>
      <c r="AI117" s="48">
        <f t="shared" si="16"/>
        <v>8</v>
      </c>
    </row>
    <row r="118" spans="1:37" x14ac:dyDescent="0.25">
      <c r="A118" s="120" t="s">
        <v>134</v>
      </c>
      <c r="B118" s="106">
        <v>39</v>
      </c>
      <c r="C118" s="106">
        <v>41</v>
      </c>
      <c r="D118" s="106">
        <v>42</v>
      </c>
      <c r="E118" s="106">
        <v>45.2</v>
      </c>
      <c r="F118" s="106">
        <v>45.2</v>
      </c>
      <c r="G118" s="106">
        <v>51.8</v>
      </c>
      <c r="H118" s="106">
        <v>49.8</v>
      </c>
      <c r="I118" s="106">
        <v>45.6</v>
      </c>
      <c r="J118" s="106">
        <v>20.3</v>
      </c>
      <c r="K118" s="106">
        <v>28.9</v>
      </c>
      <c r="L118" s="106">
        <v>33.299999999999997</v>
      </c>
      <c r="M118" s="106">
        <v>33.700000000000003</v>
      </c>
      <c r="N118" s="106">
        <v>75.900000000000006</v>
      </c>
      <c r="O118" s="106">
        <v>33.299999999999997</v>
      </c>
      <c r="P118" s="106">
        <v>26.4</v>
      </c>
      <c r="Q118" s="106">
        <v>26.2</v>
      </c>
      <c r="R118" s="106">
        <v>21.8</v>
      </c>
      <c r="S118" s="106">
        <v>25</v>
      </c>
      <c r="T118" s="106">
        <v>39</v>
      </c>
      <c r="U118" s="106">
        <v>22.8</v>
      </c>
      <c r="V118" s="106">
        <v>24.6</v>
      </c>
      <c r="W118" s="106">
        <v>22.2</v>
      </c>
      <c r="X118" s="106">
        <v>29.2</v>
      </c>
      <c r="Y118" s="106">
        <v>28</v>
      </c>
      <c r="Z118" s="106">
        <v>18.600000000000001</v>
      </c>
      <c r="AA118" s="106">
        <v>12</v>
      </c>
      <c r="AB118" s="106">
        <v>15.8</v>
      </c>
      <c r="AC118" s="106">
        <v>20</v>
      </c>
      <c r="AD118" s="106">
        <v>17.399999999999999</v>
      </c>
      <c r="AE118" s="106">
        <v>25.8</v>
      </c>
      <c r="AF118" s="106">
        <v>31.5</v>
      </c>
      <c r="AG118" s="119"/>
      <c r="AH118" s="47">
        <f t="shared" si="15"/>
        <v>75.900000000000006</v>
      </c>
      <c r="AI118" s="48">
        <f t="shared" si="16"/>
        <v>12</v>
      </c>
    </row>
    <row r="119" spans="1:37" x14ac:dyDescent="0.25">
      <c r="A119" s="121" t="s">
        <v>135</v>
      </c>
      <c r="B119" s="106">
        <v>80</v>
      </c>
      <c r="C119" s="106">
        <v>91</v>
      </c>
      <c r="D119" s="106">
        <v>95</v>
      </c>
      <c r="E119" s="106">
        <v>86</v>
      </c>
      <c r="F119" s="106">
        <v>88</v>
      </c>
      <c r="G119" s="106">
        <v>90</v>
      </c>
      <c r="H119" s="106">
        <v>94.1</v>
      </c>
      <c r="I119" s="106">
        <v>77.7</v>
      </c>
      <c r="J119" s="106">
        <v>76</v>
      </c>
      <c r="K119" s="106">
        <v>60.3</v>
      </c>
      <c r="L119" s="106">
        <v>54.2</v>
      </c>
      <c r="M119" s="106">
        <v>48</v>
      </c>
      <c r="N119" s="106">
        <v>77.2</v>
      </c>
      <c r="O119" s="106">
        <v>72.599999999999994</v>
      </c>
      <c r="P119" s="106">
        <v>72.8</v>
      </c>
      <c r="Q119" s="106">
        <v>77.8</v>
      </c>
      <c r="R119" s="106">
        <v>69</v>
      </c>
      <c r="S119" s="106">
        <v>69.7</v>
      </c>
      <c r="T119" s="106">
        <v>52</v>
      </c>
      <c r="U119" s="106">
        <v>63.7</v>
      </c>
      <c r="V119" s="106">
        <v>61</v>
      </c>
      <c r="W119" s="106">
        <v>54.8</v>
      </c>
      <c r="X119" s="106">
        <v>45</v>
      </c>
      <c r="Y119" s="106">
        <v>44</v>
      </c>
      <c r="Z119" s="106">
        <v>66</v>
      </c>
      <c r="AA119" s="106">
        <v>71</v>
      </c>
      <c r="AB119" s="106">
        <v>71.900000000000006</v>
      </c>
      <c r="AC119" s="106">
        <v>77.5</v>
      </c>
      <c r="AD119" s="106">
        <v>84.7</v>
      </c>
      <c r="AE119" s="106">
        <v>97.8</v>
      </c>
      <c r="AF119" s="106">
        <v>95.8</v>
      </c>
      <c r="AG119" s="119"/>
      <c r="AH119" s="47">
        <f t="shared" si="15"/>
        <v>97.8</v>
      </c>
      <c r="AI119" s="48">
        <f t="shared" si="16"/>
        <v>44</v>
      </c>
    </row>
    <row r="120" spans="1:37" ht="15.75" thickBot="1" x14ac:dyDescent="0.3">
      <c r="A120" s="120" t="s">
        <v>136</v>
      </c>
      <c r="B120" s="106">
        <v>29</v>
      </c>
      <c r="C120" s="106">
        <v>26</v>
      </c>
      <c r="D120" s="106">
        <v>24</v>
      </c>
      <c r="E120" s="106">
        <v>20.3</v>
      </c>
      <c r="F120" s="106">
        <v>20.3</v>
      </c>
      <c r="G120" s="106">
        <v>12.2</v>
      </c>
      <c r="H120" s="106">
        <v>7.4</v>
      </c>
      <c r="I120" s="106">
        <v>18.2</v>
      </c>
      <c r="J120" s="106">
        <v>29.5</v>
      </c>
      <c r="K120" s="106">
        <v>35.200000000000003</v>
      </c>
      <c r="L120" s="106">
        <v>32.700000000000003</v>
      </c>
      <c r="M120" s="106">
        <v>44.8</v>
      </c>
      <c r="N120" s="106">
        <v>48</v>
      </c>
      <c r="O120" s="106">
        <v>40.799999999999997</v>
      </c>
      <c r="P120" s="106">
        <v>46.2</v>
      </c>
      <c r="Q120" s="106">
        <v>45.9</v>
      </c>
      <c r="R120" s="106">
        <v>53.5</v>
      </c>
      <c r="S120" s="106">
        <v>63</v>
      </c>
      <c r="T120" s="106">
        <v>43</v>
      </c>
      <c r="U120" s="106">
        <v>57.9</v>
      </c>
      <c r="V120" s="106">
        <v>47</v>
      </c>
      <c r="W120" s="106">
        <v>60.2</v>
      </c>
      <c r="X120" s="106">
        <v>33</v>
      </c>
      <c r="Y120" s="106">
        <v>37</v>
      </c>
      <c r="Z120" s="106">
        <v>48</v>
      </c>
      <c r="AA120" s="106">
        <v>71</v>
      </c>
      <c r="AB120" s="106">
        <v>65.099999999999994</v>
      </c>
      <c r="AC120" s="106">
        <v>63.3</v>
      </c>
      <c r="AD120" s="106">
        <v>76.7</v>
      </c>
      <c r="AE120" s="106">
        <v>68.400000000000006</v>
      </c>
      <c r="AF120" s="106">
        <v>58.1</v>
      </c>
      <c r="AG120" s="119"/>
      <c r="AH120" s="47">
        <f t="shared" si="15"/>
        <v>76.7</v>
      </c>
      <c r="AI120" s="48">
        <f t="shared" si="16"/>
        <v>7.4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25">SUM(B122:B226)</f>
        <v>0</v>
      </c>
      <c r="C227" s="137">
        <f t="shared" si="25"/>
        <v>0</v>
      </c>
      <c r="D227" s="137">
        <f t="shared" si="25"/>
        <v>0</v>
      </c>
      <c r="E227" s="137">
        <f t="shared" si="25"/>
        <v>0</v>
      </c>
      <c r="F227" s="137">
        <f t="shared" si="25"/>
        <v>0</v>
      </c>
      <c r="G227" s="137">
        <f t="shared" si="25"/>
        <v>0</v>
      </c>
      <c r="H227" s="137">
        <f t="shared" si="25"/>
        <v>0</v>
      </c>
      <c r="I227" s="137">
        <f t="shared" si="25"/>
        <v>0</v>
      </c>
      <c r="J227" s="137">
        <f t="shared" si="25"/>
        <v>0</v>
      </c>
      <c r="K227" s="137">
        <f t="shared" si="25"/>
        <v>0</v>
      </c>
      <c r="L227" s="137">
        <f t="shared" si="25"/>
        <v>0</v>
      </c>
      <c r="M227" s="137">
        <f t="shared" si="25"/>
        <v>0</v>
      </c>
      <c r="N227" s="137">
        <f t="shared" si="25"/>
        <v>0</v>
      </c>
      <c r="O227" s="137">
        <f t="shared" si="25"/>
        <v>0</v>
      </c>
      <c r="P227" s="137">
        <f t="shared" si="25"/>
        <v>0</v>
      </c>
      <c r="Q227" s="137">
        <f t="shared" si="25"/>
        <v>0</v>
      </c>
      <c r="R227" s="137">
        <f t="shared" si="25"/>
        <v>0</v>
      </c>
      <c r="S227" s="137">
        <f t="shared" si="25"/>
        <v>0</v>
      </c>
      <c r="T227" s="137">
        <f t="shared" si="25"/>
        <v>0</v>
      </c>
      <c r="U227" s="137">
        <f t="shared" si="25"/>
        <v>0</v>
      </c>
      <c r="V227" s="137">
        <f t="shared" si="25"/>
        <v>0</v>
      </c>
      <c r="W227" s="137">
        <f t="shared" si="25"/>
        <v>0</v>
      </c>
      <c r="X227" s="137">
        <f t="shared" si="25"/>
        <v>0</v>
      </c>
      <c r="Y227" s="137">
        <f t="shared" si="25"/>
        <v>0</v>
      </c>
      <c r="Z227" s="137">
        <f t="shared" si="25"/>
        <v>0</v>
      </c>
      <c r="AA227" s="137">
        <f t="shared" si="25"/>
        <v>0</v>
      </c>
      <c r="AB227" s="137">
        <f t="shared" si="25"/>
        <v>0</v>
      </c>
      <c r="AC227" s="137">
        <f t="shared" si="25"/>
        <v>0</v>
      </c>
      <c r="AD227" s="137">
        <f t="shared" si="25"/>
        <v>0</v>
      </c>
      <c r="AE227" s="137">
        <f t="shared" si="25"/>
        <v>0</v>
      </c>
      <c r="AF227" s="138">
        <f t="shared" si="25"/>
        <v>0</v>
      </c>
      <c r="AG227" s="139">
        <f t="shared" si="25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26">AF229</f>
        <v>0</v>
      </c>
      <c r="C229" s="141">
        <v>0.3</v>
      </c>
      <c r="D229" s="141">
        <f t="shared" ref="D229:P234" si="27">C229</f>
        <v>0.3</v>
      </c>
      <c r="E229" s="141">
        <f t="shared" si="27"/>
        <v>0.3</v>
      </c>
      <c r="F229" s="141">
        <f t="shared" si="27"/>
        <v>0.3</v>
      </c>
      <c r="G229" s="141">
        <f t="shared" si="27"/>
        <v>0.3</v>
      </c>
      <c r="H229" s="141">
        <f t="shared" si="27"/>
        <v>0.3</v>
      </c>
      <c r="I229" s="141">
        <f t="shared" si="27"/>
        <v>0.3</v>
      </c>
      <c r="J229" s="141">
        <f t="shared" si="27"/>
        <v>0.3</v>
      </c>
      <c r="K229" s="141">
        <f t="shared" si="27"/>
        <v>0.3</v>
      </c>
      <c r="L229" s="141">
        <f t="shared" si="27"/>
        <v>0.3</v>
      </c>
      <c r="M229" s="141">
        <f t="shared" si="27"/>
        <v>0.3</v>
      </c>
      <c r="N229" s="141">
        <f t="shared" si="27"/>
        <v>0.3</v>
      </c>
      <c r="O229" s="141">
        <f t="shared" si="27"/>
        <v>0.3</v>
      </c>
      <c r="P229" s="141">
        <f t="shared" si="27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26"/>
        <v>0</v>
      </c>
      <c r="C230" s="129">
        <v>0.4</v>
      </c>
      <c r="D230" s="129">
        <f t="shared" si="27"/>
        <v>0.4</v>
      </c>
      <c r="E230" s="129">
        <f t="shared" si="27"/>
        <v>0.4</v>
      </c>
      <c r="F230" s="129">
        <f t="shared" si="27"/>
        <v>0.4</v>
      </c>
      <c r="G230" s="129">
        <f t="shared" si="27"/>
        <v>0.4</v>
      </c>
      <c r="H230" s="129">
        <f t="shared" si="27"/>
        <v>0.4</v>
      </c>
      <c r="I230" s="129">
        <f t="shared" si="27"/>
        <v>0.4</v>
      </c>
      <c r="J230" s="129">
        <f t="shared" si="27"/>
        <v>0.4</v>
      </c>
      <c r="K230" s="129">
        <f t="shared" si="27"/>
        <v>0.4</v>
      </c>
      <c r="L230" s="129">
        <f t="shared" si="27"/>
        <v>0.4</v>
      </c>
      <c r="M230" s="129">
        <f t="shared" si="27"/>
        <v>0.4</v>
      </c>
      <c r="N230" s="129">
        <f t="shared" si="27"/>
        <v>0.4</v>
      </c>
      <c r="O230" s="129">
        <f t="shared" si="27"/>
        <v>0.4</v>
      </c>
      <c r="P230" s="129">
        <f t="shared" si="27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26"/>
        <v>0</v>
      </c>
      <c r="C231" s="129">
        <v>1.5</v>
      </c>
      <c r="D231" s="129">
        <f t="shared" si="27"/>
        <v>1.5</v>
      </c>
      <c r="E231" s="129">
        <f t="shared" si="27"/>
        <v>1.5</v>
      </c>
      <c r="F231" s="129">
        <f t="shared" si="27"/>
        <v>1.5</v>
      </c>
      <c r="G231" s="129">
        <f t="shared" si="27"/>
        <v>1.5</v>
      </c>
      <c r="H231" s="129">
        <f t="shared" si="27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27"/>
        <v>123.21900000000009</v>
      </c>
      <c r="K231" s="129">
        <f t="shared" ca="1" si="27"/>
        <v>123.21900000000009</v>
      </c>
      <c r="L231" s="129">
        <f t="shared" ca="1" si="27"/>
        <v>123.21900000000009</v>
      </c>
      <c r="M231" s="129">
        <f t="shared" ca="1" si="27"/>
        <v>119.19900000000008</v>
      </c>
      <c r="N231" s="129">
        <f t="shared" ca="1" si="27"/>
        <v>119.19900000000008</v>
      </c>
      <c r="O231" s="129">
        <f t="shared" ca="1" si="27"/>
        <v>119.19900000000008</v>
      </c>
      <c r="P231" s="129">
        <f t="shared" ca="1" si="27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26"/>
        <v>0</v>
      </c>
      <c r="C232" s="129">
        <v>0.3</v>
      </c>
      <c r="D232" s="129">
        <f t="shared" si="27"/>
        <v>0.3</v>
      </c>
      <c r="E232" s="129">
        <f t="shared" si="27"/>
        <v>0.3</v>
      </c>
      <c r="F232" s="129">
        <f t="shared" si="27"/>
        <v>0.3</v>
      </c>
      <c r="G232" s="129">
        <f t="shared" si="27"/>
        <v>0.3</v>
      </c>
      <c r="H232" s="129">
        <f t="shared" si="27"/>
        <v>0.3</v>
      </c>
      <c r="I232" s="129">
        <f t="shared" si="27"/>
        <v>0.3</v>
      </c>
      <c r="J232" s="129">
        <f t="shared" si="27"/>
        <v>0.3</v>
      </c>
      <c r="K232" s="129">
        <f t="shared" si="27"/>
        <v>0.3</v>
      </c>
      <c r="L232" s="129">
        <f t="shared" si="27"/>
        <v>0.3</v>
      </c>
      <c r="M232" s="129">
        <f t="shared" si="27"/>
        <v>0.3</v>
      </c>
      <c r="N232" s="129">
        <f t="shared" si="27"/>
        <v>0.3</v>
      </c>
      <c r="O232" s="129">
        <f t="shared" si="27"/>
        <v>0.3</v>
      </c>
      <c r="P232" s="129">
        <f t="shared" si="27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26"/>
        <v>0</v>
      </c>
      <c r="C233" s="129">
        <v>0.4</v>
      </c>
      <c r="D233" s="129">
        <f t="shared" si="27"/>
        <v>0.4</v>
      </c>
      <c r="E233" s="129">
        <f t="shared" si="27"/>
        <v>0.4</v>
      </c>
      <c r="F233" s="129">
        <f t="shared" si="27"/>
        <v>0.4</v>
      </c>
      <c r="G233" s="129">
        <f t="shared" si="27"/>
        <v>0.4</v>
      </c>
      <c r="H233" s="129">
        <f t="shared" si="27"/>
        <v>0.4</v>
      </c>
      <c r="I233" s="129">
        <f t="shared" si="27"/>
        <v>0.4</v>
      </c>
      <c r="J233" s="129">
        <f t="shared" si="27"/>
        <v>0.4</v>
      </c>
      <c r="K233" s="129">
        <f t="shared" si="27"/>
        <v>0.4</v>
      </c>
      <c r="L233" s="129">
        <f t="shared" si="27"/>
        <v>0.4</v>
      </c>
      <c r="M233" s="129">
        <f t="shared" si="27"/>
        <v>0.4</v>
      </c>
      <c r="N233" s="129">
        <f t="shared" si="27"/>
        <v>0.4</v>
      </c>
      <c r="O233" s="129">
        <f t="shared" si="27"/>
        <v>0.4</v>
      </c>
      <c r="P233" s="129">
        <f t="shared" si="27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26"/>
        <v>0</v>
      </c>
      <c r="C234" s="133">
        <v>0.64</v>
      </c>
      <c r="D234" s="133">
        <f t="shared" si="27"/>
        <v>0.64</v>
      </c>
      <c r="E234" s="133">
        <f t="shared" si="27"/>
        <v>0.64</v>
      </c>
      <c r="F234" s="133">
        <f t="shared" si="27"/>
        <v>0.64</v>
      </c>
      <c r="G234" s="133">
        <f t="shared" si="27"/>
        <v>0.64</v>
      </c>
      <c r="H234" s="133">
        <f t="shared" si="27"/>
        <v>0.64</v>
      </c>
      <c r="I234" s="133">
        <f t="shared" si="27"/>
        <v>0.64</v>
      </c>
      <c r="J234" s="133">
        <f t="shared" si="27"/>
        <v>0.64</v>
      </c>
      <c r="K234" s="133">
        <f t="shared" si="27"/>
        <v>0.64</v>
      </c>
      <c r="L234" s="133">
        <f t="shared" si="27"/>
        <v>0.64</v>
      </c>
      <c r="M234" s="133">
        <f t="shared" si="27"/>
        <v>0.64</v>
      </c>
      <c r="N234" s="133">
        <f t="shared" si="27"/>
        <v>0.64</v>
      </c>
      <c r="O234" s="133">
        <f t="shared" si="27"/>
        <v>0.64</v>
      </c>
      <c r="P234" s="133">
        <f t="shared" si="27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8">SUM(B229:B234)</f>
        <v>0</v>
      </c>
      <c r="C235" s="137">
        <f t="shared" si="28"/>
        <v>3.54</v>
      </c>
      <c r="D235" s="137">
        <f t="shared" si="28"/>
        <v>3.54</v>
      </c>
      <c r="E235" s="137">
        <f t="shared" si="28"/>
        <v>3.54</v>
      </c>
      <c r="F235" s="137">
        <f t="shared" si="28"/>
        <v>3.54</v>
      </c>
      <c r="G235" s="137">
        <f t="shared" si="28"/>
        <v>3.54</v>
      </c>
      <c r="H235" s="137">
        <f t="shared" si="28"/>
        <v>3.54</v>
      </c>
      <c r="I235" s="137">
        <f t="shared" ca="1" si="28"/>
        <v>121.23900000000009</v>
      </c>
      <c r="J235" s="137">
        <f t="shared" ca="1" si="28"/>
        <v>121.23900000000009</v>
      </c>
      <c r="K235" s="137">
        <f t="shared" ca="1" si="28"/>
        <v>121.23900000000009</v>
      </c>
      <c r="L235" s="137">
        <f t="shared" ca="1" si="28"/>
        <v>125.2590000000001</v>
      </c>
      <c r="M235" s="137">
        <f t="shared" ca="1" si="28"/>
        <v>121.23900000000009</v>
      </c>
      <c r="N235" s="137">
        <f t="shared" ca="1" si="28"/>
        <v>121.23900000000009</v>
      </c>
      <c r="O235" s="137">
        <f t="shared" ca="1" si="28"/>
        <v>121.23900000000009</v>
      </c>
      <c r="P235" s="137">
        <f t="shared" ca="1" si="28"/>
        <v>121.23900000000009</v>
      </c>
      <c r="Q235" s="137">
        <f t="shared" si="28"/>
        <v>0</v>
      </c>
      <c r="R235" s="137">
        <f t="shared" si="28"/>
        <v>0</v>
      </c>
      <c r="S235" s="137">
        <f t="shared" si="28"/>
        <v>0</v>
      </c>
      <c r="T235" s="137">
        <f t="shared" si="28"/>
        <v>0</v>
      </c>
      <c r="U235" s="137">
        <f t="shared" si="28"/>
        <v>0</v>
      </c>
      <c r="V235" s="137">
        <f t="shared" si="28"/>
        <v>0</v>
      </c>
      <c r="W235" s="137">
        <f t="shared" si="28"/>
        <v>0</v>
      </c>
      <c r="X235" s="137">
        <f t="shared" si="28"/>
        <v>0</v>
      </c>
      <c r="Y235" s="137">
        <f t="shared" si="28"/>
        <v>0</v>
      </c>
      <c r="Z235" s="137">
        <f t="shared" si="28"/>
        <v>0</v>
      </c>
      <c r="AA235" s="137">
        <f t="shared" si="28"/>
        <v>0</v>
      </c>
      <c r="AB235" s="137">
        <f t="shared" si="28"/>
        <v>0</v>
      </c>
      <c r="AC235" s="137">
        <f t="shared" si="28"/>
        <v>0</v>
      </c>
      <c r="AD235" s="137">
        <f t="shared" si="28"/>
        <v>0</v>
      </c>
      <c r="AE235" s="137">
        <f t="shared" si="28"/>
        <v>0</v>
      </c>
      <c r="AF235" s="137">
        <f t="shared" si="28"/>
        <v>0</v>
      </c>
      <c r="AG235" s="146">
        <f t="shared" si="28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1933.94</v>
      </c>
      <c r="C244" s="162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24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2080/03/24)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2080/03/24)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9">B91</f>
        <v>1923.2400000000002</v>
      </c>
      <c r="U249" s="171">
        <f t="shared" si="29"/>
        <v>1919.8400000000001</v>
      </c>
      <c r="V249" s="171">
        <f t="shared" si="29"/>
        <v>1913.0400000000002</v>
      </c>
      <c r="W249" s="171">
        <f t="shared" si="29"/>
        <v>1867.24</v>
      </c>
      <c r="X249" s="171">
        <f t="shared" si="29"/>
        <v>1881.44</v>
      </c>
      <c r="Y249" s="171">
        <f t="shared" si="29"/>
        <v>1882.9399999999998</v>
      </c>
      <c r="Z249" s="171">
        <f t="shared" si="29"/>
        <v>1897.84</v>
      </c>
      <c r="AA249" s="171">
        <f t="shared" si="29"/>
        <v>1907.9399999999998</v>
      </c>
      <c r="AB249" s="171">
        <f t="shared" si="29"/>
        <v>1922.44</v>
      </c>
      <c r="AC249" s="171">
        <f t="shared" si="29"/>
        <v>1927.0400000000002</v>
      </c>
      <c r="AD249" s="171">
        <f t="shared" si="29"/>
        <v>1926.94</v>
      </c>
      <c r="AE249" s="171">
        <f t="shared" si="29"/>
        <v>1923.5399999999997</v>
      </c>
      <c r="AF249" s="171">
        <f t="shared" si="29"/>
        <v>1933.94</v>
      </c>
      <c r="AG249" s="171">
        <f t="shared" si="29"/>
        <v>1934.34</v>
      </c>
      <c r="AH249" s="171">
        <f t="shared" si="29"/>
        <v>1973.0400000000002</v>
      </c>
      <c r="AI249" s="171">
        <f t="shared" si="29"/>
        <v>2007.94</v>
      </c>
      <c r="AJ249" s="171">
        <f t="shared" si="29"/>
        <v>1958.3400000000001</v>
      </c>
      <c r="AK249" s="171">
        <f t="shared" si="29"/>
        <v>1931.14</v>
      </c>
      <c r="AL249" s="171">
        <f t="shared" si="29"/>
        <v>1984.2399999999998</v>
      </c>
      <c r="AM249" s="171">
        <f t="shared" si="29"/>
        <v>1994.54</v>
      </c>
      <c r="AN249" s="171">
        <f t="shared" si="29"/>
        <v>1980.64</v>
      </c>
      <c r="AO249" s="171">
        <f t="shared" si="29"/>
        <v>2019.24</v>
      </c>
      <c r="AP249" s="171">
        <f t="shared" si="29"/>
        <v>1960.2</v>
      </c>
      <c r="AQ249" s="171">
        <f t="shared" si="29"/>
        <v>1904.8</v>
      </c>
      <c r="AR249" s="171">
        <f t="shared" si="29"/>
        <v>2027.4999999999998</v>
      </c>
      <c r="AS249" s="171">
        <f t="shared" si="29"/>
        <v>2078.1</v>
      </c>
      <c r="AT249" s="171">
        <f t="shared" si="29"/>
        <v>2118.2000000000003</v>
      </c>
      <c r="AU249" s="171">
        <f t="shared" si="29"/>
        <v>2078.6</v>
      </c>
      <c r="AV249" s="171">
        <f t="shared" si="29"/>
        <v>2065.9</v>
      </c>
      <c r="AW249" s="171">
        <f t="shared" si="29"/>
        <v>1970.04</v>
      </c>
      <c r="AX249" s="171">
        <f t="shared" si="29"/>
        <v>1953.5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30">C234</f>
        <v>0.64</v>
      </c>
      <c r="C270" s="174">
        <f t="shared" si="30"/>
        <v>0.64</v>
      </c>
      <c r="D270" s="174">
        <f t="shared" si="30"/>
        <v>0.64</v>
      </c>
      <c r="E270" s="174">
        <f t="shared" si="30"/>
        <v>0.64</v>
      </c>
      <c r="F270" s="174">
        <f t="shared" si="30"/>
        <v>0.64</v>
      </c>
      <c r="G270" s="174">
        <f t="shared" si="30"/>
        <v>0.64</v>
      </c>
      <c r="H270" s="174">
        <f t="shared" si="30"/>
        <v>0.64</v>
      </c>
      <c r="I270" s="174">
        <f t="shared" si="30"/>
        <v>0.64</v>
      </c>
      <c r="J270" s="174">
        <f t="shared" si="30"/>
        <v>0.64</v>
      </c>
      <c r="K270" s="174">
        <f t="shared" si="30"/>
        <v>0.64</v>
      </c>
      <c r="L270" s="174">
        <f t="shared" si="30"/>
        <v>0.64</v>
      </c>
      <c r="M270" s="174">
        <f t="shared" si="30"/>
        <v>0.64</v>
      </c>
      <c r="N270" s="174">
        <f t="shared" si="30"/>
        <v>0.64</v>
      </c>
      <c r="O270" s="174">
        <f t="shared" si="30"/>
        <v>0.64</v>
      </c>
      <c r="P270" s="174">
        <f t="shared" si="30"/>
        <v>0</v>
      </c>
      <c r="Q270" s="174">
        <f t="shared" si="30"/>
        <v>0</v>
      </c>
      <c r="R270" s="174">
        <f t="shared" si="30"/>
        <v>0</v>
      </c>
      <c r="S270" s="174">
        <f t="shared" si="30"/>
        <v>0</v>
      </c>
      <c r="T270" s="174">
        <f t="shared" si="30"/>
        <v>0</v>
      </c>
      <c r="U270" s="174">
        <f t="shared" si="30"/>
        <v>0</v>
      </c>
      <c r="V270" s="174">
        <f t="shared" si="30"/>
        <v>0</v>
      </c>
      <c r="W270" s="174">
        <f t="shared" si="30"/>
        <v>0</v>
      </c>
      <c r="X270" s="174">
        <f t="shared" si="30"/>
        <v>0</v>
      </c>
      <c r="Y270" s="174">
        <f t="shared" si="30"/>
        <v>0</v>
      </c>
      <c r="Z270" s="174">
        <f t="shared" si="30"/>
        <v>0</v>
      </c>
      <c r="AA270" s="174">
        <f t="shared" si="30"/>
        <v>0</v>
      </c>
      <c r="AB270" s="174">
        <f t="shared" si="30"/>
        <v>0</v>
      </c>
      <c r="AC270" s="174">
        <f t="shared" si="30"/>
        <v>0</v>
      </c>
      <c r="AD270" s="174">
        <f t="shared" si="30"/>
        <v>0</v>
      </c>
      <c r="AE270" s="174">
        <f t="shared" si="30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31">IF(B238&lt;100,"",B238-520)</f>
        <v/>
      </c>
      <c r="C271" s="175" t="str">
        <f t="shared" si="31"/>
        <v/>
      </c>
      <c r="D271" s="175" t="str">
        <f t="shared" si="31"/>
        <v/>
      </c>
      <c r="E271" s="175" t="str">
        <f t="shared" si="31"/>
        <v/>
      </c>
      <c r="F271" s="175" t="str">
        <f t="shared" si="31"/>
        <v/>
      </c>
      <c r="G271" s="175" t="str">
        <f t="shared" si="31"/>
        <v/>
      </c>
      <c r="H271" s="175" t="str">
        <f t="shared" si="31"/>
        <v/>
      </c>
      <c r="I271" s="175" t="str">
        <f t="shared" si="31"/>
        <v/>
      </c>
      <c r="J271" s="175" t="str">
        <f t="shared" si="31"/>
        <v/>
      </c>
      <c r="K271" s="175" t="str">
        <f t="shared" si="31"/>
        <v/>
      </c>
      <c r="L271" s="175" t="str">
        <f t="shared" si="31"/>
        <v/>
      </c>
      <c r="M271" s="175" t="str">
        <f t="shared" si="31"/>
        <v/>
      </c>
      <c r="N271" s="175" t="str">
        <f t="shared" si="31"/>
        <v/>
      </c>
      <c r="O271" s="175" t="str">
        <f t="shared" si="31"/>
        <v/>
      </c>
      <c r="P271" s="175" t="str">
        <f t="shared" si="31"/>
        <v/>
      </c>
      <c r="Q271" s="175" t="str">
        <f t="shared" si="31"/>
        <v/>
      </c>
      <c r="R271" s="175" t="str">
        <f t="shared" si="31"/>
        <v/>
      </c>
      <c r="S271" s="175" t="str">
        <f t="shared" si="31"/>
        <v/>
      </c>
      <c r="T271" s="175" t="str">
        <f t="shared" si="31"/>
        <v/>
      </c>
      <c r="U271" s="175" t="str">
        <f t="shared" si="31"/>
        <v/>
      </c>
      <c r="V271" s="175" t="str">
        <f t="shared" si="31"/>
        <v/>
      </c>
      <c r="W271" s="175" t="str">
        <f t="shared" si="31"/>
        <v/>
      </c>
      <c r="X271" s="175" t="str">
        <f t="shared" si="31"/>
        <v/>
      </c>
      <c r="Y271" s="175" t="str">
        <f t="shared" si="31"/>
        <v/>
      </c>
      <c r="Z271" s="175" t="str">
        <f t="shared" si="31"/>
        <v/>
      </c>
      <c r="AA271" s="175" t="str">
        <f t="shared" si="31"/>
        <v/>
      </c>
      <c r="AB271" s="175" t="str">
        <f t="shared" si="31"/>
        <v/>
      </c>
      <c r="AC271" s="175" t="str">
        <f t="shared" si="31"/>
        <v/>
      </c>
      <c r="AD271" s="175" t="str">
        <f t="shared" si="31"/>
        <v/>
      </c>
      <c r="AE271" s="175" t="str">
        <f t="shared" si="31"/>
        <v/>
      </c>
      <c r="AF271" s="175" t="str">
        <f t="shared" si="31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32">IF(B239&lt;100,"",B239-620)</f>
        <v/>
      </c>
      <c r="C272" s="175" t="str">
        <f t="shared" si="32"/>
        <v/>
      </c>
      <c r="D272" s="175" t="str">
        <f t="shared" si="32"/>
        <v/>
      </c>
      <c r="E272" s="175" t="str">
        <f t="shared" si="32"/>
        <v/>
      </c>
      <c r="F272" s="175" t="str">
        <f t="shared" si="32"/>
        <v/>
      </c>
      <c r="G272" s="175" t="str">
        <f t="shared" si="32"/>
        <v/>
      </c>
      <c r="H272" s="175" t="str">
        <f t="shared" si="32"/>
        <v/>
      </c>
      <c r="I272" s="175" t="str">
        <f t="shared" si="32"/>
        <v/>
      </c>
      <c r="J272" s="175" t="str">
        <f t="shared" si="32"/>
        <v/>
      </c>
      <c r="K272" s="175" t="str">
        <f t="shared" si="32"/>
        <v/>
      </c>
      <c r="L272" s="175" t="str">
        <f t="shared" si="32"/>
        <v/>
      </c>
      <c r="M272" s="175" t="str">
        <f t="shared" si="32"/>
        <v/>
      </c>
      <c r="N272" s="175" t="str">
        <f t="shared" si="32"/>
        <v/>
      </c>
      <c r="O272" s="175" t="str">
        <f t="shared" si="32"/>
        <v/>
      </c>
      <c r="P272" s="175" t="str">
        <f t="shared" si="32"/>
        <v/>
      </c>
      <c r="Q272" s="175" t="str">
        <f t="shared" si="32"/>
        <v/>
      </c>
      <c r="R272" s="175" t="str">
        <f t="shared" si="32"/>
        <v/>
      </c>
      <c r="S272" s="175" t="str">
        <f t="shared" si="32"/>
        <v/>
      </c>
      <c r="T272" s="175" t="str">
        <f t="shared" si="32"/>
        <v/>
      </c>
      <c r="U272" s="175" t="str">
        <f t="shared" si="32"/>
        <v/>
      </c>
      <c r="V272" s="175" t="str">
        <f t="shared" si="32"/>
        <v/>
      </c>
      <c r="W272" s="175" t="str">
        <f t="shared" si="32"/>
        <v/>
      </c>
      <c r="X272" s="175" t="str">
        <f t="shared" si="32"/>
        <v/>
      </c>
      <c r="Y272" s="175" t="str">
        <f t="shared" si="32"/>
        <v/>
      </c>
      <c r="Z272" s="175" t="str">
        <f t="shared" si="32"/>
        <v/>
      </c>
      <c r="AA272" s="175" t="str">
        <f t="shared" si="32"/>
        <v/>
      </c>
      <c r="AB272" s="175" t="str">
        <f t="shared" si="32"/>
        <v/>
      </c>
      <c r="AC272" s="175" t="str">
        <f t="shared" si="32"/>
        <v/>
      </c>
      <c r="AD272" s="175" t="str">
        <f t="shared" si="32"/>
        <v/>
      </c>
      <c r="AE272" s="175" t="str">
        <f t="shared" si="32"/>
        <v/>
      </c>
      <c r="AF272" s="175" t="str">
        <f t="shared" si="32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33">IF(B240&lt;100,"",B240-330)</f>
        <v/>
      </c>
      <c r="C273" s="175" t="str">
        <f t="shared" si="33"/>
        <v/>
      </c>
      <c r="D273" s="175" t="str">
        <f t="shared" si="33"/>
        <v/>
      </c>
      <c r="E273" s="175" t="str">
        <f t="shared" si="33"/>
        <v/>
      </c>
      <c r="F273" s="175" t="str">
        <f t="shared" si="33"/>
        <v/>
      </c>
      <c r="G273" s="175" t="str">
        <f t="shared" si="33"/>
        <v/>
      </c>
      <c r="H273" s="175" t="str">
        <f t="shared" si="33"/>
        <v/>
      </c>
      <c r="I273" s="175" t="str">
        <f t="shared" si="33"/>
        <v/>
      </c>
      <c r="J273" s="175" t="str">
        <f t="shared" si="33"/>
        <v/>
      </c>
      <c r="K273" s="175" t="str">
        <f t="shared" si="33"/>
        <v/>
      </c>
      <c r="L273" s="175" t="str">
        <f t="shared" si="33"/>
        <v/>
      </c>
      <c r="M273" s="175" t="str">
        <f t="shared" si="33"/>
        <v/>
      </c>
      <c r="N273" s="175" t="str">
        <f t="shared" si="33"/>
        <v/>
      </c>
      <c r="O273" s="175" t="str">
        <f t="shared" si="33"/>
        <v/>
      </c>
      <c r="P273" s="175" t="str">
        <f t="shared" si="33"/>
        <v/>
      </c>
      <c r="Q273" s="175" t="str">
        <f t="shared" si="33"/>
        <v/>
      </c>
      <c r="R273" s="175" t="str">
        <f t="shared" si="33"/>
        <v/>
      </c>
      <c r="S273" s="175" t="str">
        <f t="shared" si="33"/>
        <v/>
      </c>
      <c r="T273" s="175" t="str">
        <f t="shared" si="33"/>
        <v/>
      </c>
      <c r="U273" s="175" t="str">
        <f t="shared" si="33"/>
        <v/>
      </c>
      <c r="V273" s="175" t="str">
        <f t="shared" si="33"/>
        <v/>
      </c>
      <c r="W273" s="175" t="str">
        <f t="shared" si="33"/>
        <v/>
      </c>
      <c r="X273" s="175" t="str">
        <f t="shared" si="33"/>
        <v/>
      </c>
      <c r="Y273" s="175" t="str">
        <f t="shared" si="33"/>
        <v/>
      </c>
      <c r="Z273" s="175" t="str">
        <f t="shared" si="33"/>
        <v/>
      </c>
      <c r="AA273" s="175" t="str">
        <f t="shared" si="33"/>
        <v/>
      </c>
      <c r="AB273" s="175" t="str">
        <f t="shared" si="33"/>
        <v/>
      </c>
      <c r="AC273" s="175" t="str">
        <f t="shared" si="33"/>
        <v/>
      </c>
      <c r="AD273" s="175" t="str">
        <f t="shared" si="33"/>
        <v/>
      </c>
      <c r="AE273" s="175" t="str">
        <f t="shared" si="33"/>
        <v/>
      </c>
      <c r="AF273" s="175" t="str">
        <f t="shared" si="33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34">IF(B241&lt;100,"",B241-1500)</f>
        <v/>
      </c>
      <c r="C274" s="175" t="str">
        <f t="shared" si="34"/>
        <v/>
      </c>
      <c r="D274" s="175" t="str">
        <f t="shared" si="34"/>
        <v/>
      </c>
      <c r="E274" s="175" t="str">
        <f t="shared" si="34"/>
        <v/>
      </c>
      <c r="F274" s="175" t="str">
        <f t="shared" si="34"/>
        <v/>
      </c>
      <c r="G274" s="175" t="str">
        <f t="shared" si="34"/>
        <v/>
      </c>
      <c r="H274" s="175" t="str">
        <f t="shared" si="34"/>
        <v/>
      </c>
      <c r="I274" s="175" t="str">
        <f t="shared" si="34"/>
        <v/>
      </c>
      <c r="J274" s="175" t="str">
        <f t="shared" si="34"/>
        <v/>
      </c>
      <c r="K274" s="175" t="str">
        <f t="shared" si="34"/>
        <v/>
      </c>
      <c r="L274" s="175" t="str">
        <f t="shared" si="34"/>
        <v/>
      </c>
      <c r="M274" s="175" t="str">
        <f t="shared" si="34"/>
        <v/>
      </c>
      <c r="N274" s="175" t="str">
        <f t="shared" si="34"/>
        <v/>
      </c>
      <c r="O274" s="175" t="str">
        <f t="shared" si="34"/>
        <v/>
      </c>
      <c r="P274" s="175" t="str">
        <f t="shared" si="34"/>
        <v/>
      </c>
      <c r="Q274" s="175" t="str">
        <f t="shared" si="34"/>
        <v/>
      </c>
      <c r="R274" s="175" t="str">
        <f t="shared" si="34"/>
        <v/>
      </c>
      <c r="S274" s="175" t="str">
        <f t="shared" si="34"/>
        <v/>
      </c>
      <c r="T274" s="175" t="str">
        <f t="shared" si="34"/>
        <v/>
      </c>
      <c r="U274" s="175" t="str">
        <f t="shared" si="34"/>
        <v/>
      </c>
      <c r="V274" s="175" t="str">
        <f t="shared" si="34"/>
        <v/>
      </c>
      <c r="W274" s="175" t="str">
        <f t="shared" si="34"/>
        <v/>
      </c>
      <c r="X274" s="175" t="str">
        <f t="shared" si="34"/>
        <v/>
      </c>
      <c r="Y274" s="175" t="str">
        <f t="shared" si="34"/>
        <v/>
      </c>
      <c r="Z274" s="175" t="str">
        <f t="shared" si="34"/>
        <v/>
      </c>
      <c r="AA274" s="175" t="str">
        <f t="shared" si="34"/>
        <v/>
      </c>
      <c r="AB274" s="175" t="str">
        <f t="shared" si="34"/>
        <v/>
      </c>
      <c r="AC274" s="175" t="str">
        <f t="shared" si="34"/>
        <v/>
      </c>
      <c r="AD274" s="175" t="str">
        <f t="shared" si="34"/>
        <v/>
      </c>
      <c r="AE274" s="175" t="str">
        <f t="shared" si="34"/>
        <v/>
      </c>
      <c r="AF274" s="175" t="str">
        <f t="shared" si="34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36">
    <cfRule type="expression" dxfId="6738" priority="156">
      <formula>$AH11=0</formula>
    </cfRule>
  </conditionalFormatting>
  <conditionalFormatting sqref="B8 M8 S8 AB8">
    <cfRule type="expression" dxfId="6737" priority="410">
      <formula>C$9&lt;8/24</formula>
    </cfRule>
    <cfRule type="expression" dxfId="6736" priority="409">
      <formula>AND(C$9&gt;=8/24,C$9&lt;14/24)</formula>
    </cfRule>
    <cfRule type="expression" dxfId="6735" priority="408">
      <formula>AND(C$9&gt;=14/24,C$9&lt;20/24)</formula>
    </cfRule>
  </conditionalFormatting>
  <conditionalFormatting sqref="B72:B83 B93:AF109">
    <cfRule type="expression" dxfId="6734" priority="82">
      <formula>B$9&gt;=20/24</formula>
    </cfRule>
    <cfRule type="expression" dxfId="6733" priority="83">
      <formula>AND(B$9&gt;=14/24,B$9&lt;20/24)</formula>
    </cfRule>
    <cfRule type="expression" dxfId="6732" priority="84">
      <formula>AND(B$9&gt;=8/24,B$9&lt;14/24)</formula>
    </cfRule>
    <cfRule type="expression" dxfId="6731" priority="85">
      <formula>B$9&lt;8/24</formula>
    </cfRule>
  </conditionalFormatting>
  <conditionalFormatting sqref="B84:B91">
    <cfRule type="expression" dxfId="6730" priority="79">
      <formula>AND(B$9&gt;=8/24,B$9&lt;14/24)</formula>
    </cfRule>
    <cfRule type="expression" dxfId="6729" priority="77">
      <formula>B$9&gt;=20/24</formula>
    </cfRule>
    <cfRule type="expression" dxfId="6728" priority="78">
      <formula>AND(B$9&gt;=14/24,B$9&lt;20/24)</formula>
    </cfRule>
    <cfRule type="expression" dxfId="6727" priority="80">
      <formula>B$9&lt;8/24</formula>
    </cfRule>
  </conditionalFormatting>
  <conditionalFormatting sqref="B35:Z45">
    <cfRule type="expression" dxfId="6726" priority="37">
      <formula>B$9&gt;=20/24</formula>
    </cfRule>
    <cfRule type="expression" dxfId="6725" priority="38">
      <formula>AND(B$9&gt;=14/24,B$9&lt;20/24)</formula>
    </cfRule>
    <cfRule type="expression" dxfId="6724" priority="39">
      <formula>AND(B$9&gt;=8/24,B$9&lt;14/24)</formula>
    </cfRule>
    <cfRule type="expression" dxfId="6723" priority="40">
      <formula>B$9&lt;8/24</formula>
    </cfRule>
  </conditionalFormatting>
  <conditionalFormatting sqref="B35:Z46">
    <cfRule type="expression" dxfId="6722" priority="35">
      <formula>B35&gt;$AG35</formula>
    </cfRule>
  </conditionalFormatting>
  <conditionalFormatting sqref="B47:Z47">
    <cfRule type="expression" dxfId="6721" priority="66">
      <formula>B47&gt;$AG47</formula>
    </cfRule>
  </conditionalFormatting>
  <conditionalFormatting sqref="B9:AF18">
    <cfRule type="expression" dxfId="6720" priority="42">
      <formula>B$9&gt;=20/24</formula>
    </cfRule>
    <cfRule type="expression" dxfId="6719" priority="43">
      <formula>AND(B$9&gt;=14/24,B$9&lt;20/24)</formula>
    </cfRule>
    <cfRule type="expression" dxfId="6718" priority="44">
      <formula>AND(B$9&gt;=8/24,B$9&lt;14/24)</formula>
    </cfRule>
    <cfRule type="expression" dxfId="6717" priority="45">
      <formula>B$9&lt;8/24</formula>
    </cfRule>
  </conditionalFormatting>
  <conditionalFormatting sqref="B11:AF18">
    <cfRule type="expression" dxfId="6716" priority="41">
      <formula>B11&gt;$AG11</formula>
    </cfRule>
  </conditionalFormatting>
  <conditionalFormatting sqref="B46:AF46">
    <cfRule type="expression" dxfId="6715" priority="31">
      <formula>B$9&gt;=20/24</formula>
    </cfRule>
    <cfRule type="expression" dxfId="6714" priority="32">
      <formula>AND(B$9&gt;=14/24,B$9&lt;20/24)</formula>
    </cfRule>
    <cfRule type="expression" dxfId="6713" priority="33">
      <formula>AND(B$9&gt;=8/24,B$9&lt;14/24)</formula>
    </cfRule>
    <cfRule type="expression" dxfId="6712" priority="34">
      <formula>B$9&lt;8/24</formula>
    </cfRule>
  </conditionalFormatting>
  <conditionalFormatting sqref="B47:AF49">
    <cfRule type="expression" dxfId="6711" priority="56">
      <formula>B$9&lt;8/24</formula>
    </cfRule>
    <cfRule type="expression" dxfId="6710" priority="53">
      <formula>B$9&gt;=20/24</formula>
    </cfRule>
    <cfRule type="expression" dxfId="6709" priority="54">
      <formula>AND(B$9&gt;=14/24,B$9&lt;20/24)</formula>
    </cfRule>
    <cfRule type="expression" dxfId="6708" priority="55">
      <formula>AND(B$9&gt;=8/24,B$9&lt;14/24)</formula>
    </cfRule>
  </conditionalFormatting>
  <conditionalFormatting sqref="B48:AF53">
    <cfRule type="expression" dxfId="6707" priority="51">
      <formula>B48&gt;$AG48</formula>
    </cfRule>
  </conditionalFormatting>
  <conditionalFormatting sqref="B51:AF53">
    <cfRule type="expression" dxfId="6706" priority="107">
      <formula>B$9&lt;8/24</formula>
    </cfRule>
    <cfRule type="expression" dxfId="6705" priority="104">
      <formula>B$9&gt;=20/24</formula>
    </cfRule>
    <cfRule type="expression" dxfId="6704" priority="105">
      <formula>AND(B$9&gt;=14/24,B$9&lt;20/24)</formula>
    </cfRule>
    <cfRule type="expression" dxfId="6703" priority="106">
      <formula>AND(B$9&gt;=8/24,B$9&lt;14/24)</formula>
    </cfRule>
  </conditionalFormatting>
  <conditionalFormatting sqref="B55:AF66">
    <cfRule type="expression" dxfId="6702" priority="67">
      <formula>B55&gt;$AG55</formula>
    </cfRule>
    <cfRule type="expression" dxfId="6701" priority="68">
      <formula>B$9&gt;=20/24</formula>
    </cfRule>
    <cfRule type="expression" dxfId="6700" priority="69">
      <formula>AND(B$9&gt;=14/24,B$9&lt;20/24)</formula>
    </cfRule>
    <cfRule type="expression" dxfId="6699" priority="70">
      <formula>AND(B$9&gt;=8/24,B$9&lt;14/24)</formula>
    </cfRule>
    <cfRule type="expression" dxfId="6698" priority="71">
      <formula>B$9&lt;8/24</formula>
    </cfRule>
  </conditionalFormatting>
  <conditionalFormatting sqref="B69:AF71">
    <cfRule type="expression" dxfId="6697" priority="122">
      <formula>B$9&gt;=20/24</formula>
    </cfRule>
    <cfRule type="expression" dxfId="6696" priority="123">
      <formula>AND(B$9&gt;=14/24,B$9&lt;20/24)</formula>
    </cfRule>
    <cfRule type="expression" dxfId="6695" priority="124">
      <formula>AND(B$9&gt;=8/24,B$9&lt;14/24)</formula>
    </cfRule>
    <cfRule type="expression" dxfId="6694" priority="125">
      <formula>B$9&lt;8/24</formula>
    </cfRule>
    <cfRule type="expression" dxfId="6693" priority="121">
      <formula>B69&gt;$AG69</formula>
    </cfRule>
  </conditionalFormatting>
  <conditionalFormatting sqref="B111:AF120">
    <cfRule type="expression" dxfId="6692" priority="28">
      <formula>AND(B$9&gt;=14/24,B$9&lt;20/24)</formula>
    </cfRule>
    <cfRule type="expression" dxfId="6691" priority="29">
      <formula>AND(B$9&gt;=8/24,B$9&lt;14/24)</formula>
    </cfRule>
    <cfRule type="expression" dxfId="6690" priority="30">
      <formula>B$9&lt;8/24</formula>
    </cfRule>
    <cfRule type="expression" dxfId="6689" priority="27">
      <formula>B$9&gt;=20/24</formula>
    </cfRule>
  </conditionalFormatting>
  <conditionalFormatting sqref="B227:AF227 D229:AF230 B229:B235 D231:H231 J231:AF231 D232:AF235 U248:AF248">
    <cfRule type="expression" dxfId="6688" priority="404">
      <formula>B$9&lt;8/24</formula>
    </cfRule>
    <cfRule type="expression" dxfId="6687" priority="403">
      <formula>AND(B$9&gt;=8/24,B$9&lt;14/24)</formula>
    </cfRule>
    <cfRule type="expression" dxfId="6686" priority="402">
      <formula>AND(B$9&gt;=14/24,B$9&lt;20/24)</formula>
    </cfRule>
    <cfRule type="expression" dxfId="6685" priority="401">
      <formula>B$9&gt;=20/24</formula>
    </cfRule>
  </conditionalFormatting>
  <conditionalFormatting sqref="B54:AG54">
    <cfRule type="expression" dxfId="6684" priority="72">
      <formula>B54&gt;$AG54</formula>
    </cfRule>
    <cfRule type="expression" dxfId="6683" priority="73">
      <formula>B$9&gt;=20/24</formula>
    </cfRule>
    <cfRule type="expression" dxfId="6682" priority="74">
      <formula>AND(B$9&gt;=14/24,B$9&lt;20/24)</formula>
    </cfRule>
    <cfRule type="expression" dxfId="6681" priority="75">
      <formula>AND(B$9&gt;=8/24,B$9&lt;14/24)</formula>
    </cfRule>
    <cfRule type="expression" dxfId="6680" priority="76">
      <formula>B$9&lt;8/24</formula>
    </cfRule>
  </conditionalFormatting>
  <conditionalFormatting sqref="B67:AG68 B72:AG72">
    <cfRule type="expression" dxfId="6679" priority="81">
      <formula>B67&gt;$AG67</formula>
    </cfRule>
  </conditionalFormatting>
  <conditionalFormatting sqref="C73:AF91">
    <cfRule type="expression" dxfId="6678" priority="178">
      <formula>C$9&gt;=20/24</formula>
    </cfRule>
    <cfRule type="expression" dxfId="6677" priority="179">
      <formula>AND(C$9&gt;=14/24,C$9&lt;20/24)</formula>
    </cfRule>
    <cfRule type="expression" dxfId="6676" priority="180">
      <formula>AND(C$9&gt;=8/24,C$9&lt;14/24)</formula>
    </cfRule>
    <cfRule type="expression" dxfId="6675" priority="181">
      <formula>C$9&lt;8/24</formula>
    </cfRule>
  </conditionalFormatting>
  <conditionalFormatting sqref="C72:AG72">
    <cfRule type="expression" dxfId="6674" priority="268">
      <formula>AND(C$9&gt;=8/24,C$9&lt;14/24)</formula>
    </cfRule>
    <cfRule type="expression" dxfId="6673" priority="267">
      <formula>AND(C$9&gt;=14/24,C$9&lt;20/24)</formula>
    </cfRule>
    <cfRule type="expression" dxfId="6672" priority="266">
      <formula>C$9&gt;=20/24</formula>
    </cfRule>
    <cfRule type="expression" dxfId="6671" priority="269">
      <formula>C$9&lt;8/24</formula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6670" priority="407">
      <formula>C$9&gt;=20/24</formula>
    </cfRule>
  </conditionalFormatting>
  <conditionalFormatting sqref="S8">
    <cfRule type="expression" dxfId="6669" priority="381">
      <formula>AND(U$9&gt;=14/24,U$9&lt;20/24)</formula>
    </cfRule>
    <cfRule type="expression" dxfId="6668" priority="383">
      <formula>U$9&lt;8/24</formula>
    </cfRule>
    <cfRule type="expression" dxfId="6667" priority="380">
      <formula>U$9&gt;=20/24</formula>
    </cfRule>
    <cfRule type="expression" dxfId="6666" priority="382">
      <formula>AND(U$9&gt;=8/24,U$9&lt;14/24)</formula>
    </cfRule>
  </conditionalFormatting>
  <conditionalFormatting sqref="T248">
    <cfRule type="expression" dxfId="6665" priority="422">
      <formula>AND(AX$9&gt;=8/24,AX$9&lt;14/24)</formula>
    </cfRule>
    <cfRule type="expression" dxfId="6664" priority="421">
      <formula>AND(AX$9&gt;=14/24,AX$9&lt;20/24)</formula>
    </cfRule>
    <cfRule type="expression" dxfId="6663" priority="420">
      <formula>AX$9&gt;=20/24</formula>
    </cfRule>
    <cfRule type="expression" dxfId="6662" priority="423">
      <formula>AX$9&lt;8/24</formula>
    </cfRule>
  </conditionalFormatting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Z19:AA20 B19:Y34 Z21:Z34 AA31:AF45">
    <cfRule type="expression" dxfId="6661" priority="91">
      <formula>B$9&gt;=20/24</formula>
    </cfRule>
    <cfRule type="expression" dxfId="6660" priority="92">
      <formula>AND(B$9&gt;=14/24,B$9&lt;20/24)</formula>
    </cfRule>
    <cfRule type="expression" dxfId="6659" priority="93">
      <formula>AND(B$9&gt;=8/24,B$9&lt;14/24)</formula>
    </cfRule>
    <cfRule type="expression" dxfId="6658" priority="94">
      <formula>B$9&lt;8/24</formula>
    </cfRule>
  </conditionalFormatting>
  <conditionalFormatting sqref="AA31:AF47 Z19:AA20 B19:Y34 Z21:Z34">
    <cfRule type="expression" dxfId="6657" priority="90">
      <formula>B19&gt;$AG19</formula>
    </cfRule>
  </conditionalFormatting>
  <conditionalFormatting sqref="AB8">
    <cfRule type="expression" dxfId="6656" priority="378">
      <formula>AND(AD$9&gt;=8/24,AD$9&lt;14/24)</formula>
    </cfRule>
    <cfRule type="expression" dxfId="6655" priority="379">
      <formula>AD$9&lt;8/24</formula>
    </cfRule>
    <cfRule type="expression" dxfId="6654" priority="376">
      <formula>AD$9&gt;=20/24</formula>
    </cfRule>
    <cfRule type="expression" dxfId="6653" priority="377">
      <formula>AND(AD$9&gt;=14/24,AD$9&lt;20/24)</formula>
    </cfRule>
  </conditionalFormatting>
  <conditionalFormatting sqref="AB19:AF30 AA21:AA30">
    <cfRule type="expression" dxfId="6652" priority="286">
      <formula>AND(AA$9&gt;=8/24,AA$9&lt;14/24)</formula>
    </cfRule>
    <cfRule type="expression" dxfId="6651" priority="287">
      <formula>AA$9&lt;8/24</formula>
    </cfRule>
    <cfRule type="expression" dxfId="6650" priority="279">
      <formula>AA19&gt;$AG19</formula>
    </cfRule>
    <cfRule type="expression" dxfId="6649" priority="285">
      <formula>AND(AA$9&gt;=14/24,AA$9&lt;20/24)</formula>
    </cfRule>
    <cfRule type="expression" dxfId="6648" priority="284">
      <formula>AA$9&gt;=20/24</formula>
    </cfRule>
  </conditionalFormatting>
  <conditionalFormatting sqref="AG50">
    <cfRule type="expression" dxfId="6647" priority="333">
      <formula>AG50&gt;$AG50</formula>
    </cfRule>
  </conditionalFormatting>
  <conditionalFormatting sqref="AG89">
    <cfRule type="expression" dxfId="6646" priority="336">
      <formula>AND(AG$9&gt;=8/24,AG$9&lt;14/24)</formula>
    </cfRule>
    <cfRule type="expression" dxfId="6645" priority="335">
      <formula>AND(AG$9&gt;=14/24,AG$9&lt;20/24)</formula>
    </cfRule>
    <cfRule type="expression" dxfId="6644" priority="334">
      <formula>AG$9&gt;=20/24</formula>
    </cfRule>
    <cfRule type="expression" dxfId="6643" priority="337">
      <formula>AG$9&lt;8/24</formula>
    </cfRule>
  </conditionalFormatting>
  <conditionalFormatting sqref="AG248">
    <cfRule type="expression" dxfId="6642" priority="412">
      <formula>B$9&gt;=20/24</formula>
    </cfRule>
    <cfRule type="expression" dxfId="6641" priority="413">
      <formula>AND(B$9&gt;=14/24,B$9&lt;20/24)</formula>
    </cfRule>
    <cfRule type="expression" dxfId="6640" priority="414">
      <formula>AND(B$9&gt;=8/24,B$9&lt;14/24)</formula>
    </cfRule>
    <cfRule type="expression" dxfId="6639" priority="415">
      <formula>B$9&lt;8/24</formula>
    </cfRule>
  </conditionalFormatting>
  <conditionalFormatting sqref="AH248:AX248">
    <cfRule type="expression" dxfId="6638" priority="416">
      <formula>AG$9&gt;=20/24</formula>
    </cfRule>
    <cfRule type="expression" dxfId="6637" priority="417">
      <formula>AND(AG$9&gt;=14/24,AG$9&lt;20/24)</formula>
    </cfRule>
    <cfRule type="expression" dxfId="6636" priority="418">
      <formula>AND(AG$9&gt;=8/24,AG$9&lt;14/24)</formula>
    </cfRule>
    <cfRule type="expression" dxfId="6635" priority="419">
      <formula>AG$9&lt;8/24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L81:AM85">
    <cfRule type="expression" dxfId="6634" priority="428">
      <formula>AJ$9&lt;8/24</formula>
    </cfRule>
    <cfRule type="expression" dxfId="6633" priority="425">
      <formula>AJ$9&gt;=20/24</formula>
    </cfRule>
    <cfRule type="expression" dxfId="6632" priority="426">
      <formula>AND(AJ$9&gt;=14/24,AJ$9&lt;20/24)</formula>
    </cfRule>
    <cfRule type="expression" dxfId="6631" priority="427">
      <formula>AND(AJ$9&gt;=8/24,AJ$9&lt;14/24)</formula>
    </cfRule>
  </conditionalFormatting>
  <conditionalFormatting sqref="AL80:AN80 AL86:AN86">
    <cfRule type="expression" dxfId="6630" priority="225">
      <formula>AL$9&gt;=20/24</formula>
    </cfRule>
    <cfRule type="expression" dxfId="6629" priority="226">
      <formula>AND(AL$9&gt;=14/24,AL$9&lt;20/24)</formula>
    </cfRule>
    <cfRule type="expression" dxfId="6628" priority="227">
      <formula>AND(AL$9&gt;=8/24,AL$9&lt;14/24)</formula>
    </cfRule>
    <cfRule type="expression" dxfId="6627" priority="228">
      <formula>AL$9&lt;8/24</formula>
    </cfRule>
  </conditionalFormatting>
  <conditionalFormatting sqref="AN81:AN84">
    <cfRule type="expression" dxfId="6626" priority="221">
      <formula>AN$9&gt;=20/24</formula>
    </cfRule>
    <cfRule type="expression" dxfId="6625" priority="222">
      <formula>AND(AN$9&gt;=14/24,AN$9&lt;20/24)</formula>
    </cfRule>
    <cfRule type="expression" dxfId="6624" priority="223">
      <formula>AND(AN$9&gt;=8/24,AN$9&lt;14/24)</formula>
    </cfRule>
    <cfRule type="expression" dxfId="6623" priority="224">
      <formula>AN$9&lt;8/24</formula>
    </cfRule>
  </conditionalFormatting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1ACB-B8F6-48C8-85D4-6B1938E504A1}">
  <dimension ref="A1:CJ281"/>
  <sheetViews>
    <sheetView zoomScale="90" zoomScaleNormal="90" workbookViewId="0">
      <pane xSplit="1" ySplit="10" topLeftCell="B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E33" sqref="AE3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2080/03/25</v>
      </c>
      <c r="C4" s="187"/>
      <c r="D4" s="187"/>
      <c r="E4" s="188" t="str">
        <f ca="1">"2079/"&amp;"12/"&amp;INT(MID(CELL("filename",G6),FIND("]",CELL("filename",G6))+1,200))</f>
        <v>2079/12/25</v>
      </c>
      <c r="F4" s="188"/>
      <c r="G4" s="188"/>
      <c r="H4" s="188" t="str">
        <f ca="1">TEXT(E4,"dddd")</f>
        <v>Monday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57.2</v>
      </c>
      <c r="C5" s="30">
        <f t="shared" si="0"/>
        <v>61.5</v>
      </c>
      <c r="D5" s="30">
        <f t="shared" si="0"/>
        <v>52.8</v>
      </c>
      <c r="E5" s="30">
        <f t="shared" si="0"/>
        <v>9.1</v>
      </c>
      <c r="F5" s="30">
        <f t="shared" si="0"/>
        <v>5</v>
      </c>
      <c r="G5" s="30">
        <f t="shared" si="0"/>
        <v>0</v>
      </c>
      <c r="H5" s="30">
        <f t="shared" si="0"/>
        <v>30</v>
      </c>
      <c r="I5" s="30">
        <f t="shared" si="0"/>
        <v>3.7</v>
      </c>
      <c r="J5" s="30">
        <f t="shared" si="0"/>
        <v>0</v>
      </c>
      <c r="K5" s="30">
        <f t="shared" si="0"/>
        <v>30.6</v>
      </c>
      <c r="L5" s="30">
        <f t="shared" si="0"/>
        <v>14</v>
      </c>
      <c r="M5" s="30">
        <f t="shared" si="0"/>
        <v>14</v>
      </c>
      <c r="N5" s="30">
        <f t="shared" si="0"/>
        <v>55</v>
      </c>
      <c r="O5" s="30">
        <f t="shared" si="0"/>
        <v>56.6</v>
      </c>
      <c r="P5" s="30">
        <f t="shared" si="0"/>
        <v>60</v>
      </c>
      <c r="Q5" s="30">
        <f t="shared" si="0"/>
        <v>70.599999999999994</v>
      </c>
      <c r="R5" s="30">
        <f t="shared" si="0"/>
        <v>99.5</v>
      </c>
      <c r="S5" s="30">
        <f t="shared" si="0"/>
        <v>94.1</v>
      </c>
      <c r="T5" s="30">
        <f t="shared" si="0"/>
        <v>91.1</v>
      </c>
      <c r="U5" s="30">
        <f t="shared" si="0"/>
        <v>86.9</v>
      </c>
      <c r="V5" s="30">
        <f t="shared" si="0"/>
        <v>77.5</v>
      </c>
      <c r="W5" s="30">
        <f t="shared" si="0"/>
        <v>69.5</v>
      </c>
      <c r="X5" s="30">
        <f t="shared" si="0"/>
        <v>62.8</v>
      </c>
      <c r="Y5" s="30">
        <f t="shared" si="0"/>
        <v>26.4</v>
      </c>
      <c r="Z5" s="30">
        <f t="shared" si="0"/>
        <v>14.4</v>
      </c>
      <c r="AA5" s="30">
        <f t="shared" si="0"/>
        <v>62.8</v>
      </c>
      <c r="AB5" s="30">
        <f t="shared" si="0"/>
        <v>30.2</v>
      </c>
      <c r="AC5" s="30">
        <f t="shared" si="0"/>
        <v>30.3</v>
      </c>
      <c r="AD5" s="30">
        <f t="shared" si="0"/>
        <v>26.4</v>
      </c>
      <c r="AE5" s="30">
        <f t="shared" si="0"/>
        <v>20</v>
      </c>
      <c r="AF5" s="30">
        <f>B84</f>
        <v>60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1902MW at 6:30hr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Load=1800</v>
      </c>
      <c r="B7" s="35">
        <f t="shared" ref="B7:AF7" si="1">B91</f>
        <v>1966.8400000000001</v>
      </c>
      <c r="C7" s="35">
        <f t="shared" si="1"/>
        <v>1954.14</v>
      </c>
      <c r="D7" s="35">
        <f t="shared" si="1"/>
        <v>1959.14</v>
      </c>
      <c r="E7" s="35">
        <f t="shared" si="1"/>
        <v>1922.84</v>
      </c>
      <c r="F7" s="35">
        <f t="shared" si="1"/>
        <v>1863.94</v>
      </c>
      <c r="G7" s="35">
        <f t="shared" si="1"/>
        <v>1876.54</v>
      </c>
      <c r="H7" s="35">
        <f t="shared" si="1"/>
        <v>1883.74</v>
      </c>
      <c r="I7" s="35">
        <f t="shared" si="1"/>
        <v>1880.54</v>
      </c>
      <c r="J7" s="35">
        <f t="shared" si="1"/>
        <v>1902.24</v>
      </c>
      <c r="K7" s="35">
        <f t="shared" si="1"/>
        <v>1898.54</v>
      </c>
      <c r="L7" s="35">
        <f t="shared" si="1"/>
        <v>1811.74</v>
      </c>
      <c r="M7" s="35">
        <f t="shared" si="1"/>
        <v>1815.24</v>
      </c>
      <c r="N7" s="35">
        <f>N91</f>
        <v>1800.24</v>
      </c>
      <c r="O7" s="35">
        <f t="shared" si="1"/>
        <v>1848.54</v>
      </c>
      <c r="P7" s="35">
        <f t="shared" si="1"/>
        <v>1826.8400000000001</v>
      </c>
      <c r="Q7" s="35">
        <f t="shared" si="1"/>
        <v>1923.94</v>
      </c>
      <c r="R7" s="35">
        <f t="shared" si="1"/>
        <v>1934.54</v>
      </c>
      <c r="S7" s="35">
        <f t="shared" si="1"/>
        <v>1981.6399999999999</v>
      </c>
      <c r="T7" s="35">
        <f t="shared" si="1"/>
        <v>1954.0399999999997</v>
      </c>
      <c r="U7" s="35">
        <f t="shared" si="1"/>
        <v>1937.9399999999998</v>
      </c>
      <c r="V7" s="35">
        <f t="shared" si="1"/>
        <v>1980.1400000000003</v>
      </c>
      <c r="W7" s="35">
        <f t="shared" si="1"/>
        <v>1970.84</v>
      </c>
      <c r="X7" s="35">
        <f t="shared" si="1"/>
        <v>2002.04</v>
      </c>
      <c r="Y7" s="35">
        <f t="shared" si="1"/>
        <v>1974.34</v>
      </c>
      <c r="Z7" s="35">
        <f t="shared" si="1"/>
        <v>2034.6400000000003</v>
      </c>
      <c r="AA7" s="35">
        <f t="shared" si="1"/>
        <v>2047.1400000000003</v>
      </c>
      <c r="AB7" s="35">
        <f t="shared" si="1"/>
        <v>2072.0400000000004</v>
      </c>
      <c r="AC7" s="35">
        <f t="shared" si="1"/>
        <v>2092.84</v>
      </c>
      <c r="AD7" s="35">
        <f t="shared" si="1"/>
        <v>2079.2400000000002</v>
      </c>
      <c r="AE7" s="35">
        <f t="shared" si="1"/>
        <v>2051.2400000000002</v>
      </c>
      <c r="AF7" s="35">
        <f t="shared" si="1"/>
        <v>2008.24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60.4</v>
      </c>
      <c r="C11" s="45">
        <v>60.4</v>
      </c>
      <c r="D11" s="45">
        <v>60.4</v>
      </c>
      <c r="E11" s="45">
        <v>60.4</v>
      </c>
      <c r="F11" s="45">
        <v>60.4</v>
      </c>
      <c r="G11" s="45">
        <v>60.4</v>
      </c>
      <c r="H11" s="45">
        <v>60.4</v>
      </c>
      <c r="I11" s="45">
        <v>60.4</v>
      </c>
      <c r="J11" s="45">
        <v>60.4</v>
      </c>
      <c r="K11" s="45">
        <v>60.4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66</v>
      </c>
      <c r="R11" s="45">
        <v>66</v>
      </c>
      <c r="S11" s="45">
        <v>67.7</v>
      </c>
      <c r="T11" s="45">
        <v>67.7</v>
      </c>
      <c r="U11" s="45">
        <v>70.599999999999994</v>
      </c>
      <c r="V11" s="45">
        <v>76.400000000000006</v>
      </c>
      <c r="W11" s="45">
        <v>80</v>
      </c>
      <c r="X11" s="45">
        <v>80</v>
      </c>
      <c r="Y11" s="45">
        <v>65</v>
      </c>
      <c r="Z11" s="45">
        <v>80</v>
      </c>
      <c r="AA11" s="45">
        <v>80</v>
      </c>
      <c r="AB11" s="45">
        <v>80</v>
      </c>
      <c r="AC11" s="45">
        <v>80</v>
      </c>
      <c r="AD11" s="45">
        <v>80</v>
      </c>
      <c r="AE11" s="45">
        <v>80</v>
      </c>
      <c r="AF11" s="45">
        <v>85</v>
      </c>
      <c r="AG11" s="46">
        <v>86</v>
      </c>
      <c r="AH11" s="47">
        <f t="shared" ref="AH11:AH76" si="2">MAX(B11:AF11)</f>
        <v>85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27</v>
      </c>
      <c r="C12" s="45">
        <v>27</v>
      </c>
      <c r="D12" s="45">
        <v>27</v>
      </c>
      <c r="E12" s="45">
        <v>27</v>
      </c>
      <c r="F12" s="45">
        <v>20</v>
      </c>
      <c r="G12" s="45">
        <v>20</v>
      </c>
      <c r="H12" s="45">
        <v>26</v>
      </c>
      <c r="I12" s="45">
        <v>26</v>
      </c>
      <c r="J12" s="45">
        <v>26</v>
      </c>
      <c r="K12" s="45">
        <v>26</v>
      </c>
      <c r="L12" s="45">
        <v>26</v>
      </c>
      <c r="M12" s="45">
        <v>26</v>
      </c>
      <c r="N12" s="45">
        <v>26</v>
      </c>
      <c r="O12" s="45">
        <v>26</v>
      </c>
      <c r="P12" s="45">
        <v>26</v>
      </c>
      <c r="Q12" s="45">
        <v>26</v>
      </c>
      <c r="R12" s="45">
        <v>26</v>
      </c>
      <c r="S12" s="45">
        <v>26</v>
      </c>
      <c r="T12" s="45">
        <v>26</v>
      </c>
      <c r="U12" s="45">
        <v>26</v>
      </c>
      <c r="V12" s="45">
        <v>0</v>
      </c>
      <c r="W12" s="45">
        <v>26</v>
      </c>
      <c r="X12" s="45">
        <v>26</v>
      </c>
      <c r="Y12" s="45">
        <v>26</v>
      </c>
      <c r="Z12" s="45">
        <v>26</v>
      </c>
      <c r="AA12" s="45">
        <v>26</v>
      </c>
      <c r="AB12" s="45">
        <v>26</v>
      </c>
      <c r="AC12" s="45">
        <v>26</v>
      </c>
      <c r="AD12" s="45">
        <v>26</v>
      </c>
      <c r="AE12" s="45">
        <v>26</v>
      </c>
      <c r="AF12" s="45">
        <v>26</v>
      </c>
      <c r="AG12" s="49">
        <v>54</v>
      </c>
      <c r="AH12" s="47">
        <f t="shared" si="2"/>
        <v>27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54.9</v>
      </c>
      <c r="C13" s="45">
        <v>55</v>
      </c>
      <c r="D13" s="45">
        <v>54.8</v>
      </c>
      <c r="E13" s="45">
        <v>54.8</v>
      </c>
      <c r="F13" s="45">
        <v>54.8</v>
      </c>
      <c r="G13" s="45">
        <v>54.8</v>
      </c>
      <c r="H13" s="45">
        <v>54.8</v>
      </c>
      <c r="I13" s="45">
        <v>54.8</v>
      </c>
      <c r="J13" s="45">
        <v>54.8</v>
      </c>
      <c r="K13" s="45">
        <v>54.8</v>
      </c>
      <c r="L13" s="45">
        <v>54.8</v>
      </c>
      <c r="M13" s="45">
        <v>54.8</v>
      </c>
      <c r="N13" s="45">
        <v>54.8</v>
      </c>
      <c r="O13" s="45">
        <v>54.8</v>
      </c>
      <c r="P13" s="45">
        <v>54.8</v>
      </c>
      <c r="Q13" s="45">
        <v>54.8</v>
      </c>
      <c r="R13" s="45">
        <v>54.8</v>
      </c>
      <c r="S13" s="45">
        <v>54.8</v>
      </c>
      <c r="T13" s="45">
        <v>54.8</v>
      </c>
      <c r="U13" s="45">
        <v>54.8</v>
      </c>
      <c r="V13" s="45">
        <v>54.8</v>
      </c>
      <c r="W13" s="45">
        <v>54.8</v>
      </c>
      <c r="X13" s="45">
        <v>54.8</v>
      </c>
      <c r="Y13" s="45">
        <v>54.8</v>
      </c>
      <c r="Z13" s="45">
        <v>54.9</v>
      </c>
      <c r="AA13" s="45">
        <v>54.9</v>
      </c>
      <c r="AB13" s="45">
        <v>54.9</v>
      </c>
      <c r="AC13" s="45">
        <v>54.9</v>
      </c>
      <c r="AD13" s="45">
        <v>54.9</v>
      </c>
      <c r="AE13" s="45">
        <v>54.9</v>
      </c>
      <c r="AF13" s="45">
        <v>54.9</v>
      </c>
      <c r="AG13" s="46">
        <v>52.4</v>
      </c>
      <c r="AH13" s="47">
        <f t="shared" si="2"/>
        <v>55</v>
      </c>
      <c r="AI13" s="48">
        <f t="shared" si="3"/>
        <v>54.8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45">
        <v>50.2</v>
      </c>
      <c r="C14" s="45">
        <v>50.3</v>
      </c>
      <c r="D14" s="45">
        <v>50.2</v>
      </c>
      <c r="E14" s="45">
        <v>50.2</v>
      </c>
      <c r="F14" s="45">
        <v>50.2</v>
      </c>
      <c r="G14" s="45">
        <v>50.2</v>
      </c>
      <c r="H14" s="45">
        <v>50.2</v>
      </c>
      <c r="I14" s="45">
        <v>50.2</v>
      </c>
      <c r="J14" s="45">
        <v>50.2</v>
      </c>
      <c r="K14" s="45">
        <v>50.2</v>
      </c>
      <c r="L14" s="45">
        <v>50.2</v>
      </c>
      <c r="M14" s="45">
        <v>50.2</v>
      </c>
      <c r="N14" s="45">
        <v>50.2</v>
      </c>
      <c r="O14" s="45">
        <v>50.2</v>
      </c>
      <c r="P14" s="45">
        <v>50.2</v>
      </c>
      <c r="Q14" s="45">
        <v>50.2</v>
      </c>
      <c r="R14" s="45">
        <v>50.2</v>
      </c>
      <c r="S14" s="45">
        <v>50.7</v>
      </c>
      <c r="T14" s="45">
        <v>50.7</v>
      </c>
      <c r="U14" s="45">
        <v>50.7</v>
      </c>
      <c r="V14" s="50">
        <v>50.7</v>
      </c>
      <c r="W14" s="50">
        <v>50.7</v>
      </c>
      <c r="X14" s="50">
        <v>50.7</v>
      </c>
      <c r="Y14" s="50">
        <v>50.7</v>
      </c>
      <c r="Z14" s="45">
        <v>50.4</v>
      </c>
      <c r="AA14" s="45">
        <v>50.4</v>
      </c>
      <c r="AB14" s="45">
        <v>50.4</v>
      </c>
      <c r="AC14" s="45">
        <v>50.4</v>
      </c>
      <c r="AD14" s="45">
        <v>50.4</v>
      </c>
      <c r="AE14" s="45">
        <v>50.4</v>
      </c>
      <c r="AF14" s="45">
        <v>50.4</v>
      </c>
      <c r="AG14" s="49">
        <v>50</v>
      </c>
      <c r="AH14" s="47">
        <f t="shared" si="2"/>
        <v>50.7</v>
      </c>
      <c r="AI14" s="48">
        <f t="shared" si="3"/>
        <v>50.2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45.8</v>
      </c>
      <c r="C15" s="45">
        <v>45.7</v>
      </c>
      <c r="D15" s="45">
        <v>45.6</v>
      </c>
      <c r="E15" s="45">
        <v>45.6</v>
      </c>
      <c r="F15" s="45">
        <v>45.6</v>
      </c>
      <c r="G15" s="45">
        <v>45.6</v>
      </c>
      <c r="H15" s="45">
        <v>45.6</v>
      </c>
      <c r="I15" s="45">
        <v>45.6</v>
      </c>
      <c r="J15" s="45">
        <v>45.6</v>
      </c>
      <c r="K15" s="45">
        <v>45.6</v>
      </c>
      <c r="L15" s="45">
        <v>45.6</v>
      </c>
      <c r="M15" s="45">
        <v>45.6</v>
      </c>
      <c r="N15" s="45">
        <v>45.6</v>
      </c>
      <c r="O15" s="45">
        <v>45.6</v>
      </c>
      <c r="P15" s="45">
        <v>45.6</v>
      </c>
      <c r="Q15" s="45">
        <v>45.6</v>
      </c>
      <c r="R15" s="45">
        <v>45.6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46</v>
      </c>
      <c r="AB15" s="45">
        <v>46</v>
      </c>
      <c r="AC15" s="45">
        <v>46</v>
      </c>
      <c r="AD15" s="45">
        <v>46</v>
      </c>
      <c r="AE15" s="45">
        <v>46</v>
      </c>
      <c r="AF15" s="45">
        <v>46</v>
      </c>
      <c r="AG15" s="49">
        <v>45</v>
      </c>
      <c r="AH15" s="47">
        <f t="shared" si="2"/>
        <v>46</v>
      </c>
      <c r="AI15" s="48">
        <f t="shared" si="3"/>
        <v>45.6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20</v>
      </c>
      <c r="Y16" s="45">
        <v>0</v>
      </c>
      <c r="Z16" s="45">
        <v>0</v>
      </c>
      <c r="AA16" s="45">
        <v>0</v>
      </c>
      <c r="AB16" s="45">
        <v>0</v>
      </c>
      <c r="AC16" s="45">
        <v>30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28</v>
      </c>
      <c r="C17" s="45">
        <v>29</v>
      </c>
      <c r="D17" s="45">
        <v>30</v>
      </c>
      <c r="E17" s="45">
        <v>30</v>
      </c>
      <c r="F17" s="45">
        <v>33</v>
      </c>
      <c r="G17" s="45">
        <v>33</v>
      </c>
      <c r="H17" s="45">
        <v>33</v>
      </c>
      <c r="I17" s="45">
        <v>33</v>
      </c>
      <c r="J17" s="45">
        <v>33</v>
      </c>
      <c r="K17" s="45">
        <v>33</v>
      </c>
      <c r="L17" s="45">
        <v>36</v>
      </c>
      <c r="M17" s="45">
        <v>36</v>
      </c>
      <c r="N17" s="45">
        <v>36</v>
      </c>
      <c r="O17" s="45">
        <v>36</v>
      </c>
      <c r="P17" s="45">
        <v>36</v>
      </c>
      <c r="Q17" s="45">
        <v>36</v>
      </c>
      <c r="R17" s="45">
        <v>36</v>
      </c>
      <c r="S17" s="45">
        <v>36.9</v>
      </c>
      <c r="T17" s="45">
        <v>36.9</v>
      </c>
      <c r="U17" s="45">
        <v>33</v>
      </c>
      <c r="V17" s="45">
        <v>33</v>
      </c>
      <c r="W17" s="45">
        <v>33</v>
      </c>
      <c r="X17" s="45">
        <v>41</v>
      </c>
      <c r="Y17" s="45">
        <v>41</v>
      </c>
      <c r="Z17" s="45">
        <v>41</v>
      </c>
      <c r="AA17" s="45">
        <v>41</v>
      </c>
      <c r="AB17" s="45">
        <v>41</v>
      </c>
      <c r="AC17" s="45">
        <v>41</v>
      </c>
      <c r="AD17" s="45">
        <v>36</v>
      </c>
      <c r="AE17" s="45">
        <v>36</v>
      </c>
      <c r="AF17" s="45">
        <v>36</v>
      </c>
      <c r="AG17" s="49">
        <v>42</v>
      </c>
      <c r="AH17" s="47">
        <f t="shared" si="2"/>
        <v>41</v>
      </c>
      <c r="AI17" s="48">
        <f t="shared" si="3"/>
        <v>28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15</v>
      </c>
      <c r="J18" s="45">
        <v>38</v>
      </c>
      <c r="K18" s="45">
        <v>38</v>
      </c>
      <c r="L18" s="45">
        <v>0</v>
      </c>
      <c r="M18" s="45">
        <v>0</v>
      </c>
      <c r="N18" s="45">
        <v>0</v>
      </c>
      <c r="O18" s="45">
        <v>0</v>
      </c>
      <c r="P18" s="45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24</v>
      </c>
      <c r="N19" s="45">
        <v>24</v>
      </c>
      <c r="O19" s="45">
        <v>24</v>
      </c>
      <c r="P19" s="45">
        <v>24</v>
      </c>
      <c r="Q19" s="45">
        <v>24</v>
      </c>
      <c r="R19" s="45">
        <v>24</v>
      </c>
      <c r="S19" s="45">
        <v>24</v>
      </c>
      <c r="T19" s="45">
        <v>24</v>
      </c>
      <c r="U19" s="45">
        <v>24</v>
      </c>
      <c r="V19" s="45">
        <v>24</v>
      </c>
      <c r="W19" s="45">
        <v>24</v>
      </c>
      <c r="X19" s="45">
        <v>24</v>
      </c>
      <c r="Y19" s="45">
        <v>24</v>
      </c>
      <c r="Z19" s="45">
        <v>24</v>
      </c>
      <c r="AA19" s="45">
        <v>24</v>
      </c>
      <c r="AB19" s="45">
        <v>24</v>
      </c>
      <c r="AC19" s="45">
        <v>24</v>
      </c>
      <c r="AD19" s="45">
        <v>24</v>
      </c>
      <c r="AE19" s="45">
        <v>24</v>
      </c>
      <c r="AF19" s="45">
        <v>24</v>
      </c>
      <c r="AG19" s="49">
        <v>36</v>
      </c>
      <c r="AH19" s="47">
        <f t="shared" si="2"/>
        <v>24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24.6</v>
      </c>
      <c r="C20" s="45">
        <v>29.5</v>
      </c>
      <c r="D20" s="45">
        <v>29.6</v>
      </c>
      <c r="E20" s="45">
        <v>29.6</v>
      </c>
      <c r="F20" s="45">
        <v>10.6</v>
      </c>
      <c r="G20" s="45">
        <v>25.3</v>
      </c>
      <c r="H20" s="45">
        <v>25.4</v>
      </c>
      <c r="I20" s="45">
        <v>25.4</v>
      </c>
      <c r="J20" s="45">
        <v>29.9</v>
      </c>
      <c r="K20" s="45">
        <v>29.9</v>
      </c>
      <c r="L20" s="45">
        <v>29.9</v>
      </c>
      <c r="M20" s="45">
        <v>29.9</v>
      </c>
      <c r="N20" s="45">
        <v>29.9</v>
      </c>
      <c r="O20" s="45">
        <v>29.9</v>
      </c>
      <c r="P20" s="45">
        <v>29.9</v>
      </c>
      <c r="Q20" s="45">
        <v>29.9</v>
      </c>
      <c r="R20" s="45">
        <v>29.9</v>
      </c>
      <c r="S20" s="45">
        <v>29.9</v>
      </c>
      <c r="T20" s="45">
        <v>29.9</v>
      </c>
      <c r="U20" s="45">
        <v>29.9</v>
      </c>
      <c r="V20" s="45">
        <v>29.9</v>
      </c>
      <c r="W20" s="45">
        <v>29.9</v>
      </c>
      <c r="X20" s="45">
        <v>29.9</v>
      </c>
      <c r="Y20" s="45">
        <v>29.9</v>
      </c>
      <c r="Z20" s="45">
        <v>29.9</v>
      </c>
      <c r="AA20" s="45">
        <v>29.9</v>
      </c>
      <c r="AB20" s="45">
        <v>29.9</v>
      </c>
      <c r="AC20" s="45">
        <v>29.9</v>
      </c>
      <c r="AD20" s="45">
        <v>29.9</v>
      </c>
      <c r="AE20" s="45">
        <v>29.9</v>
      </c>
      <c r="AF20" s="45">
        <v>21</v>
      </c>
      <c r="AG20" s="51">
        <v>30</v>
      </c>
      <c r="AH20" s="47">
        <f t="shared" si="2"/>
        <v>29.9</v>
      </c>
      <c r="AI20" s="48">
        <f t="shared" si="3"/>
        <v>10.6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21.7</v>
      </c>
      <c r="C21" s="45">
        <v>21.7</v>
      </c>
      <c r="D21" s="45">
        <v>21.7</v>
      </c>
      <c r="E21" s="45">
        <v>21.7</v>
      </c>
      <c r="F21" s="45">
        <v>21.7</v>
      </c>
      <c r="G21" s="45">
        <v>21.7</v>
      </c>
      <c r="H21" s="45">
        <v>21.7</v>
      </c>
      <c r="I21" s="45">
        <v>21.7</v>
      </c>
      <c r="J21" s="45">
        <v>21.7</v>
      </c>
      <c r="K21" s="45">
        <v>21.7</v>
      </c>
      <c r="L21" s="45">
        <v>21.7</v>
      </c>
      <c r="M21" s="45">
        <v>21.7</v>
      </c>
      <c r="N21" s="45">
        <v>21.7</v>
      </c>
      <c r="O21" s="45">
        <v>21.7</v>
      </c>
      <c r="P21" s="45">
        <v>21.7</v>
      </c>
      <c r="Q21" s="45">
        <v>21.7</v>
      </c>
      <c r="R21" s="45">
        <v>21.7</v>
      </c>
      <c r="S21" s="45">
        <v>33</v>
      </c>
      <c r="T21" s="45">
        <v>33</v>
      </c>
      <c r="U21" s="45">
        <v>33</v>
      </c>
      <c r="V21" s="45">
        <v>33</v>
      </c>
      <c r="W21" s="45">
        <v>33</v>
      </c>
      <c r="X21" s="45">
        <v>33</v>
      </c>
      <c r="Y21" s="45">
        <v>33</v>
      </c>
      <c r="Z21" s="45">
        <v>33</v>
      </c>
      <c r="AA21" s="45">
        <v>33</v>
      </c>
      <c r="AB21" s="45">
        <v>33</v>
      </c>
      <c r="AC21" s="45">
        <v>20.9</v>
      </c>
      <c r="AD21" s="45">
        <v>20.9</v>
      </c>
      <c r="AE21" s="45">
        <v>20.9</v>
      </c>
      <c r="AF21" s="45">
        <v>20.9</v>
      </c>
      <c r="AG21" s="49">
        <v>24.2</v>
      </c>
      <c r="AH21" s="47">
        <f t="shared" si="2"/>
        <v>33</v>
      </c>
      <c r="AI21" s="48">
        <f t="shared" si="3"/>
        <v>20.9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21.2</v>
      </c>
      <c r="C22" s="45">
        <v>21.2</v>
      </c>
      <c r="D22" s="45">
        <v>21.2</v>
      </c>
      <c r="E22" s="45">
        <v>21.2</v>
      </c>
      <c r="F22" s="45">
        <v>21.2</v>
      </c>
      <c r="G22" s="45">
        <v>21.2</v>
      </c>
      <c r="H22" s="45">
        <v>21.2</v>
      </c>
      <c r="I22" s="45">
        <v>21.2</v>
      </c>
      <c r="J22" s="45">
        <v>21.2</v>
      </c>
      <c r="K22" s="45">
        <v>21.2</v>
      </c>
      <c r="L22" s="45">
        <v>21.2</v>
      </c>
      <c r="M22" s="45">
        <v>21.2</v>
      </c>
      <c r="N22" s="45">
        <v>21.2</v>
      </c>
      <c r="O22" s="45">
        <v>21.2</v>
      </c>
      <c r="P22" s="45">
        <v>21.2</v>
      </c>
      <c r="Q22" s="45">
        <v>21.2</v>
      </c>
      <c r="R22" s="45">
        <v>21.2</v>
      </c>
      <c r="S22" s="45">
        <v>28.6</v>
      </c>
      <c r="T22" s="45">
        <v>28.6</v>
      </c>
      <c r="U22" s="45">
        <v>28.6</v>
      </c>
      <c r="V22" s="45">
        <v>28.6</v>
      </c>
      <c r="W22" s="45">
        <v>28.6</v>
      </c>
      <c r="X22" s="45">
        <v>28.6</v>
      </c>
      <c r="Y22" s="45">
        <v>28.6</v>
      </c>
      <c r="Z22" s="45">
        <v>28.6</v>
      </c>
      <c r="AA22" s="45">
        <v>28.6</v>
      </c>
      <c r="AB22" s="45">
        <v>28.6</v>
      </c>
      <c r="AC22" s="45">
        <v>28.6</v>
      </c>
      <c r="AD22" s="45">
        <v>28.6</v>
      </c>
      <c r="AE22" s="45">
        <v>28.6</v>
      </c>
      <c r="AF22" s="45">
        <v>28.6</v>
      </c>
      <c r="AG22" s="49">
        <v>28</v>
      </c>
      <c r="AH22" s="47">
        <f t="shared" si="2"/>
        <v>28.6</v>
      </c>
      <c r="AI22" s="48">
        <f t="shared" si="3"/>
        <v>21.2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9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26.2</v>
      </c>
      <c r="C24" s="45">
        <v>26.2</v>
      </c>
      <c r="D24" s="45">
        <v>26.2</v>
      </c>
      <c r="E24" s="45">
        <v>26.2</v>
      </c>
      <c r="F24" s="45">
        <v>26.2</v>
      </c>
      <c r="G24" s="45">
        <v>26.2</v>
      </c>
      <c r="H24" s="45">
        <v>26.2</v>
      </c>
      <c r="I24" s="45">
        <v>26.2</v>
      </c>
      <c r="J24" s="45">
        <v>26.2</v>
      </c>
      <c r="K24" s="45">
        <v>26.2</v>
      </c>
      <c r="L24" s="45">
        <v>26.2</v>
      </c>
      <c r="M24" s="45">
        <v>26.2</v>
      </c>
      <c r="N24" s="45">
        <v>26.2</v>
      </c>
      <c r="O24" s="45">
        <v>26.2</v>
      </c>
      <c r="P24" s="45">
        <v>26.2</v>
      </c>
      <c r="Q24" s="45">
        <v>26.2</v>
      </c>
      <c r="R24" s="45">
        <v>26.2</v>
      </c>
      <c r="S24" s="45">
        <v>26.2</v>
      </c>
      <c r="T24" s="45">
        <v>26.2</v>
      </c>
      <c r="U24" s="45">
        <v>26.2</v>
      </c>
      <c r="V24" s="45">
        <v>26.2</v>
      </c>
      <c r="W24" s="45">
        <v>26.2</v>
      </c>
      <c r="X24" s="45">
        <v>26.2</v>
      </c>
      <c r="Y24" s="45">
        <v>26.2</v>
      </c>
      <c r="Z24" s="45">
        <v>26.2</v>
      </c>
      <c r="AA24" s="45">
        <v>26.2</v>
      </c>
      <c r="AB24" s="45">
        <v>26.2</v>
      </c>
      <c r="AC24" s="45">
        <v>25.4</v>
      </c>
      <c r="AD24" s="45">
        <v>25.4</v>
      </c>
      <c r="AE24" s="45">
        <v>25.4</v>
      </c>
      <c r="AF24" s="45">
        <v>25.4</v>
      </c>
      <c r="AG24" s="49">
        <v>25</v>
      </c>
      <c r="AH24" s="47">
        <f t="shared" si="2"/>
        <v>26.2</v>
      </c>
      <c r="AI24" s="48">
        <f t="shared" si="3"/>
        <v>25.4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20</v>
      </c>
      <c r="C27" s="45">
        <v>20</v>
      </c>
      <c r="D27" s="45">
        <v>20</v>
      </c>
      <c r="E27" s="45">
        <v>20</v>
      </c>
      <c r="F27" s="45">
        <v>18</v>
      </c>
      <c r="G27" s="45">
        <v>10</v>
      </c>
      <c r="H27" s="45">
        <v>10</v>
      </c>
      <c r="I27" s="45">
        <v>10</v>
      </c>
      <c r="J27" s="45">
        <v>20</v>
      </c>
      <c r="K27" s="45">
        <v>20</v>
      </c>
      <c r="L27" s="45">
        <v>20</v>
      </c>
      <c r="M27" s="45">
        <v>20</v>
      </c>
      <c r="N27" s="45">
        <v>20</v>
      </c>
      <c r="O27" s="45">
        <v>20</v>
      </c>
      <c r="P27" s="45">
        <v>20</v>
      </c>
      <c r="Q27" s="45">
        <v>25</v>
      </c>
      <c r="R27" s="45">
        <v>25</v>
      </c>
      <c r="S27" s="45">
        <v>25</v>
      </c>
      <c r="T27" s="45">
        <v>25</v>
      </c>
      <c r="U27" s="45">
        <v>25</v>
      </c>
      <c r="V27" s="45">
        <v>25</v>
      </c>
      <c r="W27" s="45">
        <v>25</v>
      </c>
      <c r="X27" s="45">
        <v>25</v>
      </c>
      <c r="Y27" s="45">
        <v>25</v>
      </c>
      <c r="Z27" s="45">
        <v>25</v>
      </c>
      <c r="AA27" s="45">
        <v>25</v>
      </c>
      <c r="AB27" s="45">
        <v>25</v>
      </c>
      <c r="AC27" s="45">
        <v>25</v>
      </c>
      <c r="AD27" s="45">
        <v>25</v>
      </c>
      <c r="AE27" s="45">
        <v>25</v>
      </c>
      <c r="AF27" s="45">
        <v>17</v>
      </c>
      <c r="AG27" s="49">
        <v>25</v>
      </c>
      <c r="AH27" s="47">
        <f t="shared" si="2"/>
        <v>25</v>
      </c>
      <c r="AI27" s="48">
        <f t="shared" si="3"/>
        <v>10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25.6</v>
      </c>
      <c r="C28" s="45">
        <v>25.7</v>
      </c>
      <c r="D28" s="45">
        <v>25.7</v>
      </c>
      <c r="E28" s="45">
        <v>25.7</v>
      </c>
      <c r="F28" s="45">
        <v>25.7</v>
      </c>
      <c r="G28" s="45">
        <v>25.7</v>
      </c>
      <c r="H28" s="45">
        <v>25.7</v>
      </c>
      <c r="I28" s="45">
        <v>25.7</v>
      </c>
      <c r="J28" s="45">
        <v>25.7</v>
      </c>
      <c r="K28" s="45">
        <v>25.7</v>
      </c>
      <c r="L28" s="45">
        <v>25.7</v>
      </c>
      <c r="M28" s="45">
        <v>25.7</v>
      </c>
      <c r="N28" s="45">
        <v>25.7</v>
      </c>
      <c r="O28" s="45">
        <v>25.7</v>
      </c>
      <c r="P28" s="45">
        <v>25.7</v>
      </c>
      <c r="Q28" s="45">
        <v>25.7</v>
      </c>
      <c r="R28" s="45">
        <v>25.7</v>
      </c>
      <c r="S28" s="45">
        <v>25.7</v>
      </c>
      <c r="T28" s="45">
        <v>25.7</v>
      </c>
      <c r="U28" s="45">
        <v>25.7</v>
      </c>
      <c r="V28" s="45">
        <v>25.7</v>
      </c>
      <c r="W28" s="45">
        <v>25.7</v>
      </c>
      <c r="X28" s="45">
        <v>25.7</v>
      </c>
      <c r="Y28" s="45">
        <v>25.7</v>
      </c>
      <c r="Z28" s="45">
        <v>25.7</v>
      </c>
      <c r="AA28" s="45">
        <v>25.7</v>
      </c>
      <c r="AB28" s="45">
        <v>25.7</v>
      </c>
      <c r="AC28" s="45">
        <v>25.7</v>
      </c>
      <c r="AD28" s="45">
        <v>25.7</v>
      </c>
      <c r="AE28" s="45">
        <v>25.7</v>
      </c>
      <c r="AF28" s="45">
        <v>25.7</v>
      </c>
      <c r="AG28" s="49">
        <v>23.5</v>
      </c>
      <c r="AH28" s="47">
        <f t="shared" si="2"/>
        <v>25.7</v>
      </c>
      <c r="AI28" s="48">
        <f t="shared" si="3"/>
        <v>25.6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22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5">
        <v>0</v>
      </c>
      <c r="T29" s="45">
        <v>0</v>
      </c>
      <c r="U29" s="45">
        <v>0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9">
        <v>22.2</v>
      </c>
      <c r="AH29" s="47">
        <f t="shared" si="2"/>
        <v>22</v>
      </c>
      <c r="AI29" s="48">
        <f t="shared" si="3"/>
        <v>0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20.7</v>
      </c>
      <c r="C32" s="45">
        <v>20.9</v>
      </c>
      <c r="D32" s="45">
        <v>21.2</v>
      </c>
      <c r="E32" s="45">
        <v>21.2</v>
      </c>
      <c r="F32" s="45">
        <v>21.2</v>
      </c>
      <c r="G32" s="45">
        <v>21.2</v>
      </c>
      <c r="H32" s="45">
        <v>21.2</v>
      </c>
      <c r="I32" s="45">
        <v>22</v>
      </c>
      <c r="J32" s="45">
        <v>21.2</v>
      </c>
      <c r="K32" s="45">
        <v>21.2</v>
      </c>
      <c r="L32" s="45">
        <v>21.2</v>
      </c>
      <c r="M32" s="45">
        <v>21.2</v>
      </c>
      <c r="N32" s="45">
        <v>21.2</v>
      </c>
      <c r="O32" s="45">
        <v>21.2</v>
      </c>
      <c r="P32" s="45">
        <v>21.2</v>
      </c>
      <c r="Q32" s="45">
        <v>21.2</v>
      </c>
      <c r="R32" s="45">
        <v>21.2</v>
      </c>
      <c r="S32" s="45">
        <v>21.2</v>
      </c>
      <c r="T32" s="45">
        <v>21.2</v>
      </c>
      <c r="U32" s="45">
        <v>21.2</v>
      </c>
      <c r="V32" s="45">
        <v>21.2</v>
      </c>
      <c r="W32" s="45">
        <v>21.2</v>
      </c>
      <c r="X32" s="45">
        <v>21.2</v>
      </c>
      <c r="Y32" s="45">
        <v>21.2</v>
      </c>
      <c r="Z32" s="45">
        <v>21.2</v>
      </c>
      <c r="AA32" s="45">
        <v>21.2</v>
      </c>
      <c r="AB32" s="45">
        <v>21.2</v>
      </c>
      <c r="AC32" s="45">
        <v>21.2</v>
      </c>
      <c r="AD32" s="45">
        <v>21.2</v>
      </c>
      <c r="AE32" s="45">
        <v>21.2</v>
      </c>
      <c r="AF32" s="45">
        <v>21.2</v>
      </c>
      <c r="AG32" s="49">
        <v>22</v>
      </c>
      <c r="AH32" s="47">
        <f t="shared" si="2"/>
        <v>22</v>
      </c>
      <c r="AI32" s="48">
        <f t="shared" si="3"/>
        <v>20.7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10</v>
      </c>
      <c r="C33" s="45">
        <v>10</v>
      </c>
      <c r="D33" s="45">
        <v>10</v>
      </c>
      <c r="E33" s="45">
        <v>10</v>
      </c>
      <c r="F33" s="45">
        <v>10</v>
      </c>
      <c r="G33" s="45">
        <v>10</v>
      </c>
      <c r="H33" s="45">
        <v>10</v>
      </c>
      <c r="I33" s="45">
        <v>10</v>
      </c>
      <c r="J33" s="45">
        <v>10</v>
      </c>
      <c r="K33" s="45">
        <v>10</v>
      </c>
      <c r="L33" s="45">
        <v>10</v>
      </c>
      <c r="M33" s="45">
        <v>10</v>
      </c>
      <c r="N33" s="45">
        <v>10</v>
      </c>
      <c r="O33" s="45">
        <v>10</v>
      </c>
      <c r="P33" s="45">
        <v>10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>
        <v>10</v>
      </c>
      <c r="W33" s="45">
        <v>10</v>
      </c>
      <c r="X33" s="45">
        <v>10</v>
      </c>
      <c r="Y33" s="45">
        <v>10</v>
      </c>
      <c r="Z33" s="45">
        <v>10</v>
      </c>
      <c r="AA33" s="45">
        <v>10</v>
      </c>
      <c r="AB33" s="45">
        <v>10</v>
      </c>
      <c r="AC33" s="45">
        <v>10</v>
      </c>
      <c r="AD33" s="45">
        <v>10</v>
      </c>
      <c r="AE33" s="45">
        <v>10</v>
      </c>
      <c r="AF33" s="45">
        <v>4</v>
      </c>
      <c r="AG33" s="49">
        <v>20</v>
      </c>
      <c r="AH33" s="47">
        <f t="shared" si="2"/>
        <v>10</v>
      </c>
      <c r="AI33" s="48">
        <f t="shared" si="3"/>
        <v>4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8</v>
      </c>
      <c r="C34" s="45">
        <v>8</v>
      </c>
      <c r="D34" s="45">
        <v>8</v>
      </c>
      <c r="E34" s="45">
        <v>8</v>
      </c>
      <c r="F34" s="45">
        <v>8</v>
      </c>
      <c r="G34" s="45">
        <v>8</v>
      </c>
      <c r="H34" s="45">
        <v>8</v>
      </c>
      <c r="I34" s="45">
        <v>8</v>
      </c>
      <c r="J34" s="45">
        <v>5</v>
      </c>
      <c r="K34" s="45">
        <v>5</v>
      </c>
      <c r="L34" s="45">
        <v>8</v>
      </c>
      <c r="M34" s="45">
        <v>8</v>
      </c>
      <c r="N34" s="45">
        <v>8</v>
      </c>
      <c r="O34" s="45">
        <v>8</v>
      </c>
      <c r="P34" s="45">
        <v>8</v>
      </c>
      <c r="Q34" s="45">
        <v>8</v>
      </c>
      <c r="R34" s="45">
        <v>8</v>
      </c>
      <c r="S34" s="45">
        <v>8.5</v>
      </c>
      <c r="T34" s="45">
        <v>8.5</v>
      </c>
      <c r="U34" s="45">
        <v>8.5</v>
      </c>
      <c r="V34" s="45">
        <v>8.5</v>
      </c>
      <c r="W34" s="45">
        <v>8.5</v>
      </c>
      <c r="X34" s="45">
        <v>8.5</v>
      </c>
      <c r="Y34" s="45">
        <v>8.5</v>
      </c>
      <c r="Z34" s="45">
        <v>8.5</v>
      </c>
      <c r="AA34" s="45">
        <v>8.5</v>
      </c>
      <c r="AB34" s="45">
        <v>15.5</v>
      </c>
      <c r="AC34" s="45">
        <v>15.5</v>
      </c>
      <c r="AD34" s="45">
        <v>12</v>
      </c>
      <c r="AE34" s="45">
        <v>12</v>
      </c>
      <c r="AF34" s="45">
        <v>4</v>
      </c>
      <c r="AG34" s="49">
        <v>18</v>
      </c>
      <c r="AH34" s="47">
        <f t="shared" si="2"/>
        <v>15.5</v>
      </c>
      <c r="AI34" s="48">
        <f t="shared" si="3"/>
        <v>4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5</v>
      </c>
      <c r="J35" s="45">
        <v>15</v>
      </c>
      <c r="K35" s="45">
        <v>15</v>
      </c>
      <c r="L35" s="45">
        <v>5</v>
      </c>
      <c r="M35" s="45">
        <v>5</v>
      </c>
      <c r="N35" s="45">
        <v>5</v>
      </c>
      <c r="O35" s="45">
        <v>5</v>
      </c>
      <c r="P35" s="45">
        <v>5</v>
      </c>
      <c r="Q35" s="45">
        <v>5</v>
      </c>
      <c r="R35" s="45">
        <v>5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9</v>
      </c>
      <c r="C39" s="45">
        <v>9</v>
      </c>
      <c r="D39" s="45">
        <v>9</v>
      </c>
      <c r="E39" s="45">
        <v>9</v>
      </c>
      <c r="F39" s="45">
        <v>9</v>
      </c>
      <c r="G39" s="45">
        <v>9</v>
      </c>
      <c r="H39" s="45">
        <v>9</v>
      </c>
      <c r="I39" s="45">
        <v>9</v>
      </c>
      <c r="J39" s="45">
        <v>12</v>
      </c>
      <c r="K39" s="45">
        <v>12</v>
      </c>
      <c r="L39" s="45">
        <v>12</v>
      </c>
      <c r="M39" s="45">
        <v>12</v>
      </c>
      <c r="N39" s="45">
        <v>12</v>
      </c>
      <c r="O39" s="45">
        <v>12</v>
      </c>
      <c r="P39" s="45">
        <v>12</v>
      </c>
      <c r="Q39" s="45">
        <v>12</v>
      </c>
      <c r="R39" s="45">
        <v>12</v>
      </c>
      <c r="S39" s="45">
        <v>12</v>
      </c>
      <c r="T39" s="45">
        <v>12</v>
      </c>
      <c r="U39" s="45">
        <v>12</v>
      </c>
      <c r="V39" s="45">
        <v>12</v>
      </c>
      <c r="W39" s="45">
        <v>12</v>
      </c>
      <c r="X39" s="45">
        <v>12</v>
      </c>
      <c r="Y39" s="45">
        <v>12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8</v>
      </c>
      <c r="AG39" s="49">
        <v>12</v>
      </c>
      <c r="AH39" s="47">
        <f t="shared" si="2"/>
        <v>12</v>
      </c>
      <c r="AI39" s="48">
        <f t="shared" si="3"/>
        <v>8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12</v>
      </c>
      <c r="C41" s="45">
        <v>4</v>
      </c>
      <c r="D41" s="45">
        <v>7</v>
      </c>
      <c r="E41" s="45">
        <v>7</v>
      </c>
      <c r="F41" s="45">
        <v>7</v>
      </c>
      <c r="G41" s="45">
        <v>7</v>
      </c>
      <c r="H41" s="45">
        <v>7</v>
      </c>
      <c r="I41" s="45">
        <v>7</v>
      </c>
      <c r="J41" s="45">
        <v>7</v>
      </c>
      <c r="K41" s="45">
        <v>7</v>
      </c>
      <c r="L41" s="45">
        <v>7</v>
      </c>
      <c r="M41" s="45">
        <v>7</v>
      </c>
      <c r="N41" s="45">
        <v>7</v>
      </c>
      <c r="O41" s="45">
        <v>7</v>
      </c>
      <c r="P41" s="45">
        <v>7</v>
      </c>
      <c r="Q41" s="45">
        <v>7</v>
      </c>
      <c r="R41" s="45">
        <v>7</v>
      </c>
      <c r="S41" s="45">
        <v>7</v>
      </c>
      <c r="T41" s="45">
        <v>7</v>
      </c>
      <c r="U41" s="45">
        <v>7</v>
      </c>
      <c r="V41" s="45">
        <v>7</v>
      </c>
      <c r="W41" s="45">
        <v>7</v>
      </c>
      <c r="X41" s="45">
        <v>7</v>
      </c>
      <c r="Y41" s="45">
        <v>7</v>
      </c>
      <c r="Z41" s="45">
        <v>7</v>
      </c>
      <c r="AA41" s="45">
        <v>7</v>
      </c>
      <c r="AB41" s="45">
        <v>7</v>
      </c>
      <c r="AC41" s="45">
        <v>7</v>
      </c>
      <c r="AD41" s="45">
        <v>7</v>
      </c>
      <c r="AE41" s="45">
        <v>7</v>
      </c>
      <c r="AF41" s="45">
        <v>7</v>
      </c>
      <c r="AG41" s="49">
        <v>12</v>
      </c>
      <c r="AH41" s="47">
        <f t="shared" si="2"/>
        <v>12</v>
      </c>
      <c r="AI41" s="48">
        <f t="shared" si="3"/>
        <v>4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9</v>
      </c>
      <c r="C42" s="45">
        <v>9</v>
      </c>
      <c r="D42" s="45">
        <v>9</v>
      </c>
      <c r="E42" s="45">
        <v>9</v>
      </c>
      <c r="F42" s="45">
        <v>9</v>
      </c>
      <c r="G42" s="45">
        <v>9</v>
      </c>
      <c r="H42" s="45">
        <v>9</v>
      </c>
      <c r="I42" s="45">
        <v>9</v>
      </c>
      <c r="J42" s="45">
        <v>9</v>
      </c>
      <c r="K42" s="45">
        <v>9</v>
      </c>
      <c r="L42" s="45">
        <v>9</v>
      </c>
      <c r="M42" s="45">
        <v>9</v>
      </c>
      <c r="N42" s="45">
        <v>9</v>
      </c>
      <c r="O42" s="45">
        <v>9</v>
      </c>
      <c r="P42" s="45">
        <v>9</v>
      </c>
      <c r="Q42" s="45">
        <v>9</v>
      </c>
      <c r="R42" s="45">
        <v>9</v>
      </c>
      <c r="S42" s="45">
        <v>9</v>
      </c>
      <c r="T42" s="45">
        <v>9</v>
      </c>
      <c r="U42" s="45">
        <v>9</v>
      </c>
      <c r="V42" s="45">
        <v>9</v>
      </c>
      <c r="W42" s="45">
        <v>9</v>
      </c>
      <c r="X42" s="45">
        <v>9</v>
      </c>
      <c r="Y42" s="45">
        <v>9</v>
      </c>
      <c r="Z42" s="45">
        <v>9</v>
      </c>
      <c r="AA42" s="45">
        <v>9</v>
      </c>
      <c r="AB42" s="45">
        <v>9</v>
      </c>
      <c r="AC42" s="45">
        <v>9</v>
      </c>
      <c r="AD42" s="45">
        <v>9</v>
      </c>
      <c r="AE42" s="45">
        <v>9</v>
      </c>
      <c r="AF42" s="45">
        <v>9</v>
      </c>
      <c r="AG42" s="52">
        <v>22</v>
      </c>
      <c r="AH42" s="47">
        <f t="shared" si="2"/>
        <v>9</v>
      </c>
      <c r="AI42" s="48">
        <f t="shared" si="3"/>
        <v>9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5</v>
      </c>
      <c r="C45" s="45">
        <v>5</v>
      </c>
      <c r="D45" s="45">
        <v>5</v>
      </c>
      <c r="E45" s="45">
        <v>5</v>
      </c>
      <c r="F45" s="45">
        <v>5</v>
      </c>
      <c r="G45" s="45">
        <v>5</v>
      </c>
      <c r="H45" s="45">
        <v>5</v>
      </c>
      <c r="I45" s="45">
        <v>5</v>
      </c>
      <c r="J45" s="45">
        <v>5</v>
      </c>
      <c r="K45" s="45">
        <v>5</v>
      </c>
      <c r="L45" s="45">
        <v>5</v>
      </c>
      <c r="M45" s="45">
        <v>5</v>
      </c>
      <c r="N45" s="45">
        <v>5</v>
      </c>
      <c r="O45" s="45">
        <v>5</v>
      </c>
      <c r="P45" s="45">
        <v>5</v>
      </c>
      <c r="Q45" s="45">
        <v>5</v>
      </c>
      <c r="R45" s="45">
        <v>5</v>
      </c>
      <c r="S45" s="45">
        <v>5</v>
      </c>
      <c r="T45" s="45">
        <v>5</v>
      </c>
      <c r="U45" s="45">
        <v>5</v>
      </c>
      <c r="V45" s="45">
        <v>5</v>
      </c>
      <c r="W45" s="45">
        <v>5</v>
      </c>
      <c r="X45" s="45">
        <v>5</v>
      </c>
      <c r="Y45" s="45">
        <v>5</v>
      </c>
      <c r="Z45" s="45">
        <v>5</v>
      </c>
      <c r="AA45" s="45">
        <v>5</v>
      </c>
      <c r="AB45" s="45">
        <v>5</v>
      </c>
      <c r="AC45" s="45">
        <v>5</v>
      </c>
      <c r="AD45" s="45">
        <v>5</v>
      </c>
      <c r="AE45" s="45">
        <v>5</v>
      </c>
      <c r="AF45" s="45">
        <v>5</v>
      </c>
      <c r="AG45" s="54">
        <v>10</v>
      </c>
      <c r="AH45" s="47">
        <f t="shared" si="2"/>
        <v>5</v>
      </c>
      <c r="AI45" s="48">
        <f t="shared" si="3"/>
        <v>5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C50" si="4">SUM(B11:B48)</f>
        <v>1013.8000000000001</v>
      </c>
      <c r="C50" s="59">
        <f t="shared" si="4"/>
        <v>990.09999999999991</v>
      </c>
      <c r="D50" s="59">
        <f t="shared" ref="D50" si="5">SUM(D11:D48)</f>
        <v>994.1</v>
      </c>
      <c r="E50" s="59">
        <f t="shared" ref="E50:AF50" si="6">SUM(E11:E48)</f>
        <v>994.1</v>
      </c>
      <c r="F50" s="59">
        <f t="shared" si="6"/>
        <v>969.1</v>
      </c>
      <c r="G50" s="59">
        <f t="shared" si="6"/>
        <v>975.8</v>
      </c>
      <c r="H50" s="59">
        <f t="shared" si="6"/>
        <v>981.9</v>
      </c>
      <c r="I50" s="59">
        <f t="shared" si="6"/>
        <v>949.69999999999993</v>
      </c>
      <c r="J50" s="59">
        <f t="shared" si="6"/>
        <v>996.4</v>
      </c>
      <c r="K50" s="59">
        <f t="shared" si="6"/>
        <v>996.4</v>
      </c>
      <c r="L50" s="59">
        <f t="shared" si="6"/>
        <v>894</v>
      </c>
      <c r="M50" s="59">
        <f t="shared" si="6"/>
        <v>908</v>
      </c>
      <c r="N50" s="59">
        <f t="shared" si="6"/>
        <v>908</v>
      </c>
      <c r="O50" s="59">
        <f t="shared" si="6"/>
        <v>908</v>
      </c>
      <c r="P50" s="59">
        <f t="shared" si="6"/>
        <v>908</v>
      </c>
      <c r="Q50" s="59">
        <f t="shared" si="6"/>
        <v>979</v>
      </c>
      <c r="R50" s="59">
        <f t="shared" si="6"/>
        <v>979</v>
      </c>
      <c r="S50" s="59">
        <f t="shared" si="6"/>
        <v>996.7</v>
      </c>
      <c r="T50" s="59">
        <f t="shared" si="6"/>
        <v>996.7</v>
      </c>
      <c r="U50" s="59">
        <f t="shared" si="6"/>
        <v>995.7</v>
      </c>
      <c r="V50" s="59">
        <f t="shared" si="6"/>
        <v>975.5</v>
      </c>
      <c r="W50" s="59">
        <f t="shared" si="6"/>
        <v>1005.1000000000001</v>
      </c>
      <c r="X50" s="59">
        <f t="shared" si="6"/>
        <v>989.10000000000014</v>
      </c>
      <c r="Y50" s="59">
        <f t="shared" si="6"/>
        <v>954.1</v>
      </c>
      <c r="Z50" s="59">
        <f t="shared" si="6"/>
        <v>1031.9000000000001</v>
      </c>
      <c r="AA50" s="59">
        <f t="shared" si="6"/>
        <v>1031.9000000000001</v>
      </c>
      <c r="AB50" s="59">
        <f t="shared" si="6"/>
        <v>1038.9000000000001</v>
      </c>
      <c r="AC50" s="59">
        <f t="shared" si="6"/>
        <v>1056</v>
      </c>
      <c r="AD50" s="59">
        <f t="shared" si="6"/>
        <v>1061.5</v>
      </c>
      <c r="AE50" s="59">
        <f t="shared" si="6"/>
        <v>1061.5</v>
      </c>
      <c r="AF50" s="59">
        <f t="shared" si="6"/>
        <v>1031.6000000000001</v>
      </c>
      <c r="AG50" s="60">
        <f>SUM(AG13:AG48)</f>
        <v>922.14</v>
      </c>
      <c r="AH50" s="47">
        <f t="shared" si="2"/>
        <v>1061.5</v>
      </c>
      <c r="AI50" s="48">
        <f t="shared" si="3"/>
        <v>894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60</v>
      </c>
      <c r="N52" s="64">
        <v>60</v>
      </c>
      <c r="O52" s="64">
        <v>60</v>
      </c>
      <c r="P52" s="64">
        <v>60</v>
      </c>
      <c r="Q52" s="64">
        <v>60</v>
      </c>
      <c r="R52" s="64">
        <v>60</v>
      </c>
      <c r="S52" s="64">
        <v>60</v>
      </c>
      <c r="T52" s="64">
        <v>60</v>
      </c>
      <c r="U52" s="64">
        <v>60</v>
      </c>
      <c r="V52" s="64">
        <v>60</v>
      </c>
      <c r="W52" s="64">
        <v>60</v>
      </c>
      <c r="X52" s="64">
        <v>60</v>
      </c>
      <c r="Y52" s="64">
        <v>60</v>
      </c>
      <c r="Z52" s="64">
        <v>60</v>
      </c>
      <c r="AA52" s="64">
        <v>60</v>
      </c>
      <c r="AB52" s="64">
        <v>60</v>
      </c>
      <c r="AC52" s="64">
        <v>60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60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22.4</v>
      </c>
      <c r="C53" s="66">
        <v>22.4</v>
      </c>
      <c r="D53" s="66">
        <v>22.4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22.4</v>
      </c>
      <c r="M53" s="66">
        <v>22.4</v>
      </c>
      <c r="N53" s="66">
        <v>22.4</v>
      </c>
      <c r="O53" s="66">
        <v>22.4</v>
      </c>
      <c r="P53" s="66">
        <v>22.4</v>
      </c>
      <c r="Q53" s="66">
        <v>22.4</v>
      </c>
      <c r="R53" s="66">
        <v>22.4</v>
      </c>
      <c r="S53" s="66">
        <v>22.4</v>
      </c>
      <c r="T53" s="66">
        <v>22.4</v>
      </c>
      <c r="U53" s="66">
        <v>22.4</v>
      </c>
      <c r="V53" s="66">
        <v>22.4</v>
      </c>
      <c r="W53" s="66">
        <v>22.4</v>
      </c>
      <c r="X53" s="66">
        <v>22.4</v>
      </c>
      <c r="Y53" s="66">
        <v>22.4</v>
      </c>
      <c r="Z53" s="66">
        <v>22.4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22.4</v>
      </c>
      <c r="AG53" s="67">
        <v>22.1</v>
      </c>
      <c r="AH53" s="47">
        <f t="shared" si="2"/>
        <v>22.4</v>
      </c>
      <c r="AI53" s="48">
        <f t="shared" si="3"/>
        <v>22.4</v>
      </c>
      <c r="AK53" s="74"/>
    </row>
    <row r="54" spans="1:41" ht="15.75" thickBot="1" x14ac:dyDescent="0.3">
      <c r="A54" s="68" t="s">
        <v>70</v>
      </c>
      <c r="B54" s="59">
        <f t="shared" ref="B54:C54" si="7">SUM(B51:B53)</f>
        <v>533.4</v>
      </c>
      <c r="C54" s="59">
        <f t="shared" si="7"/>
        <v>533.4</v>
      </c>
      <c r="D54" s="59">
        <f t="shared" ref="D54:AG54" si="8">SUM(D51:D53)</f>
        <v>533.4</v>
      </c>
      <c r="E54" s="59">
        <f t="shared" si="8"/>
        <v>533.4</v>
      </c>
      <c r="F54" s="59">
        <f t="shared" si="8"/>
        <v>533.4</v>
      </c>
      <c r="G54" s="59">
        <f t="shared" si="8"/>
        <v>533.4</v>
      </c>
      <c r="H54" s="59">
        <f t="shared" si="8"/>
        <v>533.4</v>
      </c>
      <c r="I54" s="59">
        <f t="shared" si="8"/>
        <v>533.4</v>
      </c>
      <c r="J54" s="59">
        <f t="shared" si="8"/>
        <v>533.4</v>
      </c>
      <c r="K54" s="59">
        <f t="shared" si="8"/>
        <v>533.4</v>
      </c>
      <c r="L54" s="59">
        <f t="shared" si="8"/>
        <v>533.4</v>
      </c>
      <c r="M54" s="59">
        <f t="shared" si="8"/>
        <v>538.4</v>
      </c>
      <c r="N54" s="59">
        <f t="shared" si="8"/>
        <v>538.4</v>
      </c>
      <c r="O54" s="59">
        <f t="shared" si="8"/>
        <v>538.4</v>
      </c>
      <c r="P54" s="59">
        <f t="shared" si="8"/>
        <v>538.4</v>
      </c>
      <c r="Q54" s="59">
        <f t="shared" si="8"/>
        <v>538.4</v>
      </c>
      <c r="R54" s="59">
        <f t="shared" si="8"/>
        <v>538.4</v>
      </c>
      <c r="S54" s="59">
        <f t="shared" si="8"/>
        <v>538.4</v>
      </c>
      <c r="T54" s="59">
        <f t="shared" si="8"/>
        <v>538.4</v>
      </c>
      <c r="U54" s="59">
        <f t="shared" si="8"/>
        <v>538.4</v>
      </c>
      <c r="V54" s="59">
        <f t="shared" si="8"/>
        <v>538.4</v>
      </c>
      <c r="W54" s="59">
        <f t="shared" si="8"/>
        <v>538.4</v>
      </c>
      <c r="X54" s="59">
        <f t="shared" si="8"/>
        <v>538.4</v>
      </c>
      <c r="Y54" s="59">
        <f t="shared" si="8"/>
        <v>538.4</v>
      </c>
      <c r="Z54" s="59">
        <f t="shared" si="8"/>
        <v>538.4</v>
      </c>
      <c r="AA54" s="59">
        <f t="shared" si="8"/>
        <v>538.4</v>
      </c>
      <c r="AB54" s="59">
        <f t="shared" si="8"/>
        <v>538.4</v>
      </c>
      <c r="AC54" s="59">
        <f t="shared" si="8"/>
        <v>538.4</v>
      </c>
      <c r="AD54" s="59">
        <f t="shared" si="8"/>
        <v>533.4</v>
      </c>
      <c r="AE54" s="59">
        <f t="shared" si="8"/>
        <v>533.4</v>
      </c>
      <c r="AF54" s="59">
        <f t="shared" si="8"/>
        <v>533.4</v>
      </c>
      <c r="AG54" s="60">
        <f t="shared" si="8"/>
        <v>538.1</v>
      </c>
      <c r="AH54" s="47">
        <f t="shared" si="2"/>
        <v>538.4</v>
      </c>
      <c r="AI54" s="48">
        <f t="shared" si="3"/>
        <v>533.4</v>
      </c>
      <c r="AK54" s="74"/>
    </row>
    <row r="55" spans="1:41" x14ac:dyDescent="0.25">
      <c r="A55" s="44" t="s">
        <v>71</v>
      </c>
      <c r="B55" s="45">
        <v>94.8</v>
      </c>
      <c r="C55" s="45">
        <v>94.9</v>
      </c>
      <c r="D55" s="45">
        <v>95.1</v>
      </c>
      <c r="E55" s="45">
        <v>95.1</v>
      </c>
      <c r="F55" s="45">
        <v>95.1</v>
      </c>
      <c r="G55" s="45">
        <v>95.1</v>
      </c>
      <c r="H55" s="45">
        <v>96.6</v>
      </c>
      <c r="I55" s="45">
        <v>96.9</v>
      </c>
      <c r="J55" s="45">
        <v>96.9</v>
      </c>
      <c r="K55" s="45">
        <v>96.9</v>
      </c>
      <c r="L55" s="45">
        <v>96.9</v>
      </c>
      <c r="M55" s="45">
        <v>96.9</v>
      </c>
      <c r="N55" s="45">
        <v>96.9</v>
      </c>
      <c r="O55" s="45">
        <v>96.9</v>
      </c>
      <c r="P55" s="45">
        <v>96.9</v>
      </c>
      <c r="Q55" s="45">
        <v>91</v>
      </c>
      <c r="R55" s="45">
        <v>91</v>
      </c>
      <c r="S55" s="45">
        <v>96.4</v>
      </c>
      <c r="T55" s="45">
        <v>96.4</v>
      </c>
      <c r="U55" s="45">
        <v>107.5</v>
      </c>
      <c r="V55" s="45">
        <v>128.4</v>
      </c>
      <c r="W55" s="45">
        <v>130.4</v>
      </c>
      <c r="X55" s="45">
        <v>136.5</v>
      </c>
      <c r="Y55" s="45">
        <v>137.80000000000001</v>
      </c>
      <c r="Z55" s="45">
        <v>137.80000000000001</v>
      </c>
      <c r="AA55" s="45">
        <v>137.80000000000001</v>
      </c>
      <c r="AB55" s="45">
        <v>137.80000000000001</v>
      </c>
      <c r="AC55" s="45">
        <v>137.80000000000001</v>
      </c>
      <c r="AD55" s="45">
        <v>137.80000000000001</v>
      </c>
      <c r="AE55" s="45">
        <v>137.80000000000001</v>
      </c>
      <c r="AF55" s="45">
        <v>140</v>
      </c>
      <c r="AG55" s="51">
        <v>144</v>
      </c>
      <c r="AH55" s="47">
        <f t="shared" si="2"/>
        <v>140</v>
      </c>
      <c r="AI55" s="48">
        <f t="shared" si="3"/>
        <v>91</v>
      </c>
      <c r="AK55" s="74"/>
    </row>
    <row r="56" spans="1:41" x14ac:dyDescent="0.25">
      <c r="A56" s="53" t="s">
        <v>72</v>
      </c>
      <c r="B56" s="45">
        <v>68.900000000000006</v>
      </c>
      <c r="C56" s="45">
        <v>70.7</v>
      </c>
      <c r="D56" s="64">
        <v>70</v>
      </c>
      <c r="E56" s="64">
        <v>70</v>
      </c>
      <c r="F56" s="64">
        <v>70</v>
      </c>
      <c r="G56" s="64">
        <v>70</v>
      </c>
      <c r="H56" s="64">
        <v>70</v>
      </c>
      <c r="I56" s="64">
        <v>68.900000000000006</v>
      </c>
      <c r="J56" s="64">
        <v>70.2</v>
      </c>
      <c r="K56" s="64">
        <v>70.2</v>
      </c>
      <c r="L56" s="64">
        <v>70.2</v>
      </c>
      <c r="M56" s="64">
        <v>71.3</v>
      </c>
      <c r="N56" s="64">
        <v>71.3</v>
      </c>
      <c r="O56" s="64">
        <v>71.3</v>
      </c>
      <c r="P56" s="64">
        <v>35</v>
      </c>
      <c r="Q56" s="64">
        <v>35.200000000000003</v>
      </c>
      <c r="R56" s="64">
        <v>35.200000000000003</v>
      </c>
      <c r="S56" s="45">
        <v>36.700000000000003</v>
      </c>
      <c r="T56" s="45">
        <v>34.4</v>
      </c>
      <c r="U56" s="45">
        <v>34.700000000000003</v>
      </c>
      <c r="V56" s="45">
        <v>35.6</v>
      </c>
      <c r="W56" s="45">
        <v>71.2</v>
      </c>
      <c r="X56" s="45">
        <v>71.2</v>
      </c>
      <c r="Y56" s="45">
        <v>70</v>
      </c>
      <c r="Z56" s="45">
        <v>69.8</v>
      </c>
      <c r="AA56" s="45">
        <v>69.8</v>
      </c>
      <c r="AB56" s="45">
        <v>69.8</v>
      </c>
      <c r="AC56" s="45">
        <v>69.8</v>
      </c>
      <c r="AD56" s="45">
        <v>69.8</v>
      </c>
      <c r="AE56" s="45">
        <v>69.8</v>
      </c>
      <c r="AF56" s="45">
        <v>69.8</v>
      </c>
      <c r="AG56" s="54">
        <v>70</v>
      </c>
      <c r="AH56" s="47">
        <f t="shared" si="2"/>
        <v>71.3</v>
      </c>
      <c r="AI56" s="48">
        <f t="shared" si="3"/>
        <v>34.4</v>
      </c>
      <c r="AK56" s="74"/>
    </row>
    <row r="57" spans="1:41" x14ac:dyDescent="0.25">
      <c r="A57" s="53" t="s">
        <v>73</v>
      </c>
      <c r="B57" s="45">
        <v>63.9</v>
      </c>
      <c r="C57" s="45">
        <v>64</v>
      </c>
      <c r="D57" s="64">
        <v>63.2</v>
      </c>
      <c r="E57" s="64">
        <v>63.2</v>
      </c>
      <c r="F57" s="64">
        <v>63.2</v>
      </c>
      <c r="G57" s="64">
        <v>63.2</v>
      </c>
      <c r="H57" s="64">
        <v>63.9</v>
      </c>
      <c r="I57" s="64">
        <v>63.7</v>
      </c>
      <c r="J57" s="64">
        <v>63.7</v>
      </c>
      <c r="K57" s="64">
        <v>63.7</v>
      </c>
      <c r="L57" s="64">
        <v>63.7</v>
      </c>
      <c r="M57" s="64">
        <v>63.7</v>
      </c>
      <c r="N57" s="64">
        <v>63.7</v>
      </c>
      <c r="O57" s="64">
        <v>54</v>
      </c>
      <c r="P57" s="64">
        <v>63</v>
      </c>
      <c r="Q57" s="64">
        <v>63.3</v>
      </c>
      <c r="R57" s="64">
        <v>63.3</v>
      </c>
      <c r="S57" s="45">
        <v>54.5</v>
      </c>
      <c r="T57" s="45">
        <v>64.7</v>
      </c>
      <c r="U57" s="45">
        <v>65.099999999999994</v>
      </c>
      <c r="V57" s="45">
        <v>64.900000000000006</v>
      </c>
      <c r="W57" s="45">
        <v>64.2</v>
      </c>
      <c r="X57" s="45">
        <v>64.2</v>
      </c>
      <c r="Y57" s="45">
        <v>64.2</v>
      </c>
      <c r="Z57" s="45">
        <v>64.2</v>
      </c>
      <c r="AA57" s="45">
        <v>64.2</v>
      </c>
      <c r="AB57" s="45">
        <v>64.2</v>
      </c>
      <c r="AC57" s="45">
        <v>64.2</v>
      </c>
      <c r="AD57" s="45">
        <v>64.2</v>
      </c>
      <c r="AE57" s="45">
        <v>64.2</v>
      </c>
      <c r="AF57" s="45">
        <v>64.2</v>
      </c>
      <c r="AG57" s="54">
        <v>69</v>
      </c>
      <c r="AH57" s="47">
        <f t="shared" si="2"/>
        <v>65.099999999999994</v>
      </c>
      <c r="AI57" s="48">
        <f t="shared" si="3"/>
        <v>54</v>
      </c>
      <c r="AK57" s="74"/>
    </row>
    <row r="58" spans="1:41" x14ac:dyDescent="0.25">
      <c r="A58" s="53" t="s">
        <v>74</v>
      </c>
      <c r="B58" s="45">
        <v>50.1</v>
      </c>
      <c r="C58" s="45">
        <v>62</v>
      </c>
      <c r="D58" s="64">
        <v>60</v>
      </c>
      <c r="E58" s="64">
        <v>50</v>
      </c>
      <c r="F58" s="64">
        <v>50</v>
      </c>
      <c r="G58" s="64">
        <v>57</v>
      </c>
      <c r="H58" s="64">
        <v>60.9</v>
      </c>
      <c r="I58" s="56">
        <v>60.9</v>
      </c>
      <c r="J58" s="56">
        <v>60.9</v>
      </c>
      <c r="K58" s="56">
        <v>60.9</v>
      </c>
      <c r="L58" s="56">
        <v>60.9</v>
      </c>
      <c r="M58" s="56">
        <v>60.9</v>
      </c>
      <c r="N58" s="56">
        <v>60.9</v>
      </c>
      <c r="O58" s="56">
        <v>60.9</v>
      </c>
      <c r="P58" s="56">
        <v>60.9</v>
      </c>
      <c r="Q58" s="56">
        <v>60.9</v>
      </c>
      <c r="R58" s="56">
        <v>60.9</v>
      </c>
      <c r="S58" s="56">
        <v>60.9</v>
      </c>
      <c r="T58" s="45">
        <v>0</v>
      </c>
      <c r="U58" s="45">
        <v>0</v>
      </c>
      <c r="V58" s="45">
        <v>0</v>
      </c>
      <c r="W58" s="45">
        <v>0</v>
      </c>
      <c r="X58" s="45">
        <v>60</v>
      </c>
      <c r="Y58" s="45">
        <v>60.9</v>
      </c>
      <c r="Z58" s="45">
        <v>60.9</v>
      </c>
      <c r="AA58" s="45">
        <v>60.9</v>
      </c>
      <c r="AB58" s="45">
        <v>60.9</v>
      </c>
      <c r="AC58" s="45">
        <v>60.9</v>
      </c>
      <c r="AD58" s="45">
        <v>60.9</v>
      </c>
      <c r="AE58" s="45">
        <v>60.9</v>
      </c>
      <c r="AF58" s="45">
        <v>60.9</v>
      </c>
      <c r="AG58" s="54">
        <v>60</v>
      </c>
      <c r="AH58" s="47">
        <f t="shared" si="2"/>
        <v>62</v>
      </c>
      <c r="AI58" s="48">
        <f t="shared" si="3"/>
        <v>0</v>
      </c>
      <c r="AK58" s="74"/>
    </row>
    <row r="59" spans="1:41" x14ac:dyDescent="0.25">
      <c r="A59" s="53" t="s">
        <v>75</v>
      </c>
      <c r="B59" s="45">
        <v>30</v>
      </c>
      <c r="C59" s="45">
        <v>30</v>
      </c>
      <c r="D59" s="64">
        <v>30</v>
      </c>
      <c r="E59" s="64">
        <v>15</v>
      </c>
      <c r="F59" s="64">
        <v>30</v>
      </c>
      <c r="G59" s="64">
        <v>30</v>
      </c>
      <c r="H59" s="64">
        <v>30</v>
      </c>
      <c r="I59" s="64">
        <v>30</v>
      </c>
      <c r="J59" s="64">
        <v>30</v>
      </c>
      <c r="K59" s="64">
        <v>30</v>
      </c>
      <c r="L59" s="64">
        <v>15</v>
      </c>
      <c r="M59" s="64">
        <v>15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15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45">
        <v>0</v>
      </c>
      <c r="C60" s="45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2.4</v>
      </c>
      <c r="T60" s="45">
        <v>2.5</v>
      </c>
      <c r="U60" s="45">
        <v>1.4</v>
      </c>
      <c r="V60" s="45">
        <v>2.2000000000000002</v>
      </c>
      <c r="W60" s="45">
        <v>1.7</v>
      </c>
      <c r="X60" s="45">
        <v>1.7</v>
      </c>
      <c r="Y60" s="45">
        <v>1.7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2.5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16</v>
      </c>
      <c r="C61" s="64">
        <v>16</v>
      </c>
      <c r="D61" s="64">
        <v>16</v>
      </c>
      <c r="E61" s="64">
        <v>15</v>
      </c>
      <c r="F61" s="64">
        <v>12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16</v>
      </c>
      <c r="X61" s="64">
        <v>16</v>
      </c>
      <c r="Y61" s="64">
        <v>16</v>
      </c>
      <c r="Z61" s="64">
        <v>16</v>
      </c>
      <c r="AA61" s="64">
        <v>16</v>
      </c>
      <c r="AB61" s="64">
        <v>16</v>
      </c>
      <c r="AC61" s="64">
        <v>16</v>
      </c>
      <c r="AD61" s="64">
        <v>16</v>
      </c>
      <c r="AE61" s="64">
        <v>16</v>
      </c>
      <c r="AF61" s="64">
        <v>16</v>
      </c>
      <c r="AG61" s="54">
        <v>24</v>
      </c>
      <c r="AH61" s="47">
        <f t="shared" si="2"/>
        <v>16</v>
      </c>
      <c r="AI61" s="48">
        <f t="shared" si="3"/>
        <v>12</v>
      </c>
      <c r="AK61" s="74"/>
    </row>
    <row r="62" spans="1:41" x14ac:dyDescent="0.25">
      <c r="A62" s="53" t="s">
        <v>78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>
        <v>4</v>
      </c>
      <c r="P62" s="64">
        <v>4</v>
      </c>
      <c r="Q62" s="64">
        <v>4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2"/>
        <v>4</v>
      </c>
      <c r="AI62" s="48">
        <f t="shared" si="3"/>
        <v>4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12.7</v>
      </c>
      <c r="C63" s="64">
        <v>12.6</v>
      </c>
      <c r="D63" s="64">
        <v>12.6</v>
      </c>
      <c r="E63" s="64">
        <v>11</v>
      </c>
      <c r="F63" s="64">
        <v>8.8000000000000007</v>
      </c>
      <c r="G63" s="64">
        <v>8.8000000000000007</v>
      </c>
      <c r="H63" s="64">
        <v>8.8000000000000007</v>
      </c>
      <c r="I63" s="64">
        <v>8.8000000000000007</v>
      </c>
      <c r="J63" s="64">
        <v>8.8000000000000007</v>
      </c>
      <c r="K63" s="64">
        <v>8.8000000000000007</v>
      </c>
      <c r="L63" s="64">
        <v>8.8000000000000007</v>
      </c>
      <c r="M63" s="64">
        <v>8.8000000000000007</v>
      </c>
      <c r="N63" s="64">
        <v>8.8000000000000007</v>
      </c>
      <c r="O63" s="64">
        <v>8.8000000000000007</v>
      </c>
      <c r="P63" s="64">
        <v>8.8000000000000007</v>
      </c>
      <c r="Q63" s="64">
        <v>8.8000000000000007</v>
      </c>
      <c r="R63" s="64">
        <v>8.8000000000000007</v>
      </c>
      <c r="S63" s="64">
        <v>8.8000000000000007</v>
      </c>
      <c r="T63" s="64">
        <v>8.8000000000000007</v>
      </c>
      <c r="U63" s="64">
        <v>8.8000000000000007</v>
      </c>
      <c r="V63" s="64">
        <v>8.8000000000000007</v>
      </c>
      <c r="W63" s="64">
        <v>10.5</v>
      </c>
      <c r="X63" s="64">
        <v>10.5</v>
      </c>
      <c r="Y63" s="64">
        <v>10.5</v>
      </c>
      <c r="Z63" s="64">
        <v>10.5</v>
      </c>
      <c r="AA63" s="64">
        <v>10.5</v>
      </c>
      <c r="AB63" s="64">
        <v>10.5</v>
      </c>
      <c r="AC63" s="64">
        <v>10.5</v>
      </c>
      <c r="AD63" s="64">
        <v>10.5</v>
      </c>
      <c r="AE63" s="64">
        <v>10.5</v>
      </c>
      <c r="AF63" s="64">
        <v>9.6</v>
      </c>
      <c r="AG63" s="54">
        <v>14.1</v>
      </c>
      <c r="AH63" s="47">
        <f t="shared" si="2"/>
        <v>12.7</v>
      </c>
      <c r="AI63" s="48">
        <f t="shared" si="3"/>
        <v>8.8000000000000007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>
        <v>0</v>
      </c>
      <c r="AA64" s="64">
        <v>0</v>
      </c>
      <c r="AB64" s="64">
        <v>0</v>
      </c>
      <c r="AC64" s="64">
        <v>0</v>
      </c>
      <c r="AD64" s="64">
        <v>0</v>
      </c>
      <c r="AE64" s="64">
        <v>0</v>
      </c>
      <c r="AF64" s="64">
        <v>0</v>
      </c>
      <c r="AG64" s="54">
        <v>14</v>
      </c>
      <c r="AH64" s="47">
        <f t="shared" si="2"/>
        <v>0</v>
      </c>
      <c r="AI64" s="48">
        <f t="shared" si="3"/>
        <v>0</v>
      </c>
      <c r="AK64" s="74"/>
    </row>
    <row r="65" spans="1:40" x14ac:dyDescent="0.25">
      <c r="A65" s="53" t="s">
        <v>81</v>
      </c>
      <c r="B65" s="64">
        <v>9.5</v>
      </c>
      <c r="C65" s="64">
        <v>9.5</v>
      </c>
      <c r="D65" s="64">
        <v>9.5</v>
      </c>
      <c r="E65" s="64">
        <v>9.5</v>
      </c>
      <c r="F65" s="64">
        <v>9.5</v>
      </c>
      <c r="G65" s="64">
        <v>9.5</v>
      </c>
      <c r="H65" s="64">
        <v>9.5</v>
      </c>
      <c r="I65" s="64">
        <v>9.5</v>
      </c>
      <c r="J65" s="64">
        <v>9.5</v>
      </c>
      <c r="K65" s="64">
        <v>9.5</v>
      </c>
      <c r="L65" s="64">
        <v>9.5</v>
      </c>
      <c r="M65" s="64">
        <v>9.5</v>
      </c>
      <c r="N65" s="64">
        <v>9.5</v>
      </c>
      <c r="O65" s="64">
        <v>9.5</v>
      </c>
      <c r="P65" s="64">
        <v>9.5</v>
      </c>
      <c r="Q65" s="64">
        <v>9.5</v>
      </c>
      <c r="R65" s="64">
        <v>9.5</v>
      </c>
      <c r="S65" s="64">
        <v>9.5</v>
      </c>
      <c r="T65" s="64">
        <v>9.5</v>
      </c>
      <c r="U65" s="64">
        <v>9.5</v>
      </c>
      <c r="V65" s="64">
        <v>9.5</v>
      </c>
      <c r="W65" s="64">
        <v>9</v>
      </c>
      <c r="X65" s="64">
        <v>9</v>
      </c>
      <c r="Y65" s="64">
        <v>9</v>
      </c>
      <c r="Z65" s="64">
        <v>9</v>
      </c>
      <c r="AA65" s="64">
        <v>9</v>
      </c>
      <c r="AB65" s="64">
        <v>9</v>
      </c>
      <c r="AC65" s="64">
        <v>9</v>
      </c>
      <c r="AD65" s="64">
        <v>9</v>
      </c>
      <c r="AE65" s="64">
        <v>9</v>
      </c>
      <c r="AF65" s="64">
        <v>9</v>
      </c>
      <c r="AG65" s="54">
        <v>10.050000000000001</v>
      </c>
      <c r="AH65" s="47">
        <f t="shared" si="2"/>
        <v>9.5</v>
      </c>
      <c r="AI65" s="48">
        <f t="shared" si="3"/>
        <v>9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" si="9">SUM(B55:B67)</f>
        <v>359.64</v>
      </c>
      <c r="C68" s="59">
        <f t="shared" ref="C68:AG68" si="10">SUM(C55:C67)</f>
        <v>373.44000000000005</v>
      </c>
      <c r="D68" s="59">
        <f t="shared" si="10"/>
        <v>370.14000000000004</v>
      </c>
      <c r="E68" s="59">
        <f t="shared" si="10"/>
        <v>342.54</v>
      </c>
      <c r="F68" s="59">
        <f t="shared" si="10"/>
        <v>352.34000000000003</v>
      </c>
      <c r="G68" s="59">
        <f t="shared" si="10"/>
        <v>362.34000000000003</v>
      </c>
      <c r="H68" s="59">
        <f t="shared" si="10"/>
        <v>368.44</v>
      </c>
      <c r="I68" s="59">
        <f t="shared" si="10"/>
        <v>367.44</v>
      </c>
      <c r="J68" s="59">
        <f t="shared" si="10"/>
        <v>368.74</v>
      </c>
      <c r="K68" s="59">
        <f t="shared" si="10"/>
        <v>368.74</v>
      </c>
      <c r="L68" s="59">
        <f t="shared" si="10"/>
        <v>353.74</v>
      </c>
      <c r="M68" s="59">
        <f t="shared" si="10"/>
        <v>354.84</v>
      </c>
      <c r="N68" s="59">
        <f t="shared" si="10"/>
        <v>339.84</v>
      </c>
      <c r="O68" s="59">
        <f t="shared" si="10"/>
        <v>330.14</v>
      </c>
      <c r="P68" s="59">
        <f t="shared" si="10"/>
        <v>302.84000000000003</v>
      </c>
      <c r="Q68" s="59">
        <f t="shared" si="10"/>
        <v>297.44</v>
      </c>
      <c r="R68" s="59">
        <f t="shared" si="10"/>
        <v>297.44</v>
      </c>
      <c r="S68" s="59">
        <f t="shared" si="10"/>
        <v>297.94000000000005</v>
      </c>
      <c r="T68" s="59">
        <f t="shared" si="10"/>
        <v>245.04</v>
      </c>
      <c r="U68" s="59">
        <f t="shared" si="10"/>
        <v>255.73999999999998</v>
      </c>
      <c r="V68" s="59">
        <f t="shared" si="10"/>
        <v>278.14</v>
      </c>
      <c r="W68" s="59">
        <f t="shared" si="10"/>
        <v>316.74</v>
      </c>
      <c r="X68" s="59">
        <f t="shared" si="10"/>
        <v>382.84</v>
      </c>
      <c r="Y68" s="59">
        <f t="shared" si="10"/>
        <v>398.84</v>
      </c>
      <c r="Z68" s="59">
        <f t="shared" si="10"/>
        <v>411.94</v>
      </c>
      <c r="AA68" s="59">
        <f t="shared" si="10"/>
        <v>411.94</v>
      </c>
      <c r="AB68" s="59">
        <f t="shared" si="10"/>
        <v>411.94</v>
      </c>
      <c r="AC68" s="59">
        <f t="shared" si="10"/>
        <v>411.94</v>
      </c>
      <c r="AD68" s="59">
        <f t="shared" si="10"/>
        <v>411.94</v>
      </c>
      <c r="AE68" s="59">
        <f t="shared" si="10"/>
        <v>411.94</v>
      </c>
      <c r="AF68" s="59">
        <f t="shared" si="10"/>
        <v>413.24</v>
      </c>
      <c r="AG68" s="60">
        <f t="shared" si="10"/>
        <v>489.91</v>
      </c>
      <c r="AH68" s="47">
        <f t="shared" si="2"/>
        <v>413.24</v>
      </c>
      <c r="AI68" s="48">
        <f t="shared" si="3"/>
        <v>245.04</v>
      </c>
      <c r="AK68" s="74"/>
    </row>
    <row r="69" spans="1:40" x14ac:dyDescent="0.25">
      <c r="A69" s="44" t="s">
        <v>85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10</v>
      </c>
      <c r="P69" s="45">
        <v>14</v>
      </c>
      <c r="Q69" s="45">
        <v>30</v>
      </c>
      <c r="R69" s="45">
        <v>30</v>
      </c>
      <c r="S69" s="45">
        <v>30</v>
      </c>
      <c r="T69" s="45">
        <v>49</v>
      </c>
      <c r="U69" s="45">
        <v>37.200000000000003</v>
      </c>
      <c r="V69" s="45">
        <v>59.6</v>
      </c>
      <c r="W69" s="45">
        <v>13.8</v>
      </c>
      <c r="X69" s="45">
        <v>11</v>
      </c>
      <c r="Y69" s="45">
        <v>12.6</v>
      </c>
      <c r="Z69" s="45">
        <v>18.2</v>
      </c>
      <c r="AA69" s="45">
        <v>30.3</v>
      </c>
      <c r="AB69" s="45">
        <v>0</v>
      </c>
      <c r="AC69" s="45">
        <v>22</v>
      </c>
      <c r="AD69" s="45">
        <v>14.3</v>
      </c>
      <c r="AE69" s="45">
        <v>0</v>
      </c>
      <c r="AF69" s="45">
        <v>0</v>
      </c>
      <c r="AG69" s="51">
        <v>60</v>
      </c>
      <c r="AH69" s="47">
        <f t="shared" si="2"/>
        <v>59.6</v>
      </c>
      <c r="AI69" s="48">
        <f t="shared" si="3"/>
        <v>0</v>
      </c>
      <c r="AK69" s="74"/>
    </row>
    <row r="70" spans="1:40" x14ac:dyDescent="0.25">
      <c r="A70" s="53" t="s">
        <v>86</v>
      </c>
      <c r="B70" s="64">
        <v>0</v>
      </c>
      <c r="C70" s="45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5</v>
      </c>
      <c r="P70" s="64">
        <v>5</v>
      </c>
      <c r="Q70" s="64">
        <v>14</v>
      </c>
      <c r="R70" s="64">
        <v>14</v>
      </c>
      <c r="S70" s="64">
        <v>14</v>
      </c>
      <c r="T70" s="64">
        <v>22.6</v>
      </c>
      <c r="U70" s="64">
        <v>14.5</v>
      </c>
      <c r="V70" s="64">
        <v>30.5</v>
      </c>
      <c r="W70" s="64">
        <v>14.1</v>
      </c>
      <c r="X70" s="64">
        <v>8</v>
      </c>
      <c r="Y70" s="64">
        <v>5.6</v>
      </c>
      <c r="Z70" s="64">
        <v>5.7</v>
      </c>
      <c r="AA70" s="64">
        <v>14.8</v>
      </c>
      <c r="AB70" s="64">
        <v>0</v>
      </c>
      <c r="AC70" s="64">
        <v>10.5</v>
      </c>
      <c r="AD70" s="64">
        <v>5.7</v>
      </c>
      <c r="AE70" s="64">
        <v>5.9</v>
      </c>
      <c r="AF70" s="64">
        <v>0</v>
      </c>
      <c r="AG70" s="54">
        <v>32</v>
      </c>
      <c r="AH70" s="47">
        <f t="shared" si="2"/>
        <v>30.5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66">
        <v>0</v>
      </c>
      <c r="C71" s="45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2</v>
      </c>
      <c r="P71" s="66">
        <v>2</v>
      </c>
      <c r="Q71" s="66">
        <v>5.0999999999999996</v>
      </c>
      <c r="R71" s="66">
        <v>5.0999999999999996</v>
      </c>
      <c r="S71" s="66">
        <v>5.0999999999999996</v>
      </c>
      <c r="T71" s="66">
        <v>8.1999999999999993</v>
      </c>
      <c r="U71" s="66">
        <v>5.3</v>
      </c>
      <c r="V71" s="66">
        <v>11.1</v>
      </c>
      <c r="W71" s="66">
        <v>5.2</v>
      </c>
      <c r="X71" s="66">
        <v>3.2</v>
      </c>
      <c r="Y71" s="66">
        <v>2</v>
      </c>
      <c r="Z71" s="66">
        <v>2.1</v>
      </c>
      <c r="AA71" s="66">
        <v>5.4</v>
      </c>
      <c r="AB71" s="66">
        <v>0</v>
      </c>
      <c r="AC71" s="66">
        <v>3.8</v>
      </c>
      <c r="AD71" s="66">
        <v>2.1</v>
      </c>
      <c r="AE71" s="66">
        <v>2.1</v>
      </c>
      <c r="AF71" s="66">
        <v>0</v>
      </c>
      <c r="AG71" s="67">
        <v>14</v>
      </c>
      <c r="AH71" s="47">
        <f t="shared" si="2"/>
        <v>11.1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 t="shared" ref="B72" si="11">B69+B70+B71</f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F72" si="12">M69+M70+M71</f>
        <v>0</v>
      </c>
      <c r="N72" s="59">
        <f t="shared" si="12"/>
        <v>0</v>
      </c>
      <c r="O72" s="59">
        <f t="shared" si="12"/>
        <v>17</v>
      </c>
      <c r="P72" s="59">
        <f t="shared" si="12"/>
        <v>21</v>
      </c>
      <c r="Q72" s="59">
        <f t="shared" si="12"/>
        <v>49.1</v>
      </c>
      <c r="R72" s="59">
        <f t="shared" si="12"/>
        <v>49.1</v>
      </c>
      <c r="S72" s="59">
        <f t="shared" si="12"/>
        <v>49.1</v>
      </c>
      <c r="T72" s="59">
        <f t="shared" si="12"/>
        <v>79.8</v>
      </c>
      <c r="U72" s="59">
        <f t="shared" si="12"/>
        <v>57</v>
      </c>
      <c r="V72" s="59">
        <f t="shared" si="12"/>
        <v>101.19999999999999</v>
      </c>
      <c r="W72" s="59">
        <f t="shared" si="12"/>
        <v>33.1</v>
      </c>
      <c r="X72" s="59">
        <f t="shared" si="12"/>
        <v>22.2</v>
      </c>
      <c r="Y72" s="59">
        <f t="shared" si="12"/>
        <v>20.2</v>
      </c>
      <c r="Z72" s="59">
        <f t="shared" si="12"/>
        <v>26</v>
      </c>
      <c r="AA72" s="59">
        <f t="shared" si="12"/>
        <v>50.5</v>
      </c>
      <c r="AB72" s="59">
        <f t="shared" si="12"/>
        <v>0</v>
      </c>
      <c r="AC72" s="59">
        <f t="shared" si="12"/>
        <v>36.299999999999997</v>
      </c>
      <c r="AD72" s="59">
        <f t="shared" si="12"/>
        <v>22.1</v>
      </c>
      <c r="AE72" s="59">
        <f t="shared" si="12"/>
        <v>8</v>
      </c>
      <c r="AF72" s="59">
        <f t="shared" si="12"/>
        <v>0</v>
      </c>
      <c r="AG72" s="60">
        <f>SUM(AG69:AG71)</f>
        <v>106</v>
      </c>
      <c r="AH72" s="47">
        <f t="shared" si="2"/>
        <v>101.19999999999999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60</v>
      </c>
      <c r="C73" s="45">
        <v>57.2</v>
      </c>
      <c r="D73" s="45">
        <v>61.5</v>
      </c>
      <c r="E73" s="45">
        <v>52.8</v>
      </c>
      <c r="F73" s="45">
        <v>9.1</v>
      </c>
      <c r="G73" s="45">
        <v>5</v>
      </c>
      <c r="H73" s="45">
        <v>0</v>
      </c>
      <c r="I73" s="45">
        <v>30</v>
      </c>
      <c r="J73" s="45">
        <v>3.7</v>
      </c>
      <c r="K73" s="45">
        <v>-3.6</v>
      </c>
      <c r="L73" s="45">
        <v>30.6</v>
      </c>
      <c r="M73" s="45">
        <v>14</v>
      </c>
      <c r="N73" s="45">
        <v>14</v>
      </c>
      <c r="O73" s="45">
        <v>55</v>
      </c>
      <c r="P73" s="45">
        <v>56.6</v>
      </c>
      <c r="Q73" s="45">
        <v>60</v>
      </c>
      <c r="R73" s="45">
        <v>70.599999999999994</v>
      </c>
      <c r="S73" s="45">
        <v>73.5</v>
      </c>
      <c r="T73" s="45">
        <v>68.099999999999994</v>
      </c>
      <c r="U73" s="45">
        <v>65.099999999999994</v>
      </c>
      <c r="V73" s="45">
        <v>70.900000000000006</v>
      </c>
      <c r="W73" s="45">
        <v>61.5</v>
      </c>
      <c r="X73" s="45">
        <v>53.5</v>
      </c>
      <c r="Y73" s="45">
        <v>46.8</v>
      </c>
      <c r="Z73" s="45">
        <v>16.399999999999999</v>
      </c>
      <c r="AA73" s="45">
        <v>14.4</v>
      </c>
      <c r="AB73" s="45">
        <v>62.8</v>
      </c>
      <c r="AC73" s="45">
        <v>30.2</v>
      </c>
      <c r="AD73" s="45">
        <v>30.3</v>
      </c>
      <c r="AE73" s="45">
        <v>26.4</v>
      </c>
      <c r="AF73" s="45">
        <v>20</v>
      </c>
      <c r="AG73" s="51"/>
      <c r="AH73" s="47">
        <f t="shared" si="2"/>
        <v>73.5</v>
      </c>
      <c r="AI73" s="48">
        <f t="shared" si="3"/>
        <v>-3.6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-303.3</v>
      </c>
      <c r="C75" s="64">
        <v>-308</v>
      </c>
      <c r="D75" s="64">
        <v>-344.9</v>
      </c>
      <c r="E75" s="64">
        <v>-315.5</v>
      </c>
      <c r="F75" s="64">
        <v>-398.5</v>
      </c>
      <c r="G75" s="64">
        <v>-404</v>
      </c>
      <c r="H75" s="64">
        <v>-427.2</v>
      </c>
      <c r="I75" s="64">
        <v>-449.5</v>
      </c>
      <c r="J75" s="64">
        <v>-427.6</v>
      </c>
      <c r="K75" s="64">
        <v>-412.5</v>
      </c>
      <c r="L75" s="64">
        <v>-318</v>
      </c>
      <c r="M75" s="64">
        <v>-317</v>
      </c>
      <c r="N75" s="64">
        <v>-317</v>
      </c>
      <c r="O75" s="64">
        <v>-289</v>
      </c>
      <c r="P75" s="64">
        <v>-337</v>
      </c>
      <c r="Q75" s="64">
        <v>-352</v>
      </c>
      <c r="R75" s="64">
        <v>-289</v>
      </c>
      <c r="S75" s="64">
        <v>-300</v>
      </c>
      <c r="T75" s="64">
        <v>-262.3</v>
      </c>
      <c r="U75" s="64">
        <v>-240.3</v>
      </c>
      <c r="V75" s="64">
        <v>-334.2</v>
      </c>
      <c r="W75" s="64">
        <v>-350.6</v>
      </c>
      <c r="X75" s="64">
        <v>-362</v>
      </c>
      <c r="Y75" s="64">
        <v>-365</v>
      </c>
      <c r="Z75" s="64">
        <v>-348.3</v>
      </c>
      <c r="AA75" s="64">
        <v>-304.3</v>
      </c>
      <c r="AB75" s="64">
        <v>-262</v>
      </c>
      <c r="AC75" s="64">
        <v>-297</v>
      </c>
      <c r="AD75" s="64">
        <v>-310</v>
      </c>
      <c r="AE75" s="64">
        <v>-318</v>
      </c>
      <c r="AF75" s="64">
        <v>-319</v>
      </c>
      <c r="AG75" s="75"/>
      <c r="AH75" s="47">
        <f t="shared" si="2"/>
        <v>-240.3</v>
      </c>
      <c r="AI75" s="48">
        <f t="shared" si="3"/>
        <v>-449.5</v>
      </c>
      <c r="AK75" s="74"/>
    </row>
    <row r="76" spans="1:40" x14ac:dyDescent="0.25">
      <c r="A76" s="53" t="s">
        <v>92</v>
      </c>
      <c r="B76" s="64">
        <v>0</v>
      </c>
      <c r="C76" s="64">
        <v>0</v>
      </c>
      <c r="D76" s="64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20</v>
      </c>
      <c r="T76" s="76">
        <v>20</v>
      </c>
      <c r="U76" s="76">
        <v>20</v>
      </c>
      <c r="V76" s="76">
        <v>10</v>
      </c>
      <c r="W76" s="76">
        <v>10</v>
      </c>
      <c r="X76" s="76">
        <v>10</v>
      </c>
      <c r="Y76" s="76">
        <v>10</v>
      </c>
      <c r="Z76" s="76">
        <v>10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75"/>
      <c r="AH76" s="47">
        <f t="shared" si="2"/>
        <v>20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64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/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13">MAX(B77:AF77)</f>
        <v>0</v>
      </c>
      <c r="AI77" s="48">
        <f t="shared" ref="AI77:AI120" si="14">MIN(B77:AF77)</f>
        <v>0</v>
      </c>
      <c r="AK77" s="74"/>
    </row>
    <row r="78" spans="1:40" x14ac:dyDescent="0.25">
      <c r="A78" s="53" t="s">
        <v>94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6</v>
      </c>
      <c r="T78" s="77">
        <v>6</v>
      </c>
      <c r="U78" s="77">
        <v>6</v>
      </c>
      <c r="V78" s="77">
        <v>6</v>
      </c>
      <c r="W78" s="77">
        <v>6</v>
      </c>
      <c r="X78" s="77">
        <v>6</v>
      </c>
      <c r="Y78" s="77">
        <v>6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3"/>
        <v>6</v>
      </c>
      <c r="AI78" s="48">
        <f t="shared" si="14"/>
        <v>0</v>
      </c>
      <c r="AK78" s="74"/>
    </row>
    <row r="79" spans="1:40" ht="15.75" thickBot="1" x14ac:dyDescent="0.3">
      <c r="A79" s="53" t="s">
        <v>95</v>
      </c>
      <c r="B79" s="77">
        <v>0</v>
      </c>
      <c r="C79" s="77">
        <v>0</v>
      </c>
      <c r="D79" s="64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3"/>
        <v>0</v>
      </c>
      <c r="AI79" s="48">
        <f t="shared" si="14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77">
        <v>0</v>
      </c>
      <c r="C80" s="77">
        <v>0</v>
      </c>
      <c r="D80" s="64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13"/>
        <v>0</v>
      </c>
      <c r="AI80" s="48">
        <f t="shared" si="14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77">
        <v>0</v>
      </c>
      <c r="C81" s="77">
        <v>0</v>
      </c>
      <c r="D81" s="64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3"/>
        <v>0</v>
      </c>
      <c r="AI81" s="48">
        <f t="shared" si="14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77">
        <v>0</v>
      </c>
      <c r="C82" s="77">
        <v>0</v>
      </c>
      <c r="D82" s="64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3"/>
        <v>0</v>
      </c>
      <c r="AI82" s="48">
        <f t="shared" si="14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77">
        <v>0</v>
      </c>
      <c r="C83" s="77">
        <v>0</v>
      </c>
      <c r="D83" s="64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3"/>
        <v>0</v>
      </c>
      <c r="AI83" s="48">
        <f t="shared" si="14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" si="15">SUMIF(B73:B83,"&gt;0")</f>
        <v>60</v>
      </c>
      <c r="C84" s="59">
        <f t="shared" ref="C84:AF84" si="16">SUMIF(C73:C83,"&gt;0")</f>
        <v>57.2</v>
      </c>
      <c r="D84" s="59">
        <f t="shared" si="16"/>
        <v>61.5</v>
      </c>
      <c r="E84" s="59">
        <f t="shared" si="16"/>
        <v>52.8</v>
      </c>
      <c r="F84" s="59">
        <f t="shared" si="16"/>
        <v>9.1</v>
      </c>
      <c r="G84" s="59">
        <f t="shared" si="16"/>
        <v>5</v>
      </c>
      <c r="H84" s="59">
        <f t="shared" si="16"/>
        <v>0</v>
      </c>
      <c r="I84" s="59">
        <f t="shared" si="16"/>
        <v>30</v>
      </c>
      <c r="J84" s="59">
        <f t="shared" si="16"/>
        <v>3.7</v>
      </c>
      <c r="K84" s="59">
        <f t="shared" si="16"/>
        <v>0</v>
      </c>
      <c r="L84" s="59">
        <f t="shared" si="16"/>
        <v>30.6</v>
      </c>
      <c r="M84" s="59">
        <f t="shared" si="16"/>
        <v>14</v>
      </c>
      <c r="N84" s="59">
        <f t="shared" si="16"/>
        <v>14</v>
      </c>
      <c r="O84" s="59">
        <f t="shared" si="16"/>
        <v>55</v>
      </c>
      <c r="P84" s="59">
        <f t="shared" si="16"/>
        <v>56.6</v>
      </c>
      <c r="Q84" s="59">
        <f t="shared" si="16"/>
        <v>60</v>
      </c>
      <c r="R84" s="59">
        <f t="shared" si="16"/>
        <v>70.599999999999994</v>
      </c>
      <c r="S84" s="59">
        <f t="shared" si="16"/>
        <v>99.5</v>
      </c>
      <c r="T84" s="59">
        <f t="shared" si="16"/>
        <v>94.1</v>
      </c>
      <c r="U84" s="59">
        <f t="shared" si="16"/>
        <v>91.1</v>
      </c>
      <c r="V84" s="59">
        <f t="shared" si="16"/>
        <v>86.9</v>
      </c>
      <c r="W84" s="59">
        <f t="shared" si="16"/>
        <v>77.5</v>
      </c>
      <c r="X84" s="59">
        <f t="shared" si="16"/>
        <v>69.5</v>
      </c>
      <c r="Y84" s="59">
        <f t="shared" si="16"/>
        <v>62.8</v>
      </c>
      <c r="Z84" s="59">
        <f t="shared" si="16"/>
        <v>26.4</v>
      </c>
      <c r="AA84" s="59">
        <f t="shared" si="16"/>
        <v>14.4</v>
      </c>
      <c r="AB84" s="59">
        <f t="shared" si="16"/>
        <v>62.8</v>
      </c>
      <c r="AC84" s="59">
        <f t="shared" si="16"/>
        <v>30.2</v>
      </c>
      <c r="AD84" s="59">
        <f t="shared" si="16"/>
        <v>30.3</v>
      </c>
      <c r="AE84" s="59">
        <f t="shared" si="16"/>
        <v>26.4</v>
      </c>
      <c r="AF84" s="59">
        <f t="shared" si="16"/>
        <v>20</v>
      </c>
      <c r="AG84" s="88">
        <f>SUM(AG73:AG83)</f>
        <v>0</v>
      </c>
      <c r="AH84" s="47">
        <f t="shared" si="13"/>
        <v>99.5</v>
      </c>
      <c r="AI84" s="48">
        <f t="shared" si="14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3"/>
        <v>0</v>
      </c>
      <c r="AI85" s="48">
        <f t="shared" si="14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3"/>
        <v>0</v>
      </c>
      <c r="AI86" s="48">
        <f t="shared" si="14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3"/>
        <v>0</v>
      </c>
      <c r="AI87" s="48">
        <f t="shared" si="14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13"/>
        <v>0</v>
      </c>
      <c r="AI88" s="48">
        <f t="shared" si="14"/>
        <v>0</v>
      </c>
    </row>
    <row r="89" spans="1:40" ht="15.75" thickBot="1" x14ac:dyDescent="0.3">
      <c r="A89" s="73" t="s">
        <v>108</v>
      </c>
      <c r="B89" s="95">
        <f t="shared" ref="B89" si="17">B50+B54+B72+B68+B84+B88</f>
        <v>1966.8400000000001</v>
      </c>
      <c r="C89" s="95">
        <f t="shared" ref="C89:AG89" si="18">C50+C54+C72+C68+C84+C88</f>
        <v>1954.14</v>
      </c>
      <c r="D89" s="95">
        <f t="shared" si="18"/>
        <v>1959.14</v>
      </c>
      <c r="E89" s="95">
        <f t="shared" si="18"/>
        <v>1922.84</v>
      </c>
      <c r="F89" s="95">
        <f t="shared" si="18"/>
        <v>1863.94</v>
      </c>
      <c r="G89" s="95">
        <f t="shared" si="18"/>
        <v>1876.54</v>
      </c>
      <c r="H89" s="95">
        <f t="shared" si="18"/>
        <v>1883.74</v>
      </c>
      <c r="I89" s="95">
        <f t="shared" si="18"/>
        <v>1880.54</v>
      </c>
      <c r="J89" s="95">
        <f t="shared" si="18"/>
        <v>1902.24</v>
      </c>
      <c r="K89" s="95">
        <f t="shared" si="18"/>
        <v>1898.54</v>
      </c>
      <c r="L89" s="95">
        <f t="shared" si="18"/>
        <v>1811.74</v>
      </c>
      <c r="M89" s="95">
        <f t="shared" si="18"/>
        <v>1815.24</v>
      </c>
      <c r="N89" s="95">
        <f t="shared" si="18"/>
        <v>1800.24</v>
      </c>
      <c r="O89" s="95">
        <f t="shared" si="18"/>
        <v>1848.54</v>
      </c>
      <c r="P89" s="95">
        <f t="shared" si="18"/>
        <v>1826.8400000000001</v>
      </c>
      <c r="Q89" s="95">
        <f t="shared" si="18"/>
        <v>1923.94</v>
      </c>
      <c r="R89" s="95">
        <f t="shared" si="18"/>
        <v>1934.54</v>
      </c>
      <c r="S89" s="95">
        <f t="shared" si="18"/>
        <v>1981.6399999999999</v>
      </c>
      <c r="T89" s="95">
        <f t="shared" si="18"/>
        <v>1954.0399999999997</v>
      </c>
      <c r="U89" s="95">
        <f t="shared" si="18"/>
        <v>1937.9399999999998</v>
      </c>
      <c r="V89" s="95">
        <f t="shared" si="18"/>
        <v>1980.1400000000003</v>
      </c>
      <c r="W89" s="95">
        <f t="shared" si="18"/>
        <v>1970.84</v>
      </c>
      <c r="X89" s="95">
        <f t="shared" si="18"/>
        <v>2002.04</v>
      </c>
      <c r="Y89" s="95">
        <f t="shared" si="18"/>
        <v>1974.34</v>
      </c>
      <c r="Z89" s="95">
        <f t="shared" si="18"/>
        <v>2034.6400000000003</v>
      </c>
      <c r="AA89" s="95">
        <f t="shared" si="18"/>
        <v>2047.1400000000003</v>
      </c>
      <c r="AB89" s="95">
        <f t="shared" si="18"/>
        <v>2052.0400000000004</v>
      </c>
      <c r="AC89" s="95">
        <f t="shared" si="18"/>
        <v>2072.84</v>
      </c>
      <c r="AD89" s="95">
        <f t="shared" si="18"/>
        <v>2059.2400000000002</v>
      </c>
      <c r="AE89" s="95">
        <f t="shared" si="18"/>
        <v>2041.2400000000002</v>
      </c>
      <c r="AF89" s="95">
        <f t="shared" si="18"/>
        <v>1998.24</v>
      </c>
      <c r="AG89" s="60">
        <f t="shared" si="18"/>
        <v>2111.5500000000002</v>
      </c>
      <c r="AH89" s="47">
        <f t="shared" si="13"/>
        <v>2072.84</v>
      </c>
      <c r="AI89" s="48">
        <f t="shared" si="14"/>
        <v>1800.24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>
        <v>20</v>
      </c>
      <c r="AC90" s="97">
        <v>20</v>
      </c>
      <c r="AD90" s="97">
        <v>20</v>
      </c>
      <c r="AE90" s="97">
        <v>10</v>
      </c>
      <c r="AF90" s="97">
        <v>10</v>
      </c>
      <c r="AG90" s="88"/>
      <c r="AH90" s="47">
        <f t="shared" si="13"/>
        <v>20</v>
      </c>
      <c r="AI90" s="48">
        <f t="shared" si="14"/>
        <v>10</v>
      </c>
    </row>
    <row r="91" spans="1:40" ht="15.75" thickBot="1" x14ac:dyDescent="0.3">
      <c r="A91" s="73" t="s">
        <v>110</v>
      </c>
      <c r="B91" s="95">
        <f t="shared" ref="B91" si="19">B89+B90</f>
        <v>1966.8400000000001</v>
      </c>
      <c r="C91" s="95">
        <f t="shared" ref="C91:AF91" si="20">C89+C90</f>
        <v>1954.14</v>
      </c>
      <c r="D91" s="95">
        <f t="shared" si="20"/>
        <v>1959.14</v>
      </c>
      <c r="E91" s="95">
        <f t="shared" si="20"/>
        <v>1922.84</v>
      </c>
      <c r="F91" s="95">
        <f t="shared" si="20"/>
        <v>1863.94</v>
      </c>
      <c r="G91" s="95">
        <f t="shared" si="20"/>
        <v>1876.54</v>
      </c>
      <c r="H91" s="95">
        <f t="shared" si="20"/>
        <v>1883.74</v>
      </c>
      <c r="I91" s="95">
        <f t="shared" si="20"/>
        <v>1880.54</v>
      </c>
      <c r="J91" s="95">
        <f t="shared" si="20"/>
        <v>1902.24</v>
      </c>
      <c r="K91" s="95">
        <f t="shared" si="20"/>
        <v>1898.54</v>
      </c>
      <c r="L91" s="95">
        <f t="shared" si="20"/>
        <v>1811.74</v>
      </c>
      <c r="M91" s="95">
        <f t="shared" si="20"/>
        <v>1815.24</v>
      </c>
      <c r="N91" s="95">
        <f t="shared" si="20"/>
        <v>1800.24</v>
      </c>
      <c r="O91" s="95">
        <f t="shared" si="20"/>
        <v>1848.54</v>
      </c>
      <c r="P91" s="95">
        <f t="shared" si="20"/>
        <v>1826.8400000000001</v>
      </c>
      <c r="Q91" s="95">
        <f t="shared" si="20"/>
        <v>1923.94</v>
      </c>
      <c r="R91" s="95">
        <f t="shared" si="20"/>
        <v>1934.54</v>
      </c>
      <c r="S91" s="95">
        <f t="shared" si="20"/>
        <v>1981.6399999999999</v>
      </c>
      <c r="T91" s="95">
        <f t="shared" si="20"/>
        <v>1954.0399999999997</v>
      </c>
      <c r="U91" s="95">
        <f t="shared" si="20"/>
        <v>1937.9399999999998</v>
      </c>
      <c r="V91" s="95">
        <f t="shared" si="20"/>
        <v>1980.1400000000003</v>
      </c>
      <c r="W91" s="95">
        <f t="shared" si="20"/>
        <v>1970.84</v>
      </c>
      <c r="X91" s="95">
        <f t="shared" si="20"/>
        <v>2002.04</v>
      </c>
      <c r="Y91" s="95">
        <f t="shared" si="20"/>
        <v>1974.34</v>
      </c>
      <c r="Z91" s="95">
        <f t="shared" si="20"/>
        <v>2034.6400000000003</v>
      </c>
      <c r="AA91" s="95">
        <f t="shared" si="20"/>
        <v>2047.1400000000003</v>
      </c>
      <c r="AB91" s="95">
        <f t="shared" si="20"/>
        <v>2072.0400000000004</v>
      </c>
      <c r="AC91" s="95">
        <f t="shared" si="20"/>
        <v>2092.84</v>
      </c>
      <c r="AD91" s="95">
        <f t="shared" si="20"/>
        <v>2079.2400000000002</v>
      </c>
      <c r="AE91" s="95">
        <f t="shared" si="20"/>
        <v>2051.2400000000002</v>
      </c>
      <c r="AF91" s="95">
        <f t="shared" si="20"/>
        <v>2008.24</v>
      </c>
      <c r="AG91" s="88">
        <f>AG88+AG84+AG72+AG68+AG50+AG90</f>
        <v>1573.45</v>
      </c>
      <c r="AH91" s="47">
        <f t="shared" si="13"/>
        <v>2092.84</v>
      </c>
      <c r="AI91" s="48">
        <f t="shared" si="14"/>
        <v>1800.24</v>
      </c>
    </row>
    <row r="92" spans="1:40" ht="15.75" thickBot="1" x14ac:dyDescent="0.3">
      <c r="A92" s="73" t="s">
        <v>111</v>
      </c>
      <c r="B92" s="95">
        <f t="shared" ref="B92" si="21">B91-B99</f>
        <v>1966.8400000000001</v>
      </c>
      <c r="C92" s="95">
        <f t="shared" ref="C92:AF92" si="22">C91-C99</f>
        <v>1954.14</v>
      </c>
      <c r="D92" s="95">
        <f t="shared" si="22"/>
        <v>1959.14</v>
      </c>
      <c r="E92" s="95">
        <f t="shared" si="22"/>
        <v>1922.84</v>
      </c>
      <c r="F92" s="95">
        <f t="shared" si="22"/>
        <v>1863.94</v>
      </c>
      <c r="G92" s="95">
        <f t="shared" si="22"/>
        <v>1876.54</v>
      </c>
      <c r="H92" s="95">
        <f t="shared" si="22"/>
        <v>1883.74</v>
      </c>
      <c r="I92" s="95">
        <f t="shared" si="22"/>
        <v>1880.54</v>
      </c>
      <c r="J92" s="95">
        <f t="shared" si="22"/>
        <v>1902.24</v>
      </c>
      <c r="K92" s="95">
        <f t="shared" si="22"/>
        <v>1898.54</v>
      </c>
      <c r="L92" s="95">
        <f t="shared" si="22"/>
        <v>1811.74</v>
      </c>
      <c r="M92" s="95">
        <f t="shared" si="22"/>
        <v>1815.24</v>
      </c>
      <c r="N92" s="95">
        <f t="shared" si="22"/>
        <v>1800.24</v>
      </c>
      <c r="O92" s="95">
        <f t="shared" si="22"/>
        <v>1848.54</v>
      </c>
      <c r="P92" s="95">
        <f t="shared" si="22"/>
        <v>1826.8400000000001</v>
      </c>
      <c r="Q92" s="95">
        <f t="shared" si="22"/>
        <v>1923.94</v>
      </c>
      <c r="R92" s="95">
        <f t="shared" si="22"/>
        <v>1934.54</v>
      </c>
      <c r="S92" s="95">
        <f t="shared" si="22"/>
        <v>1981.6399999999999</v>
      </c>
      <c r="T92" s="95">
        <f t="shared" si="22"/>
        <v>1954.0399999999997</v>
      </c>
      <c r="U92" s="95">
        <f t="shared" si="22"/>
        <v>1937.9399999999998</v>
      </c>
      <c r="V92" s="95">
        <f t="shared" si="22"/>
        <v>1980.1400000000003</v>
      </c>
      <c r="W92" s="95">
        <f t="shared" si="22"/>
        <v>1970.84</v>
      </c>
      <c r="X92" s="95">
        <f t="shared" si="22"/>
        <v>2002.04</v>
      </c>
      <c r="Y92" s="95">
        <f t="shared" si="22"/>
        <v>1974.34</v>
      </c>
      <c r="Z92" s="95">
        <f t="shared" si="22"/>
        <v>2034.6400000000003</v>
      </c>
      <c r="AA92" s="95">
        <f t="shared" si="22"/>
        <v>2047.1400000000003</v>
      </c>
      <c r="AB92" s="95">
        <f t="shared" si="22"/>
        <v>2072.0400000000004</v>
      </c>
      <c r="AC92" s="95">
        <f t="shared" si="22"/>
        <v>2092.84</v>
      </c>
      <c r="AD92" s="95">
        <f t="shared" si="22"/>
        <v>2079.2400000000002</v>
      </c>
      <c r="AE92" s="95">
        <f t="shared" si="22"/>
        <v>2051.2400000000002</v>
      </c>
      <c r="AF92" s="95">
        <f t="shared" si="22"/>
        <v>2008.24</v>
      </c>
      <c r="AG92" s="88"/>
      <c r="AH92" s="47">
        <f t="shared" si="13"/>
        <v>2092.84</v>
      </c>
      <c r="AI92" s="48">
        <f t="shared" si="14"/>
        <v>1800.24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3"/>
        <v>0</v>
      </c>
      <c r="AI93" s="48">
        <f t="shared" si="14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3"/>
        <v>0</v>
      </c>
      <c r="AI94" s="48">
        <f t="shared" si="14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3"/>
        <v>0</v>
      </c>
      <c r="AI95" s="48">
        <f t="shared" si="14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3"/>
        <v>0</v>
      </c>
      <c r="AI96" s="48">
        <f t="shared" si="14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3"/>
        <v>0</v>
      </c>
      <c r="AI97" s="48">
        <f t="shared" si="14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3"/>
        <v>0</v>
      </c>
      <c r="AI98" s="48">
        <f t="shared" si="14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13"/>
        <v>0</v>
      </c>
      <c r="AI99" s="48">
        <f t="shared" si="14"/>
        <v>0</v>
      </c>
      <c r="AK99" s="74"/>
    </row>
    <row r="100" spans="1:37" ht="15.75" thickBot="1" x14ac:dyDescent="0.3">
      <c r="A100" s="73" t="s">
        <v>116</v>
      </c>
      <c r="B100" s="59">
        <f t="shared" ref="B100" si="23">B84-B99</f>
        <v>60</v>
      </c>
      <c r="C100" s="59">
        <f t="shared" ref="C100:AF100" si="24">C84-C99</f>
        <v>57.2</v>
      </c>
      <c r="D100" s="59">
        <f t="shared" si="24"/>
        <v>61.5</v>
      </c>
      <c r="E100" s="59">
        <f t="shared" si="24"/>
        <v>52.8</v>
      </c>
      <c r="F100" s="59">
        <f t="shared" si="24"/>
        <v>9.1</v>
      </c>
      <c r="G100" s="59">
        <f t="shared" si="24"/>
        <v>5</v>
      </c>
      <c r="H100" s="59">
        <f t="shared" si="24"/>
        <v>0</v>
      </c>
      <c r="I100" s="59">
        <f t="shared" si="24"/>
        <v>30</v>
      </c>
      <c r="J100" s="59">
        <f t="shared" si="24"/>
        <v>3.7</v>
      </c>
      <c r="K100" s="59">
        <f t="shared" si="24"/>
        <v>0</v>
      </c>
      <c r="L100" s="59">
        <f t="shared" si="24"/>
        <v>30.6</v>
      </c>
      <c r="M100" s="59">
        <f t="shared" si="24"/>
        <v>14</v>
      </c>
      <c r="N100" s="59">
        <f t="shared" si="24"/>
        <v>14</v>
      </c>
      <c r="O100" s="59">
        <f t="shared" si="24"/>
        <v>55</v>
      </c>
      <c r="P100" s="59">
        <f t="shared" si="24"/>
        <v>56.6</v>
      </c>
      <c r="Q100" s="59">
        <f t="shared" si="24"/>
        <v>60</v>
      </c>
      <c r="R100" s="59">
        <f t="shared" si="24"/>
        <v>70.599999999999994</v>
      </c>
      <c r="S100" s="59">
        <f t="shared" si="24"/>
        <v>99.5</v>
      </c>
      <c r="T100" s="59">
        <f t="shared" si="24"/>
        <v>94.1</v>
      </c>
      <c r="U100" s="59">
        <f t="shared" si="24"/>
        <v>91.1</v>
      </c>
      <c r="V100" s="59">
        <f t="shared" si="24"/>
        <v>86.9</v>
      </c>
      <c r="W100" s="59">
        <f t="shared" si="24"/>
        <v>77.5</v>
      </c>
      <c r="X100" s="59">
        <f t="shared" si="24"/>
        <v>69.5</v>
      </c>
      <c r="Y100" s="59">
        <f t="shared" si="24"/>
        <v>62.8</v>
      </c>
      <c r="Z100" s="59">
        <f t="shared" si="24"/>
        <v>26.4</v>
      </c>
      <c r="AA100" s="59">
        <f t="shared" si="24"/>
        <v>14.4</v>
      </c>
      <c r="AB100" s="59">
        <f t="shared" si="24"/>
        <v>62.8</v>
      </c>
      <c r="AC100" s="59">
        <f t="shared" si="24"/>
        <v>30.2</v>
      </c>
      <c r="AD100" s="59">
        <f t="shared" si="24"/>
        <v>30.3</v>
      </c>
      <c r="AE100" s="59">
        <f t="shared" si="24"/>
        <v>26.4</v>
      </c>
      <c r="AF100" s="59">
        <f t="shared" si="24"/>
        <v>20</v>
      </c>
      <c r="AG100" s="88"/>
      <c r="AH100" s="47">
        <f t="shared" si="13"/>
        <v>99.5</v>
      </c>
      <c r="AI100" s="48">
        <f t="shared" si="14"/>
        <v>0</v>
      </c>
    </row>
    <row r="101" spans="1:37" x14ac:dyDescent="0.25">
      <c r="A101" s="100" t="s">
        <v>117</v>
      </c>
      <c r="B101" s="101">
        <v>50.042000000000002</v>
      </c>
      <c r="C101" s="101">
        <v>50.01</v>
      </c>
      <c r="D101" s="101">
        <v>49.95</v>
      </c>
      <c r="E101" s="101">
        <v>50.042000000000002</v>
      </c>
      <c r="F101" s="101">
        <v>49.963000000000001</v>
      </c>
      <c r="G101" s="101">
        <v>49.930999999999997</v>
      </c>
      <c r="H101" s="101">
        <v>49.875999999999998</v>
      </c>
      <c r="I101" s="101">
        <v>49.917999999999999</v>
      </c>
      <c r="J101" s="101">
        <v>49.85</v>
      </c>
      <c r="K101" s="101">
        <v>50.024000000000001</v>
      </c>
      <c r="L101" s="101">
        <v>50.6</v>
      </c>
      <c r="M101" s="101">
        <v>50.02</v>
      </c>
      <c r="N101" s="101">
        <v>50.02</v>
      </c>
      <c r="O101" s="101">
        <v>50.002000000000002</v>
      </c>
      <c r="P101" s="101">
        <v>49.956000000000003</v>
      </c>
      <c r="Q101" s="101">
        <v>50.04</v>
      </c>
      <c r="R101" s="101">
        <v>50.024999999999999</v>
      </c>
      <c r="S101" s="101">
        <v>49.878999999999998</v>
      </c>
      <c r="T101" s="101">
        <v>49.97</v>
      </c>
      <c r="U101" s="101">
        <v>50.04</v>
      </c>
      <c r="V101" s="101">
        <v>50.037399999999998</v>
      </c>
      <c r="W101" s="101">
        <v>50.143000000000001</v>
      </c>
      <c r="X101" s="101">
        <v>50.143000000000001</v>
      </c>
      <c r="Y101" s="101">
        <v>50.176000000000002</v>
      </c>
      <c r="Z101" s="101">
        <v>50.09</v>
      </c>
      <c r="AA101" s="101">
        <v>50.024000000000001</v>
      </c>
      <c r="AB101" s="101">
        <v>50.057000000000002</v>
      </c>
      <c r="AC101" s="101">
        <v>50.036999999999999</v>
      </c>
      <c r="AD101" s="101">
        <v>50.012999999999998</v>
      </c>
      <c r="AE101" s="101">
        <v>50.055</v>
      </c>
      <c r="AF101" s="101">
        <v>50.000999999999998</v>
      </c>
      <c r="AG101" s="102"/>
      <c r="AH101" s="47">
        <f t="shared" si="13"/>
        <v>50.6</v>
      </c>
      <c r="AI101" s="48">
        <f t="shared" si="14"/>
        <v>49.85</v>
      </c>
    </row>
    <row r="102" spans="1:37" x14ac:dyDescent="0.25">
      <c r="A102" s="103" t="s">
        <v>118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4"/>
      <c r="AH102" s="47">
        <f t="shared" si="13"/>
        <v>0</v>
      </c>
      <c r="AI102" s="48">
        <f t="shared" si="14"/>
        <v>0</v>
      </c>
    </row>
    <row r="103" spans="1:37" x14ac:dyDescent="0.25">
      <c r="A103" s="103" t="s">
        <v>119</v>
      </c>
      <c r="B103" s="64">
        <v>128.19999999999999</v>
      </c>
      <c r="C103" s="64">
        <v>128.4</v>
      </c>
      <c r="D103" s="64">
        <v>127.6</v>
      </c>
      <c r="E103" s="64">
        <v>127.7</v>
      </c>
      <c r="F103" s="64">
        <v>128.9</v>
      </c>
      <c r="G103" s="64">
        <v>128.69999999999999</v>
      </c>
      <c r="H103" s="64">
        <v>129</v>
      </c>
      <c r="I103" s="64">
        <v>128.5</v>
      </c>
      <c r="J103" s="64">
        <v>128.5</v>
      </c>
      <c r="K103" s="64">
        <v>126.7</v>
      </c>
      <c r="L103" s="64">
        <v>126.2</v>
      </c>
      <c r="M103" s="64">
        <v>125.8</v>
      </c>
      <c r="N103" s="64">
        <v>125.8</v>
      </c>
      <c r="O103" s="64">
        <v>122.7</v>
      </c>
      <c r="P103" s="64">
        <v>122.3</v>
      </c>
      <c r="Q103" s="64">
        <v>123.6</v>
      </c>
      <c r="R103" s="64">
        <v>122.5</v>
      </c>
      <c r="S103" s="64">
        <v>122.5</v>
      </c>
      <c r="T103" s="64">
        <v>123.7</v>
      </c>
      <c r="U103" s="64">
        <v>123.7</v>
      </c>
      <c r="V103" s="64">
        <v>125.8</v>
      </c>
      <c r="W103" s="64">
        <v>125.1</v>
      </c>
      <c r="X103" s="64">
        <v>125.1</v>
      </c>
      <c r="Y103" s="64">
        <v>128.4</v>
      </c>
      <c r="Z103" s="64">
        <v>128.30000000000001</v>
      </c>
      <c r="AA103" s="64">
        <v>127.6</v>
      </c>
      <c r="AB103" s="64">
        <v>126.7</v>
      </c>
      <c r="AC103" s="64">
        <v>127.3</v>
      </c>
      <c r="AD103" s="64">
        <v>126.8</v>
      </c>
      <c r="AE103" s="64">
        <v>127.8</v>
      </c>
      <c r="AF103" s="64">
        <v>127</v>
      </c>
      <c r="AG103" s="104"/>
      <c r="AH103" s="47">
        <f t="shared" si="13"/>
        <v>129</v>
      </c>
      <c r="AI103" s="48">
        <f t="shared" si="14"/>
        <v>122.3</v>
      </c>
    </row>
    <row r="104" spans="1:37" x14ac:dyDescent="0.25">
      <c r="A104" s="103" t="s">
        <v>120</v>
      </c>
      <c r="B104" s="64">
        <v>130.1</v>
      </c>
      <c r="C104" s="64">
        <v>132</v>
      </c>
      <c r="D104" s="64">
        <v>130</v>
      </c>
      <c r="E104" s="64">
        <v>127.5</v>
      </c>
      <c r="F104" s="64">
        <v>128.19999999999999</v>
      </c>
      <c r="G104" s="64">
        <v>130.30000000000001</v>
      </c>
      <c r="H104" s="64">
        <v>129.5</v>
      </c>
      <c r="I104" s="64">
        <v>130</v>
      </c>
      <c r="J104" s="64">
        <v>130</v>
      </c>
      <c r="K104" s="64">
        <v>129.4</v>
      </c>
      <c r="L104" s="64">
        <v>129.6</v>
      </c>
      <c r="M104" s="64">
        <v>128.5</v>
      </c>
      <c r="N104" s="64">
        <v>128.5</v>
      </c>
      <c r="O104" s="64">
        <v>128.69999999999999</v>
      </c>
      <c r="P104" s="64">
        <v>129</v>
      </c>
      <c r="Q104" s="64">
        <v>126.7</v>
      </c>
      <c r="R104" s="64">
        <v>128</v>
      </c>
      <c r="S104" s="64">
        <v>128</v>
      </c>
      <c r="T104" s="64">
        <v>124.9</v>
      </c>
      <c r="U104" s="64">
        <v>124.9</v>
      </c>
      <c r="V104" s="64">
        <v>127.9</v>
      </c>
      <c r="W104" s="64">
        <v>127.3</v>
      </c>
      <c r="X104" s="64">
        <v>127.3</v>
      </c>
      <c r="Y104" s="64">
        <v>131.30000000000001</v>
      </c>
      <c r="Z104" s="64">
        <v>123.8</v>
      </c>
      <c r="AA104" s="64">
        <v>126.5</v>
      </c>
      <c r="AB104" s="64">
        <v>127.5</v>
      </c>
      <c r="AC104" s="64">
        <v>127.3</v>
      </c>
      <c r="AD104" s="64">
        <v>123.9</v>
      </c>
      <c r="AE104" s="64">
        <v>126.1</v>
      </c>
      <c r="AF104" s="64">
        <v>128.1</v>
      </c>
      <c r="AG104" s="104"/>
      <c r="AH104" s="47">
        <f t="shared" si="13"/>
        <v>132</v>
      </c>
      <c r="AI104" s="48">
        <f t="shared" si="14"/>
        <v>123.8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3"/>
        <v>0</v>
      </c>
      <c r="AI105" s="48">
        <f t="shared" si="14"/>
        <v>0</v>
      </c>
    </row>
    <row r="106" spans="1:37" x14ac:dyDescent="0.25">
      <c r="A106" s="105" t="s">
        <v>122</v>
      </c>
      <c r="B106" s="106">
        <v>128.69999999999999</v>
      </c>
      <c r="C106" s="106">
        <v>130.19999999999999</v>
      </c>
      <c r="D106" s="106">
        <v>131.30000000000001</v>
      </c>
      <c r="E106" s="106">
        <v>134.69999999999999</v>
      </c>
      <c r="F106" s="106">
        <v>132.4</v>
      </c>
      <c r="G106" s="106">
        <v>131.1</v>
      </c>
      <c r="H106" s="106">
        <v>129.69999999999999</v>
      </c>
      <c r="I106" s="106">
        <v>132.30000000000001</v>
      </c>
      <c r="J106" s="106">
        <v>132.30000000000001</v>
      </c>
      <c r="K106" s="106">
        <v>129.30000000000001</v>
      </c>
      <c r="L106" s="106">
        <v>132</v>
      </c>
      <c r="M106" s="106">
        <v>128.19999999999999</v>
      </c>
      <c r="N106" s="106">
        <v>128.19999999999999</v>
      </c>
      <c r="O106" s="106">
        <v>130.30000000000001</v>
      </c>
      <c r="P106" s="106">
        <v>125.8</v>
      </c>
      <c r="Q106" s="106">
        <v>127.5</v>
      </c>
      <c r="R106" s="106">
        <v>127.8</v>
      </c>
      <c r="S106" s="106">
        <v>127.8</v>
      </c>
      <c r="T106" s="106">
        <v>132.30000000000001</v>
      </c>
      <c r="U106" s="106">
        <v>132.30000000000001</v>
      </c>
      <c r="V106" s="106">
        <v>132.19999999999999</v>
      </c>
      <c r="W106" s="106">
        <v>129.69999999999999</v>
      </c>
      <c r="X106" s="106">
        <v>129.69999999999999</v>
      </c>
      <c r="Y106" s="106">
        <v>133.9</v>
      </c>
      <c r="Z106" s="106">
        <v>134.80000000000001</v>
      </c>
      <c r="AA106" s="106">
        <v>134.1</v>
      </c>
      <c r="AB106" s="106">
        <v>129.69999999999999</v>
      </c>
      <c r="AC106" s="106">
        <v>128.5</v>
      </c>
      <c r="AD106" s="106">
        <v>130</v>
      </c>
      <c r="AE106" s="106">
        <v>130.9</v>
      </c>
      <c r="AF106" s="106">
        <v>127.6</v>
      </c>
      <c r="AG106" s="107"/>
      <c r="AH106" s="47">
        <f t="shared" si="13"/>
        <v>134.80000000000001</v>
      </c>
      <c r="AI106" s="48">
        <f t="shared" si="14"/>
        <v>125.8</v>
      </c>
    </row>
    <row r="107" spans="1:37" x14ac:dyDescent="0.25">
      <c r="A107" s="103" t="s">
        <v>123</v>
      </c>
      <c r="B107" s="64">
        <v>127.8</v>
      </c>
      <c r="C107" s="64">
        <v>134</v>
      </c>
      <c r="D107" s="64">
        <v>128.6</v>
      </c>
      <c r="E107" s="64">
        <v>134</v>
      </c>
      <c r="F107" s="64">
        <v>131.19999999999999</v>
      </c>
      <c r="G107" s="64">
        <v>129.4</v>
      </c>
      <c r="H107" s="64">
        <v>128.5</v>
      </c>
      <c r="I107" s="64">
        <v>131</v>
      </c>
      <c r="J107" s="64">
        <v>131</v>
      </c>
      <c r="K107" s="64">
        <v>130</v>
      </c>
      <c r="L107" s="64">
        <v>134</v>
      </c>
      <c r="M107" s="64">
        <v>127.1</v>
      </c>
      <c r="N107" s="64">
        <v>127.1</v>
      </c>
      <c r="O107" s="64">
        <v>130.9</v>
      </c>
      <c r="P107" s="64">
        <v>126.6</v>
      </c>
      <c r="Q107" s="64">
        <v>128.80000000000001</v>
      </c>
      <c r="R107" s="64">
        <v>127.6</v>
      </c>
      <c r="S107" s="64">
        <v>127.6</v>
      </c>
      <c r="T107" s="64">
        <v>133.30000000000001</v>
      </c>
      <c r="U107" s="64">
        <v>133.30000000000001</v>
      </c>
      <c r="V107" s="64">
        <v>134.19999999999999</v>
      </c>
      <c r="W107" s="64">
        <v>131.69999999999999</v>
      </c>
      <c r="X107" s="64">
        <v>131.69999999999999</v>
      </c>
      <c r="Y107" s="64">
        <v>131.4</v>
      </c>
      <c r="Z107" s="64">
        <v>127.1</v>
      </c>
      <c r="AA107" s="64">
        <v>127.6</v>
      </c>
      <c r="AB107" s="64">
        <v>125.4</v>
      </c>
      <c r="AC107" s="64">
        <v>127.5</v>
      </c>
      <c r="AD107" s="64">
        <v>132.69999999999999</v>
      </c>
      <c r="AE107" s="64">
        <v>132.1</v>
      </c>
      <c r="AF107" s="64"/>
      <c r="AG107" s="104"/>
      <c r="AH107" s="47">
        <f t="shared" si="13"/>
        <v>134.19999999999999</v>
      </c>
      <c r="AI107" s="48">
        <f t="shared" si="14"/>
        <v>125.4</v>
      </c>
    </row>
    <row r="108" spans="1:37" ht="15.75" thickBot="1" x14ac:dyDescent="0.3">
      <c r="A108" s="103" t="s">
        <v>124</v>
      </c>
      <c r="B108" s="92">
        <v>64.400000000000006</v>
      </c>
      <c r="C108" s="92">
        <v>64.3</v>
      </c>
      <c r="D108" s="92">
        <v>64</v>
      </c>
      <c r="E108" s="92">
        <v>64</v>
      </c>
      <c r="F108" s="92">
        <v>65</v>
      </c>
      <c r="G108" s="92">
        <v>64.7</v>
      </c>
      <c r="H108" s="92">
        <v>64.900000000000006</v>
      </c>
      <c r="I108" s="92">
        <v>64.3</v>
      </c>
      <c r="J108" s="92">
        <v>63.9</v>
      </c>
      <c r="K108" s="92">
        <v>63.4</v>
      </c>
      <c r="L108" s="92">
        <v>63</v>
      </c>
      <c r="M108" s="92">
        <v>62.8</v>
      </c>
      <c r="N108" s="92">
        <v>62.8</v>
      </c>
      <c r="O108" s="92">
        <v>60.9</v>
      </c>
      <c r="P108" s="92">
        <v>60.9</v>
      </c>
      <c r="Q108" s="92">
        <v>61.7</v>
      </c>
      <c r="R108" s="92">
        <v>61.1</v>
      </c>
      <c r="S108" s="92">
        <v>61.1</v>
      </c>
      <c r="T108" s="92">
        <v>62</v>
      </c>
      <c r="U108" s="92">
        <v>62</v>
      </c>
      <c r="V108" s="92">
        <v>63</v>
      </c>
      <c r="W108" s="92">
        <v>63</v>
      </c>
      <c r="X108" s="92">
        <v>63</v>
      </c>
      <c r="Y108" s="92">
        <v>64.3</v>
      </c>
      <c r="Z108" s="92">
        <v>64.3</v>
      </c>
      <c r="AA108" s="92">
        <v>64</v>
      </c>
      <c r="AB108" s="92">
        <v>63.7</v>
      </c>
      <c r="AC108" s="92">
        <v>64.400000000000006</v>
      </c>
      <c r="AD108" s="92">
        <v>63.9</v>
      </c>
      <c r="AE108" s="92">
        <v>64.099999999999994</v>
      </c>
      <c r="AF108" s="92">
        <v>63.9</v>
      </c>
      <c r="AG108" s="108"/>
      <c r="AH108" s="47">
        <f t="shared" si="13"/>
        <v>65</v>
      </c>
      <c r="AI108" s="48">
        <f t="shared" si="14"/>
        <v>60.9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3"/>
        <v>0</v>
      </c>
      <c r="AI109" s="48">
        <f t="shared" si="14"/>
        <v>0</v>
      </c>
    </row>
    <row r="110" spans="1:37" ht="15.75" thickBot="1" x14ac:dyDescent="0.3">
      <c r="A110" s="110" t="s">
        <v>126</v>
      </c>
      <c r="B110" s="111">
        <f t="shared" ref="B110" si="25">SUM(B20,B26,B29:B30,B58,B60:B61,B63,B65,B111:B115,B138,B144,B150,B159,B161,B173,B180,B183:B184,B191,B193,B195,B199:B201,B203:B205,B210,B216:B217,B219:B221,B229,B234)</f>
        <v>97.999999999999972</v>
      </c>
      <c r="C110" s="111">
        <f t="shared" ref="C110:O110" si="26">SUM(C20,C26,C29:C30,C58,C60:C61,C63,C65,C111:C115,C138,C144,C150,C159,C161,C173,C180,C183:C184,C191,C193,C195,C199:C201,C203:C205,C210,C216:C217,C219:C221,C229,C234)</f>
        <v>73.34</v>
      </c>
      <c r="D110" s="111">
        <f t="shared" si="26"/>
        <v>73.839999999999947</v>
      </c>
      <c r="E110" s="111">
        <f t="shared" si="26"/>
        <v>61.04</v>
      </c>
      <c r="F110" s="111">
        <f t="shared" si="26"/>
        <v>47.839999999999989</v>
      </c>
      <c r="G110" s="111">
        <f t="shared" si="26"/>
        <v>76.139999999999972</v>
      </c>
      <c r="H110" s="111">
        <f t="shared" si="26"/>
        <v>95.24</v>
      </c>
      <c r="I110" s="111">
        <f t="shared" si="26"/>
        <v>122.03999999999998</v>
      </c>
      <c r="J110" s="111">
        <f t="shared" si="26"/>
        <v>143.14000000000001</v>
      </c>
      <c r="K110" s="111">
        <f t="shared" si="26"/>
        <v>169.74</v>
      </c>
      <c r="L110" s="111">
        <f t="shared" si="26"/>
        <v>201.44000000000003</v>
      </c>
      <c r="M110" s="111">
        <f t="shared" si="26"/>
        <v>220.34000000000003</v>
      </c>
      <c r="N110" s="111">
        <f t="shared" si="26"/>
        <v>220.34000000000003</v>
      </c>
      <c r="O110" s="111">
        <f t="shared" si="26"/>
        <v>194.92000000000002</v>
      </c>
      <c r="P110" s="111">
        <v>42</v>
      </c>
      <c r="Q110" s="111">
        <f t="shared" ref="Q110:AF110" si="27">SUM(Q20,Q26,Q29:Q30,Q58,Q60:Q61,Q63,Q65,Q111:Q115,Q138,Q144,Q150,Q159,Q161,Q173,Q180,Q183:Q184,Q191,Q193,Q195,Q199:Q201,Q203:Q205,Q210,Q216:Q217,Q219:Q221,Q229,Q234)</f>
        <v>211.4</v>
      </c>
      <c r="R110" s="111">
        <f t="shared" si="27"/>
        <v>206.10000000000002</v>
      </c>
      <c r="S110" s="111">
        <f t="shared" si="27"/>
        <v>202.7</v>
      </c>
      <c r="T110" s="111">
        <f t="shared" si="27"/>
        <v>216.59999999999997</v>
      </c>
      <c r="U110" s="111">
        <f t="shared" si="27"/>
        <v>215.5</v>
      </c>
      <c r="V110" s="111">
        <f t="shared" si="27"/>
        <v>195.5</v>
      </c>
      <c r="W110" s="111">
        <f t="shared" si="27"/>
        <v>194.2</v>
      </c>
      <c r="X110" s="111">
        <f t="shared" si="27"/>
        <v>254.20000000000002</v>
      </c>
      <c r="Y110" s="111">
        <f t="shared" si="27"/>
        <v>205.4</v>
      </c>
      <c r="Z110" s="111">
        <f t="shared" si="27"/>
        <v>500.70000000000005</v>
      </c>
      <c r="AA110" s="111">
        <f t="shared" si="27"/>
        <v>439.40000000000003</v>
      </c>
      <c r="AB110" s="111">
        <f t="shared" si="27"/>
        <v>203.3</v>
      </c>
      <c r="AC110" s="111">
        <f t="shared" si="27"/>
        <v>180.20000000000005</v>
      </c>
      <c r="AD110" s="111"/>
      <c r="AE110" s="111">
        <f t="shared" si="27"/>
        <v>111.5</v>
      </c>
      <c r="AF110" s="111">
        <f t="shared" si="27"/>
        <v>83.9</v>
      </c>
      <c r="AG110" s="112"/>
      <c r="AH110" s="47">
        <f t="shared" si="13"/>
        <v>500.70000000000005</v>
      </c>
      <c r="AI110" s="48">
        <f t="shared" si="14"/>
        <v>42</v>
      </c>
    </row>
    <row r="111" spans="1:37" x14ac:dyDescent="0.25">
      <c r="A111" s="100" t="s">
        <v>127</v>
      </c>
      <c r="B111" s="113">
        <v>37.299999999999997</v>
      </c>
      <c r="C111" s="113">
        <v>42.8</v>
      </c>
      <c r="D111" s="113">
        <v>47.1</v>
      </c>
      <c r="E111" s="113">
        <v>39.1</v>
      </c>
      <c r="F111" s="113">
        <v>47.7</v>
      </c>
      <c r="G111" s="113">
        <v>39.1</v>
      </c>
      <c r="H111" s="113">
        <v>42.1</v>
      </c>
      <c r="I111" s="113">
        <v>49.4</v>
      </c>
      <c r="J111" s="113">
        <v>46.9</v>
      </c>
      <c r="K111" s="113">
        <v>42.2</v>
      </c>
      <c r="L111" s="113">
        <v>49.4</v>
      </c>
      <c r="M111" s="113">
        <v>51.9</v>
      </c>
      <c r="N111" s="113">
        <v>51.9</v>
      </c>
      <c r="O111" s="113">
        <v>49.98</v>
      </c>
      <c r="P111" s="113">
        <v>42.5</v>
      </c>
      <c r="Q111" s="113">
        <v>35.6</v>
      </c>
      <c r="R111" s="113">
        <v>36.700000000000003</v>
      </c>
      <c r="S111" s="113">
        <v>36.200000000000003</v>
      </c>
      <c r="T111" s="113">
        <v>42.9</v>
      </c>
      <c r="U111" s="113">
        <v>42.9</v>
      </c>
      <c r="V111" s="113">
        <v>42.1</v>
      </c>
      <c r="W111" s="113">
        <v>64.8</v>
      </c>
      <c r="X111" s="113">
        <v>64.8</v>
      </c>
      <c r="Y111" s="113">
        <v>47.3</v>
      </c>
      <c r="Z111" s="113">
        <v>53.8</v>
      </c>
      <c r="AA111" s="113">
        <v>39.299999999999997</v>
      </c>
      <c r="AB111" s="113">
        <v>60.9</v>
      </c>
      <c r="AC111" s="113">
        <v>65.3</v>
      </c>
      <c r="AD111" s="113">
        <v>60</v>
      </c>
      <c r="AE111" s="113">
        <v>49.8</v>
      </c>
      <c r="AF111" s="113">
        <v>40.4</v>
      </c>
      <c r="AG111" s="114">
        <v>75</v>
      </c>
      <c r="AH111" s="47">
        <f t="shared" si="13"/>
        <v>65.3</v>
      </c>
      <c r="AI111" s="48">
        <f t="shared" si="14"/>
        <v>35.6</v>
      </c>
    </row>
    <row r="112" spans="1:37" x14ac:dyDescent="0.25">
      <c r="A112" s="103" t="s">
        <v>128</v>
      </c>
      <c r="B112" s="115">
        <v>61.4</v>
      </c>
      <c r="C112" s="115">
        <v>72.8</v>
      </c>
      <c r="D112" s="115">
        <v>81.099999999999994</v>
      </c>
      <c r="E112" s="115">
        <v>67.3</v>
      </c>
      <c r="F112" s="115">
        <v>76</v>
      </c>
      <c r="G112" s="115">
        <v>65.7</v>
      </c>
      <c r="H112" s="115">
        <v>70</v>
      </c>
      <c r="I112" s="115">
        <v>78.900000000000006</v>
      </c>
      <c r="J112" s="115">
        <v>77.3</v>
      </c>
      <c r="K112" s="115">
        <v>70.2</v>
      </c>
      <c r="L112" s="115">
        <v>73.599999999999994</v>
      </c>
      <c r="M112" s="115">
        <v>80.599999999999994</v>
      </c>
      <c r="N112" s="115">
        <v>80.599999999999994</v>
      </c>
      <c r="O112" s="115">
        <v>64.900000000000006</v>
      </c>
      <c r="P112" s="115">
        <v>61.1</v>
      </c>
      <c r="Q112" s="115">
        <v>52.3</v>
      </c>
      <c r="R112" s="115">
        <v>53.8</v>
      </c>
      <c r="S112" s="115">
        <v>53.2</v>
      </c>
      <c r="T112" s="115">
        <v>61.1</v>
      </c>
      <c r="U112" s="115">
        <v>61.1</v>
      </c>
      <c r="V112" s="115">
        <v>61.1</v>
      </c>
      <c r="W112" s="115">
        <v>95.6</v>
      </c>
      <c r="X112" s="115">
        <v>95.6</v>
      </c>
      <c r="Y112" s="115">
        <v>70.3</v>
      </c>
      <c r="Z112" s="115">
        <v>80.3</v>
      </c>
      <c r="AA112" s="115">
        <v>60.7</v>
      </c>
      <c r="AB112" s="115">
        <v>92.3</v>
      </c>
      <c r="AC112" s="115">
        <v>96.8</v>
      </c>
      <c r="AD112" s="115">
        <v>91.5</v>
      </c>
      <c r="AE112" s="115">
        <v>76.400000000000006</v>
      </c>
      <c r="AF112" s="115">
        <v>67</v>
      </c>
      <c r="AG112" s="114">
        <v>240</v>
      </c>
      <c r="AH112" s="47">
        <f t="shared" si="13"/>
        <v>96.8</v>
      </c>
      <c r="AI112" s="48">
        <f t="shared" si="14"/>
        <v>52.3</v>
      </c>
    </row>
    <row r="113" spans="1:37" x14ac:dyDescent="0.25">
      <c r="A113" s="103" t="s">
        <v>129</v>
      </c>
      <c r="B113" s="115">
        <f>-91.3-89.8</f>
        <v>-181.1</v>
      </c>
      <c r="C113" s="115">
        <f>-93.8-97.6</f>
        <v>-191.39999999999998</v>
      </c>
      <c r="D113" s="115">
        <f>-101.2-105.9</f>
        <v>-207.10000000000002</v>
      </c>
      <c r="E113" s="115">
        <v>-179</v>
      </c>
      <c r="F113" s="115">
        <v>-190</v>
      </c>
      <c r="G113" s="115">
        <v>-168</v>
      </c>
      <c r="H113" s="115">
        <v>-166.1</v>
      </c>
      <c r="I113" s="115">
        <v>-160</v>
      </c>
      <c r="J113" s="115">
        <v>-152</v>
      </c>
      <c r="K113" s="115">
        <v>-118</v>
      </c>
      <c r="L113" s="115">
        <v>-98</v>
      </c>
      <c r="M113" s="115">
        <v>-136</v>
      </c>
      <c r="N113" s="115">
        <v>-136</v>
      </c>
      <c r="O113" s="115">
        <v>-130</v>
      </c>
      <c r="P113" s="115">
        <v>-134</v>
      </c>
      <c r="Q113" s="115">
        <v>-108</v>
      </c>
      <c r="R113" s="115">
        <v>-115</v>
      </c>
      <c r="S113" s="115">
        <v>-123.6</v>
      </c>
      <c r="T113" s="115">
        <v>-77.2</v>
      </c>
      <c r="U113" s="115">
        <v>-77.2</v>
      </c>
      <c r="V113" s="115">
        <v>-97.8</v>
      </c>
      <c r="W113" s="115">
        <v>-135.19999999999999</v>
      </c>
      <c r="X113" s="115">
        <v>-135.19999999999999</v>
      </c>
      <c r="Y113" s="115">
        <v>-137.9</v>
      </c>
      <c r="Z113" s="115">
        <v>131</v>
      </c>
      <c r="AA113" s="115">
        <v>97.8</v>
      </c>
      <c r="AB113" s="115">
        <v>-128</v>
      </c>
      <c r="AC113" s="115">
        <v>-167</v>
      </c>
      <c r="AD113" s="115">
        <v>-169</v>
      </c>
      <c r="AE113" s="115">
        <v>-182</v>
      </c>
      <c r="AF113" s="115">
        <v>-197</v>
      </c>
      <c r="AG113" s="114">
        <v>240</v>
      </c>
      <c r="AH113" s="47">
        <f t="shared" si="13"/>
        <v>131</v>
      </c>
      <c r="AI113" s="48">
        <f t="shared" si="14"/>
        <v>-207.10000000000002</v>
      </c>
    </row>
    <row r="114" spans="1:37" x14ac:dyDescent="0.25">
      <c r="A114" s="103" t="s">
        <v>130</v>
      </c>
      <c r="B114" s="115">
        <v>0</v>
      </c>
      <c r="C114" s="115">
        <v>-14.4</v>
      </c>
      <c r="D114" s="115">
        <v>-21.8</v>
      </c>
      <c r="E114" s="115">
        <v>-20.399999999999999</v>
      </c>
      <c r="F114" s="115">
        <v>-15.2</v>
      </c>
      <c r="G114" s="115">
        <v>-15.5</v>
      </c>
      <c r="H114" s="115">
        <v>-9.8000000000000007</v>
      </c>
      <c r="I114" s="115">
        <v>-4.5</v>
      </c>
      <c r="J114" s="115">
        <v>-1.7</v>
      </c>
      <c r="K114" s="115">
        <v>4.4000000000000004</v>
      </c>
      <c r="L114" s="115">
        <v>2.9</v>
      </c>
      <c r="M114" s="115">
        <v>0</v>
      </c>
      <c r="N114" s="115">
        <v>0</v>
      </c>
      <c r="O114" s="115">
        <v>12</v>
      </c>
      <c r="P114" s="115">
        <v>14.2</v>
      </c>
      <c r="Q114" s="115">
        <v>19.5</v>
      </c>
      <c r="R114" s="115">
        <v>18.100000000000001</v>
      </c>
      <c r="S114" s="115">
        <v>21.5</v>
      </c>
      <c r="T114" s="115">
        <v>35.299999999999997</v>
      </c>
      <c r="U114" s="115">
        <v>35.299999999999997</v>
      </c>
      <c r="V114" s="115">
        <v>40.799999999999997</v>
      </c>
      <c r="W114" s="115">
        <v>14.9</v>
      </c>
      <c r="X114" s="115">
        <v>14.9</v>
      </c>
      <c r="Y114" s="115">
        <v>11.1</v>
      </c>
      <c r="Z114" s="115">
        <v>21.3</v>
      </c>
      <c r="AA114" s="115">
        <v>26.3</v>
      </c>
      <c r="AB114" s="115">
        <v>4.3</v>
      </c>
      <c r="AC114" s="115">
        <v>11</v>
      </c>
      <c r="AD114" s="115">
        <v>8.1</v>
      </c>
      <c r="AE114" s="115">
        <v>-8</v>
      </c>
      <c r="AF114" s="115">
        <v>17</v>
      </c>
      <c r="AG114" s="114">
        <v>60</v>
      </c>
      <c r="AH114" s="47">
        <f t="shared" si="13"/>
        <v>40.799999999999997</v>
      </c>
      <c r="AI114" s="48">
        <f t="shared" si="14"/>
        <v>-21.8</v>
      </c>
    </row>
    <row r="115" spans="1:37" x14ac:dyDescent="0.25">
      <c r="A115" s="116" t="s">
        <v>131</v>
      </c>
      <c r="B115" s="117">
        <v>20.5</v>
      </c>
      <c r="C115" s="117">
        <v>8</v>
      </c>
      <c r="D115" s="117">
        <v>20.9</v>
      </c>
      <c r="E115" s="117">
        <v>13</v>
      </c>
      <c r="F115" s="117">
        <v>12.5</v>
      </c>
      <c r="G115" s="117">
        <v>13.3</v>
      </c>
      <c r="H115" s="117">
        <v>13.5</v>
      </c>
      <c r="I115" s="117">
        <v>12.7</v>
      </c>
      <c r="J115" s="117">
        <v>22.6</v>
      </c>
      <c r="K115" s="117">
        <v>20.9</v>
      </c>
      <c r="L115" s="117">
        <v>23.5</v>
      </c>
      <c r="M115" s="117">
        <v>73.8</v>
      </c>
      <c r="N115" s="117">
        <v>73.8</v>
      </c>
      <c r="O115" s="117">
        <v>48</v>
      </c>
      <c r="P115" s="117">
        <v>67.900000000000006</v>
      </c>
      <c r="Q115" s="117">
        <v>62.9</v>
      </c>
      <c r="R115" s="117">
        <v>63.4</v>
      </c>
      <c r="S115" s="117">
        <v>63.9</v>
      </c>
      <c r="T115" s="117">
        <v>63.8</v>
      </c>
      <c r="U115" s="117">
        <v>63.8</v>
      </c>
      <c r="V115" s="117">
        <v>58.9</v>
      </c>
      <c r="W115" s="117">
        <v>62</v>
      </c>
      <c r="X115" s="117">
        <v>62</v>
      </c>
      <c r="Y115" s="117">
        <v>61.6</v>
      </c>
      <c r="Z115" s="117">
        <v>63</v>
      </c>
      <c r="AA115" s="117">
        <v>64</v>
      </c>
      <c r="AB115" s="117">
        <v>22.5</v>
      </c>
      <c r="AC115" s="117">
        <v>22.8</v>
      </c>
      <c r="AD115" s="117">
        <v>23</v>
      </c>
      <c r="AE115" s="117">
        <v>24</v>
      </c>
      <c r="AF115" s="117">
        <v>15</v>
      </c>
      <c r="AG115" s="118">
        <v>120</v>
      </c>
      <c r="AH115" s="47">
        <f t="shared" si="13"/>
        <v>73.8</v>
      </c>
      <c r="AI115" s="48">
        <f t="shared" si="14"/>
        <v>8</v>
      </c>
    </row>
    <row r="116" spans="1:37" x14ac:dyDescent="0.25">
      <c r="A116" s="116" t="s">
        <v>132</v>
      </c>
      <c r="B116" s="117">
        <v>54.1</v>
      </c>
      <c r="C116" s="117">
        <v>58.7</v>
      </c>
      <c r="D116" s="117">
        <v>33.200000000000003</v>
      </c>
      <c r="E116" s="117">
        <v>58.8</v>
      </c>
      <c r="F116" s="117">
        <v>40.9</v>
      </c>
      <c r="G116" s="117">
        <v>52.9</v>
      </c>
      <c r="H116" s="117">
        <v>38.200000000000003</v>
      </c>
      <c r="I116" s="117">
        <v>44.5</v>
      </c>
      <c r="J116" s="117">
        <v>46</v>
      </c>
      <c r="K116" s="117">
        <v>73.2</v>
      </c>
      <c r="L116" s="117">
        <v>81</v>
      </c>
      <c r="M116" s="117">
        <v>59</v>
      </c>
      <c r="N116" s="117">
        <v>59</v>
      </c>
      <c r="O116" s="117">
        <v>55.2</v>
      </c>
      <c r="P116" s="117">
        <v>65</v>
      </c>
      <c r="Q116" s="117">
        <v>66.599999999999994</v>
      </c>
      <c r="R116" s="117">
        <v>74.7</v>
      </c>
      <c r="S116" s="117">
        <v>75.2</v>
      </c>
      <c r="T116" s="117">
        <v>79</v>
      </c>
      <c r="U116" s="117">
        <v>79</v>
      </c>
      <c r="V116" s="117">
        <v>45.5</v>
      </c>
      <c r="W116" s="117">
        <v>61</v>
      </c>
      <c r="X116" s="117">
        <v>61</v>
      </c>
      <c r="Y116" s="117">
        <v>48.4</v>
      </c>
      <c r="Z116" s="117">
        <v>32.4</v>
      </c>
      <c r="AA116" s="117">
        <v>52.6</v>
      </c>
      <c r="AB116" s="117">
        <v>68</v>
      </c>
      <c r="AC116" s="117">
        <v>41</v>
      </c>
      <c r="AD116" s="117">
        <v>47</v>
      </c>
      <c r="AE116" s="117">
        <v>35</v>
      </c>
      <c r="AF116" s="117">
        <v>48</v>
      </c>
      <c r="AG116" s="118"/>
      <c r="AH116" s="47">
        <f t="shared" si="13"/>
        <v>81</v>
      </c>
      <c r="AI116" s="48">
        <f t="shared" si="14"/>
        <v>32.4</v>
      </c>
    </row>
    <row r="117" spans="1:37" x14ac:dyDescent="0.25">
      <c r="A117" s="116" t="s">
        <v>133</v>
      </c>
      <c r="B117" s="117">
        <v>46.9</v>
      </c>
      <c r="C117" s="117">
        <v>41.1</v>
      </c>
      <c r="D117" s="117">
        <v>35</v>
      </c>
      <c r="E117" s="117">
        <v>42.9</v>
      </c>
      <c r="F117" s="117">
        <v>27.5</v>
      </c>
      <c r="G117" s="117">
        <v>42.3</v>
      </c>
      <c r="H117" s="117">
        <v>35.200000000000003</v>
      </c>
      <c r="I117" s="117">
        <v>28.7</v>
      </c>
      <c r="J117" s="117">
        <v>33.6</v>
      </c>
      <c r="K117" s="117">
        <v>38.9</v>
      </c>
      <c r="L117" s="117">
        <v>34.799999999999997</v>
      </c>
      <c r="M117" s="117">
        <v>32.299999999999997</v>
      </c>
      <c r="N117" s="117">
        <v>32.299999999999997</v>
      </c>
      <c r="O117" s="117">
        <v>14.5</v>
      </c>
      <c r="P117" s="117">
        <v>22.8</v>
      </c>
      <c r="Q117" s="117">
        <v>39.6</v>
      </c>
      <c r="R117" s="117">
        <v>41.5</v>
      </c>
      <c r="S117" s="117">
        <v>37.6</v>
      </c>
      <c r="T117" s="117">
        <v>34.4</v>
      </c>
      <c r="U117" s="117">
        <v>34.4</v>
      </c>
      <c r="V117" s="117">
        <v>4.9000000000000004</v>
      </c>
      <c r="W117" s="117">
        <v>0</v>
      </c>
      <c r="X117" s="117">
        <v>0</v>
      </c>
      <c r="Y117" s="117">
        <v>-12.4</v>
      </c>
      <c r="Z117" s="117">
        <v>9.3000000000000007</v>
      </c>
      <c r="AA117" s="117">
        <v>18</v>
      </c>
      <c r="AB117" s="117">
        <v>2.5</v>
      </c>
      <c r="AC117" s="117">
        <v>4.0999999999999996</v>
      </c>
      <c r="AD117" s="117">
        <v>-2.1</v>
      </c>
      <c r="AE117" s="117">
        <v>-13</v>
      </c>
      <c r="AF117" s="117">
        <v>-16</v>
      </c>
      <c r="AG117" s="119"/>
      <c r="AH117" s="47">
        <f t="shared" si="13"/>
        <v>46.9</v>
      </c>
      <c r="AI117" s="48">
        <f t="shared" si="14"/>
        <v>-16</v>
      </c>
    </row>
    <row r="118" spans="1:37" x14ac:dyDescent="0.25">
      <c r="A118" s="120" t="s">
        <v>134</v>
      </c>
      <c r="B118" s="106">
        <v>32.700000000000003</v>
      </c>
      <c r="C118" s="106">
        <v>34.700000000000003</v>
      </c>
      <c r="D118" s="106">
        <v>36.200000000000003</v>
      </c>
      <c r="E118" s="106">
        <v>40.1</v>
      </c>
      <c r="F118" s="106">
        <v>41</v>
      </c>
      <c r="G118" s="106">
        <v>44.3</v>
      </c>
      <c r="H118" s="106">
        <v>57.8</v>
      </c>
      <c r="I118" s="106">
        <v>50.6</v>
      </c>
      <c r="J118" s="106">
        <v>51.6</v>
      </c>
      <c r="K118" s="106">
        <v>45.3</v>
      </c>
      <c r="L118" s="106">
        <v>43.8</v>
      </c>
      <c r="M118" s="106">
        <v>39.4</v>
      </c>
      <c r="N118" s="106">
        <v>39.4</v>
      </c>
      <c r="O118" s="106">
        <v>44.6</v>
      </c>
      <c r="P118" s="106">
        <v>40.799999999999997</v>
      </c>
      <c r="Q118" s="106">
        <v>41.9</v>
      </c>
      <c r="R118" s="106">
        <v>26.8</v>
      </c>
      <c r="S118" s="106">
        <v>79.3</v>
      </c>
      <c r="T118" s="106">
        <v>18.5</v>
      </c>
      <c r="U118" s="106">
        <v>18.5</v>
      </c>
      <c r="V118" s="106">
        <v>15.8</v>
      </c>
      <c r="W118" s="106">
        <v>23.8</v>
      </c>
      <c r="X118" s="106">
        <v>23.8</v>
      </c>
      <c r="Y118" s="106">
        <v>20.9</v>
      </c>
      <c r="Z118" s="106">
        <v>10.5</v>
      </c>
      <c r="AA118" s="106">
        <v>10.3</v>
      </c>
      <c r="AB118" s="106">
        <v>14</v>
      </c>
      <c r="AC118" s="106">
        <v>7.5</v>
      </c>
      <c r="AD118" s="106">
        <v>16</v>
      </c>
      <c r="AE118" s="106">
        <v>25.3</v>
      </c>
      <c r="AF118" s="106">
        <v>30</v>
      </c>
      <c r="AG118" s="119"/>
      <c r="AH118" s="47">
        <f t="shared" si="13"/>
        <v>79.3</v>
      </c>
      <c r="AI118" s="48">
        <f t="shared" si="14"/>
        <v>7.5</v>
      </c>
    </row>
    <row r="119" spans="1:37" x14ac:dyDescent="0.25">
      <c r="A119" s="121" t="s">
        <v>135</v>
      </c>
      <c r="B119" s="106">
        <v>94.8</v>
      </c>
      <c r="C119" s="106">
        <v>91.5</v>
      </c>
      <c r="D119" s="106">
        <v>104.9</v>
      </c>
      <c r="E119" s="106">
        <v>92.3</v>
      </c>
      <c r="F119" s="106">
        <v>98</v>
      </c>
      <c r="G119" s="106">
        <v>85.6</v>
      </c>
      <c r="H119" s="106">
        <v>85.2</v>
      </c>
      <c r="I119" s="106">
        <v>80</v>
      </c>
      <c r="J119" s="106">
        <v>72.8</v>
      </c>
      <c r="K119" s="106">
        <v>51.8</v>
      </c>
      <c r="L119" s="106">
        <v>48.9</v>
      </c>
      <c r="M119" s="106">
        <v>67.7</v>
      </c>
      <c r="N119" s="106">
        <v>67.7</v>
      </c>
      <c r="O119" s="106">
        <v>68.099999999999994</v>
      </c>
      <c r="P119" s="106">
        <v>66.8</v>
      </c>
      <c r="Q119" s="106">
        <v>61.5</v>
      </c>
      <c r="R119" s="106">
        <v>66.5</v>
      </c>
      <c r="S119" s="106">
        <v>58.7</v>
      </c>
      <c r="T119" s="106">
        <v>50.4</v>
      </c>
      <c r="U119" s="106">
        <v>50.4</v>
      </c>
      <c r="V119" s="106">
        <v>72.599999999999994</v>
      </c>
      <c r="W119" s="106">
        <v>66.5</v>
      </c>
      <c r="X119" s="106">
        <v>66.5</v>
      </c>
      <c r="Y119" s="106">
        <v>65.400000000000006</v>
      </c>
      <c r="Z119" s="106">
        <v>68.099999999999994</v>
      </c>
      <c r="AA119" s="106">
        <v>58.6</v>
      </c>
      <c r="AB119" s="106"/>
      <c r="AC119" s="106">
        <v>89</v>
      </c>
      <c r="AD119" s="106">
        <v>84</v>
      </c>
      <c r="AE119" s="106">
        <v>94</v>
      </c>
      <c r="AF119" s="106">
        <v>96</v>
      </c>
      <c r="AG119" s="119"/>
      <c r="AH119" s="47">
        <f t="shared" si="13"/>
        <v>104.9</v>
      </c>
      <c r="AI119" s="48">
        <f t="shared" si="14"/>
        <v>48.9</v>
      </c>
    </row>
    <row r="120" spans="1:37" ht="15.75" thickBot="1" x14ac:dyDescent="0.3">
      <c r="A120" s="120" t="s">
        <v>136</v>
      </c>
      <c r="B120" s="106">
        <v>48.9</v>
      </c>
      <c r="C120" s="106">
        <v>42.2</v>
      </c>
      <c r="D120" s="106">
        <v>40.700000000000003</v>
      </c>
      <c r="E120" s="106">
        <v>32.299999999999997</v>
      </c>
      <c r="F120" s="106">
        <v>12.8</v>
      </c>
      <c r="G120" s="106">
        <v>4.5999999999999996</v>
      </c>
      <c r="H120" s="106">
        <v>-1.9</v>
      </c>
      <c r="I120" s="106">
        <v>-6.8</v>
      </c>
      <c r="J120" s="106">
        <v>-4.9000000000000004</v>
      </c>
      <c r="K120" s="106">
        <v>-16.899999999999999</v>
      </c>
      <c r="L120" s="106">
        <v>21.2</v>
      </c>
      <c r="M120" s="106">
        <v>33.700000000000003</v>
      </c>
      <c r="N120" s="106">
        <v>33.700000000000003</v>
      </c>
      <c r="O120" s="106">
        <v>28.7</v>
      </c>
      <c r="P120" s="106">
        <v>11.3</v>
      </c>
      <c r="Q120" s="106">
        <v>10.3</v>
      </c>
      <c r="R120" s="106">
        <v>33.799999999999997</v>
      </c>
      <c r="S120" s="106">
        <v>34.4</v>
      </c>
      <c r="T120" s="106">
        <v>44.4</v>
      </c>
      <c r="U120" s="106">
        <v>44.4</v>
      </c>
      <c r="V120" s="106">
        <v>30.4</v>
      </c>
      <c r="W120" s="106">
        <v>31.6</v>
      </c>
      <c r="X120" s="106">
        <v>31.6</v>
      </c>
      <c r="Y120" s="106">
        <v>28.8</v>
      </c>
      <c r="Z120" s="106">
        <v>42.2</v>
      </c>
      <c r="AA120" s="106">
        <v>40.6</v>
      </c>
      <c r="AB120" s="106"/>
      <c r="AC120" s="106">
        <v>56</v>
      </c>
      <c r="AD120" s="106">
        <v>52</v>
      </c>
      <c r="AE120" s="106">
        <v>52</v>
      </c>
      <c r="AF120" s="106">
        <v>38</v>
      </c>
      <c r="AG120" s="119"/>
      <c r="AH120" s="47">
        <f t="shared" si="13"/>
        <v>56</v>
      </c>
      <c r="AI120" s="48">
        <f t="shared" si="14"/>
        <v>-16.899999999999999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28">SUM(B122:B226)</f>
        <v>0</v>
      </c>
      <c r="C227" s="137">
        <f t="shared" si="28"/>
        <v>0</v>
      </c>
      <c r="D227" s="137">
        <f t="shared" si="28"/>
        <v>0</v>
      </c>
      <c r="E227" s="137">
        <f t="shared" si="28"/>
        <v>0</v>
      </c>
      <c r="F227" s="137">
        <f t="shared" si="28"/>
        <v>0</v>
      </c>
      <c r="G227" s="137">
        <f t="shared" si="28"/>
        <v>0</v>
      </c>
      <c r="H227" s="137">
        <f t="shared" si="28"/>
        <v>0</v>
      </c>
      <c r="I227" s="137">
        <f t="shared" si="28"/>
        <v>0</v>
      </c>
      <c r="J227" s="137">
        <f t="shared" si="28"/>
        <v>0</v>
      </c>
      <c r="K227" s="137">
        <f t="shared" si="28"/>
        <v>0</v>
      </c>
      <c r="L227" s="137">
        <f t="shared" si="28"/>
        <v>0</v>
      </c>
      <c r="M227" s="137">
        <f t="shared" si="28"/>
        <v>0</v>
      </c>
      <c r="N227" s="137">
        <f t="shared" si="28"/>
        <v>0</v>
      </c>
      <c r="O227" s="137">
        <f t="shared" si="28"/>
        <v>0</v>
      </c>
      <c r="P227" s="137">
        <f t="shared" si="28"/>
        <v>0</v>
      </c>
      <c r="Q227" s="137">
        <f t="shared" si="28"/>
        <v>0</v>
      </c>
      <c r="R227" s="137">
        <f t="shared" si="28"/>
        <v>0</v>
      </c>
      <c r="S227" s="137">
        <f t="shared" si="28"/>
        <v>0</v>
      </c>
      <c r="T227" s="137">
        <f t="shared" si="28"/>
        <v>0</v>
      </c>
      <c r="U227" s="137">
        <f t="shared" si="28"/>
        <v>0</v>
      </c>
      <c r="V227" s="137">
        <f t="shared" si="28"/>
        <v>0</v>
      </c>
      <c r="W227" s="137">
        <f t="shared" si="28"/>
        <v>0</v>
      </c>
      <c r="X227" s="137">
        <f t="shared" si="28"/>
        <v>0</v>
      </c>
      <c r="Y227" s="137">
        <f t="shared" si="28"/>
        <v>0</v>
      </c>
      <c r="Z227" s="137">
        <f t="shared" si="28"/>
        <v>0</v>
      </c>
      <c r="AA227" s="137">
        <f t="shared" si="28"/>
        <v>0</v>
      </c>
      <c r="AB227" s="137">
        <f t="shared" si="28"/>
        <v>0</v>
      </c>
      <c r="AC227" s="137">
        <f t="shared" si="28"/>
        <v>0</v>
      </c>
      <c r="AD227" s="137">
        <f t="shared" si="28"/>
        <v>0</v>
      </c>
      <c r="AE227" s="137">
        <f t="shared" si="28"/>
        <v>0</v>
      </c>
      <c r="AF227" s="138">
        <f t="shared" si="28"/>
        <v>0</v>
      </c>
      <c r="AG227" s="139">
        <f t="shared" si="28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29">AF229</f>
        <v>0</v>
      </c>
      <c r="C229" s="141">
        <v>0.3</v>
      </c>
      <c r="D229" s="141">
        <f t="shared" ref="D229:P234" si="30">C229</f>
        <v>0.3</v>
      </c>
      <c r="E229" s="141">
        <f t="shared" si="30"/>
        <v>0.3</v>
      </c>
      <c r="F229" s="141">
        <f t="shared" si="30"/>
        <v>0.3</v>
      </c>
      <c r="G229" s="141">
        <f t="shared" si="30"/>
        <v>0.3</v>
      </c>
      <c r="H229" s="141">
        <f t="shared" si="30"/>
        <v>0.3</v>
      </c>
      <c r="I229" s="141">
        <f t="shared" si="30"/>
        <v>0.3</v>
      </c>
      <c r="J229" s="141">
        <f t="shared" si="30"/>
        <v>0.3</v>
      </c>
      <c r="K229" s="141">
        <f t="shared" si="30"/>
        <v>0.3</v>
      </c>
      <c r="L229" s="141">
        <f t="shared" si="30"/>
        <v>0.3</v>
      </c>
      <c r="M229" s="141">
        <f t="shared" si="30"/>
        <v>0.3</v>
      </c>
      <c r="N229" s="141">
        <f t="shared" si="30"/>
        <v>0.3</v>
      </c>
      <c r="O229" s="141">
        <f t="shared" si="30"/>
        <v>0.3</v>
      </c>
      <c r="P229" s="141">
        <f t="shared" si="30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29"/>
        <v>0</v>
      </c>
      <c r="C230" s="129">
        <v>0.4</v>
      </c>
      <c r="D230" s="129">
        <f t="shared" si="30"/>
        <v>0.4</v>
      </c>
      <c r="E230" s="129">
        <f t="shared" si="30"/>
        <v>0.4</v>
      </c>
      <c r="F230" s="129">
        <f t="shared" si="30"/>
        <v>0.4</v>
      </c>
      <c r="G230" s="129">
        <f t="shared" si="30"/>
        <v>0.4</v>
      </c>
      <c r="H230" s="129">
        <f t="shared" si="30"/>
        <v>0.4</v>
      </c>
      <c r="I230" s="129">
        <f t="shared" si="30"/>
        <v>0.4</v>
      </c>
      <c r="J230" s="129">
        <f t="shared" si="30"/>
        <v>0.4</v>
      </c>
      <c r="K230" s="129">
        <f t="shared" si="30"/>
        <v>0.4</v>
      </c>
      <c r="L230" s="129">
        <f t="shared" si="30"/>
        <v>0.4</v>
      </c>
      <c r="M230" s="129">
        <f t="shared" si="30"/>
        <v>0.4</v>
      </c>
      <c r="N230" s="129">
        <f t="shared" si="30"/>
        <v>0.4</v>
      </c>
      <c r="O230" s="129">
        <f t="shared" si="30"/>
        <v>0.4</v>
      </c>
      <c r="P230" s="129">
        <f t="shared" si="30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29"/>
        <v>0</v>
      </c>
      <c r="C231" s="129">
        <v>1.5</v>
      </c>
      <c r="D231" s="129">
        <f t="shared" si="30"/>
        <v>1.5</v>
      </c>
      <c r="E231" s="129">
        <f t="shared" si="30"/>
        <v>1.5</v>
      </c>
      <c r="F231" s="129">
        <f t="shared" si="30"/>
        <v>1.5</v>
      </c>
      <c r="G231" s="129">
        <f t="shared" si="30"/>
        <v>1.5</v>
      </c>
      <c r="H231" s="129">
        <f t="shared" si="30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30"/>
        <v>123.21900000000009</v>
      </c>
      <c r="K231" s="129">
        <f t="shared" ca="1" si="30"/>
        <v>123.21900000000009</v>
      </c>
      <c r="L231" s="129">
        <f t="shared" ca="1" si="30"/>
        <v>123.21900000000009</v>
      </c>
      <c r="M231" s="129">
        <f t="shared" ca="1" si="30"/>
        <v>119.19900000000008</v>
      </c>
      <c r="N231" s="129">
        <f t="shared" ca="1" si="30"/>
        <v>119.19900000000008</v>
      </c>
      <c r="O231" s="129">
        <f t="shared" ca="1" si="30"/>
        <v>119.19900000000008</v>
      </c>
      <c r="P231" s="129">
        <f t="shared" ca="1" si="30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29"/>
        <v>0</v>
      </c>
      <c r="C232" s="129">
        <v>0.3</v>
      </c>
      <c r="D232" s="129">
        <f t="shared" si="30"/>
        <v>0.3</v>
      </c>
      <c r="E232" s="129">
        <f t="shared" si="30"/>
        <v>0.3</v>
      </c>
      <c r="F232" s="129">
        <f t="shared" si="30"/>
        <v>0.3</v>
      </c>
      <c r="G232" s="129">
        <f t="shared" si="30"/>
        <v>0.3</v>
      </c>
      <c r="H232" s="129">
        <f t="shared" si="30"/>
        <v>0.3</v>
      </c>
      <c r="I232" s="129">
        <f t="shared" si="30"/>
        <v>0.3</v>
      </c>
      <c r="J232" s="129">
        <f t="shared" si="30"/>
        <v>0.3</v>
      </c>
      <c r="K232" s="129">
        <f t="shared" si="30"/>
        <v>0.3</v>
      </c>
      <c r="L232" s="129">
        <f t="shared" si="30"/>
        <v>0.3</v>
      </c>
      <c r="M232" s="129">
        <f t="shared" si="30"/>
        <v>0.3</v>
      </c>
      <c r="N232" s="129">
        <f t="shared" si="30"/>
        <v>0.3</v>
      </c>
      <c r="O232" s="129">
        <f t="shared" si="30"/>
        <v>0.3</v>
      </c>
      <c r="P232" s="129">
        <f t="shared" si="30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29"/>
        <v>0</v>
      </c>
      <c r="C233" s="129">
        <v>0.4</v>
      </c>
      <c r="D233" s="129">
        <f t="shared" si="30"/>
        <v>0.4</v>
      </c>
      <c r="E233" s="129">
        <f t="shared" si="30"/>
        <v>0.4</v>
      </c>
      <c r="F233" s="129">
        <f t="shared" si="30"/>
        <v>0.4</v>
      </c>
      <c r="G233" s="129">
        <f t="shared" si="30"/>
        <v>0.4</v>
      </c>
      <c r="H233" s="129">
        <f t="shared" si="30"/>
        <v>0.4</v>
      </c>
      <c r="I233" s="129">
        <f t="shared" si="30"/>
        <v>0.4</v>
      </c>
      <c r="J233" s="129">
        <f t="shared" si="30"/>
        <v>0.4</v>
      </c>
      <c r="K233" s="129">
        <f t="shared" si="30"/>
        <v>0.4</v>
      </c>
      <c r="L233" s="129">
        <f t="shared" si="30"/>
        <v>0.4</v>
      </c>
      <c r="M233" s="129">
        <f t="shared" si="30"/>
        <v>0.4</v>
      </c>
      <c r="N233" s="129">
        <f t="shared" si="30"/>
        <v>0.4</v>
      </c>
      <c r="O233" s="129">
        <f t="shared" si="30"/>
        <v>0.4</v>
      </c>
      <c r="P233" s="129">
        <f t="shared" si="30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29"/>
        <v>0</v>
      </c>
      <c r="C234" s="133">
        <v>0.64</v>
      </c>
      <c r="D234" s="133">
        <f t="shared" si="30"/>
        <v>0.64</v>
      </c>
      <c r="E234" s="133">
        <f t="shared" si="30"/>
        <v>0.64</v>
      </c>
      <c r="F234" s="133">
        <f t="shared" si="30"/>
        <v>0.64</v>
      </c>
      <c r="G234" s="133">
        <f t="shared" si="30"/>
        <v>0.64</v>
      </c>
      <c r="H234" s="133">
        <f t="shared" si="30"/>
        <v>0.64</v>
      </c>
      <c r="I234" s="133">
        <f t="shared" si="30"/>
        <v>0.64</v>
      </c>
      <c r="J234" s="133">
        <f t="shared" si="30"/>
        <v>0.64</v>
      </c>
      <c r="K234" s="133">
        <f t="shared" si="30"/>
        <v>0.64</v>
      </c>
      <c r="L234" s="133">
        <f t="shared" si="30"/>
        <v>0.64</v>
      </c>
      <c r="M234" s="133">
        <f t="shared" si="30"/>
        <v>0.64</v>
      </c>
      <c r="N234" s="133">
        <f t="shared" si="30"/>
        <v>0.64</v>
      </c>
      <c r="O234" s="133">
        <f t="shared" si="30"/>
        <v>0.64</v>
      </c>
      <c r="P234" s="133">
        <f t="shared" si="30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31">SUM(B229:B234)</f>
        <v>0</v>
      </c>
      <c r="C235" s="137">
        <f t="shared" si="31"/>
        <v>3.54</v>
      </c>
      <c r="D235" s="137">
        <f t="shared" si="31"/>
        <v>3.54</v>
      </c>
      <c r="E235" s="137">
        <f t="shared" si="31"/>
        <v>3.54</v>
      </c>
      <c r="F235" s="137">
        <f t="shared" si="31"/>
        <v>3.54</v>
      </c>
      <c r="G235" s="137">
        <f t="shared" si="31"/>
        <v>3.54</v>
      </c>
      <c r="H235" s="137">
        <f t="shared" si="31"/>
        <v>3.54</v>
      </c>
      <c r="I235" s="137">
        <f t="shared" ca="1" si="31"/>
        <v>121.23900000000009</v>
      </c>
      <c r="J235" s="137">
        <f t="shared" ca="1" si="31"/>
        <v>121.23900000000009</v>
      </c>
      <c r="K235" s="137">
        <f t="shared" ca="1" si="31"/>
        <v>121.23900000000009</v>
      </c>
      <c r="L235" s="137">
        <f t="shared" ca="1" si="31"/>
        <v>125.2590000000001</v>
      </c>
      <c r="M235" s="137">
        <f t="shared" ca="1" si="31"/>
        <v>121.23900000000009</v>
      </c>
      <c r="N235" s="137">
        <f t="shared" ca="1" si="31"/>
        <v>121.23900000000009</v>
      </c>
      <c r="O235" s="137">
        <f t="shared" ca="1" si="31"/>
        <v>121.23900000000009</v>
      </c>
      <c r="P235" s="137">
        <f t="shared" ca="1" si="31"/>
        <v>121.23900000000009</v>
      </c>
      <c r="Q235" s="137">
        <f t="shared" si="31"/>
        <v>0</v>
      </c>
      <c r="R235" s="137">
        <f t="shared" si="31"/>
        <v>0</v>
      </c>
      <c r="S235" s="137">
        <f t="shared" si="31"/>
        <v>0</v>
      </c>
      <c r="T235" s="137">
        <f t="shared" si="31"/>
        <v>0</v>
      </c>
      <c r="U235" s="137">
        <f t="shared" si="31"/>
        <v>0</v>
      </c>
      <c r="V235" s="137">
        <f t="shared" si="31"/>
        <v>0</v>
      </c>
      <c r="W235" s="137">
        <f t="shared" si="31"/>
        <v>0</v>
      </c>
      <c r="X235" s="137">
        <f t="shared" si="31"/>
        <v>0</v>
      </c>
      <c r="Y235" s="137">
        <f t="shared" si="31"/>
        <v>0</v>
      </c>
      <c r="Z235" s="137">
        <f t="shared" si="31"/>
        <v>0</v>
      </c>
      <c r="AA235" s="137">
        <f t="shared" si="31"/>
        <v>0</v>
      </c>
      <c r="AB235" s="137">
        <f t="shared" si="31"/>
        <v>0</v>
      </c>
      <c r="AC235" s="137">
        <f t="shared" si="31"/>
        <v>0</v>
      </c>
      <c r="AD235" s="137">
        <f t="shared" si="31"/>
        <v>0</v>
      </c>
      <c r="AE235" s="137">
        <f t="shared" si="31"/>
        <v>0</v>
      </c>
      <c r="AF235" s="137">
        <f t="shared" si="31"/>
        <v>0</v>
      </c>
      <c r="AG235" s="146">
        <f t="shared" si="31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1902.24</v>
      </c>
      <c r="C244" s="162">
        <f>INDEX(G9:N9,1,MATCH(MAX(G91:N91),G91:N91,0))</f>
        <v>0.27083333333333331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25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2080/03/25)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2080/03/25)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32">B91</f>
        <v>1966.8400000000001</v>
      </c>
      <c r="U249" s="171">
        <f t="shared" si="32"/>
        <v>1954.14</v>
      </c>
      <c r="V249" s="171">
        <f t="shared" si="32"/>
        <v>1959.14</v>
      </c>
      <c r="W249" s="171">
        <f t="shared" si="32"/>
        <v>1922.84</v>
      </c>
      <c r="X249" s="171">
        <f t="shared" si="32"/>
        <v>1863.94</v>
      </c>
      <c r="Y249" s="171">
        <f t="shared" si="32"/>
        <v>1876.54</v>
      </c>
      <c r="Z249" s="171">
        <f t="shared" si="32"/>
        <v>1883.74</v>
      </c>
      <c r="AA249" s="171">
        <f t="shared" si="32"/>
        <v>1880.54</v>
      </c>
      <c r="AB249" s="171">
        <f t="shared" si="32"/>
        <v>1902.24</v>
      </c>
      <c r="AC249" s="171">
        <f t="shared" si="32"/>
        <v>1898.54</v>
      </c>
      <c r="AD249" s="171">
        <f t="shared" si="32"/>
        <v>1811.74</v>
      </c>
      <c r="AE249" s="171">
        <f t="shared" si="32"/>
        <v>1815.24</v>
      </c>
      <c r="AF249" s="171">
        <f t="shared" si="32"/>
        <v>1800.24</v>
      </c>
      <c r="AG249" s="171">
        <f t="shared" si="32"/>
        <v>1848.54</v>
      </c>
      <c r="AH249" s="171">
        <f t="shared" si="32"/>
        <v>1826.8400000000001</v>
      </c>
      <c r="AI249" s="171">
        <f t="shared" si="32"/>
        <v>1923.94</v>
      </c>
      <c r="AJ249" s="171">
        <f t="shared" si="32"/>
        <v>1934.54</v>
      </c>
      <c r="AK249" s="171">
        <f t="shared" si="32"/>
        <v>1981.6399999999999</v>
      </c>
      <c r="AL249" s="171">
        <f t="shared" si="32"/>
        <v>1954.0399999999997</v>
      </c>
      <c r="AM249" s="171">
        <f t="shared" si="32"/>
        <v>1937.9399999999998</v>
      </c>
      <c r="AN249" s="171">
        <f t="shared" si="32"/>
        <v>1980.1400000000003</v>
      </c>
      <c r="AO249" s="171">
        <f t="shared" si="32"/>
        <v>1970.84</v>
      </c>
      <c r="AP249" s="171">
        <f t="shared" si="32"/>
        <v>2002.04</v>
      </c>
      <c r="AQ249" s="171">
        <f t="shared" si="32"/>
        <v>1974.34</v>
      </c>
      <c r="AR249" s="171">
        <f t="shared" si="32"/>
        <v>2034.6400000000003</v>
      </c>
      <c r="AS249" s="171">
        <f t="shared" si="32"/>
        <v>2047.1400000000003</v>
      </c>
      <c r="AT249" s="171">
        <f t="shared" si="32"/>
        <v>2072.0400000000004</v>
      </c>
      <c r="AU249" s="171">
        <f t="shared" si="32"/>
        <v>2092.84</v>
      </c>
      <c r="AV249" s="171">
        <f t="shared" si="32"/>
        <v>2079.2400000000002</v>
      </c>
      <c r="AW249" s="171">
        <f t="shared" si="32"/>
        <v>2051.2400000000002</v>
      </c>
      <c r="AX249" s="171">
        <f t="shared" si="32"/>
        <v>2008.24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33">C234</f>
        <v>0.64</v>
      </c>
      <c r="C270" s="174">
        <f t="shared" si="33"/>
        <v>0.64</v>
      </c>
      <c r="D270" s="174">
        <f t="shared" si="33"/>
        <v>0.64</v>
      </c>
      <c r="E270" s="174">
        <f t="shared" si="33"/>
        <v>0.64</v>
      </c>
      <c r="F270" s="174">
        <f t="shared" si="33"/>
        <v>0.64</v>
      </c>
      <c r="G270" s="174">
        <f t="shared" si="33"/>
        <v>0.64</v>
      </c>
      <c r="H270" s="174">
        <f t="shared" si="33"/>
        <v>0.64</v>
      </c>
      <c r="I270" s="174">
        <f t="shared" si="33"/>
        <v>0.64</v>
      </c>
      <c r="J270" s="174">
        <f t="shared" si="33"/>
        <v>0.64</v>
      </c>
      <c r="K270" s="174">
        <f t="shared" si="33"/>
        <v>0.64</v>
      </c>
      <c r="L270" s="174">
        <f t="shared" si="33"/>
        <v>0.64</v>
      </c>
      <c r="M270" s="174">
        <f t="shared" si="33"/>
        <v>0.64</v>
      </c>
      <c r="N270" s="174">
        <f t="shared" si="33"/>
        <v>0.64</v>
      </c>
      <c r="O270" s="174">
        <f t="shared" si="33"/>
        <v>0.64</v>
      </c>
      <c r="P270" s="174">
        <f t="shared" si="33"/>
        <v>0</v>
      </c>
      <c r="Q270" s="174">
        <f t="shared" si="33"/>
        <v>0</v>
      </c>
      <c r="R270" s="174">
        <f t="shared" si="33"/>
        <v>0</v>
      </c>
      <c r="S270" s="174">
        <f t="shared" si="33"/>
        <v>0</v>
      </c>
      <c r="T270" s="174">
        <f t="shared" si="33"/>
        <v>0</v>
      </c>
      <c r="U270" s="174">
        <f t="shared" si="33"/>
        <v>0</v>
      </c>
      <c r="V270" s="174">
        <f t="shared" si="33"/>
        <v>0</v>
      </c>
      <c r="W270" s="174">
        <f t="shared" si="33"/>
        <v>0</v>
      </c>
      <c r="X270" s="174">
        <f t="shared" si="33"/>
        <v>0</v>
      </c>
      <c r="Y270" s="174">
        <f t="shared" si="33"/>
        <v>0</v>
      </c>
      <c r="Z270" s="174">
        <f t="shared" si="33"/>
        <v>0</v>
      </c>
      <c r="AA270" s="174">
        <f t="shared" si="33"/>
        <v>0</v>
      </c>
      <c r="AB270" s="174">
        <f t="shared" si="33"/>
        <v>0</v>
      </c>
      <c r="AC270" s="174">
        <f t="shared" si="33"/>
        <v>0</v>
      </c>
      <c r="AD270" s="174">
        <f t="shared" si="33"/>
        <v>0</v>
      </c>
      <c r="AE270" s="174">
        <f t="shared" si="33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34">IF(B238&lt;100,"",B238-520)</f>
        <v/>
      </c>
      <c r="C271" s="175" t="str">
        <f t="shared" si="34"/>
        <v/>
      </c>
      <c r="D271" s="175" t="str">
        <f t="shared" si="34"/>
        <v/>
      </c>
      <c r="E271" s="175" t="str">
        <f t="shared" si="34"/>
        <v/>
      </c>
      <c r="F271" s="175" t="str">
        <f t="shared" si="34"/>
        <v/>
      </c>
      <c r="G271" s="175" t="str">
        <f t="shared" si="34"/>
        <v/>
      </c>
      <c r="H271" s="175" t="str">
        <f t="shared" si="34"/>
        <v/>
      </c>
      <c r="I271" s="175" t="str">
        <f t="shared" si="34"/>
        <v/>
      </c>
      <c r="J271" s="175" t="str">
        <f t="shared" si="34"/>
        <v/>
      </c>
      <c r="K271" s="175" t="str">
        <f t="shared" si="34"/>
        <v/>
      </c>
      <c r="L271" s="175" t="str">
        <f t="shared" si="34"/>
        <v/>
      </c>
      <c r="M271" s="175" t="str">
        <f t="shared" si="34"/>
        <v/>
      </c>
      <c r="N271" s="175" t="str">
        <f t="shared" si="34"/>
        <v/>
      </c>
      <c r="O271" s="175" t="str">
        <f t="shared" si="34"/>
        <v/>
      </c>
      <c r="P271" s="175" t="str">
        <f t="shared" si="34"/>
        <v/>
      </c>
      <c r="Q271" s="175" t="str">
        <f t="shared" si="34"/>
        <v/>
      </c>
      <c r="R271" s="175" t="str">
        <f t="shared" si="34"/>
        <v/>
      </c>
      <c r="S271" s="175" t="str">
        <f t="shared" si="34"/>
        <v/>
      </c>
      <c r="T271" s="175" t="str">
        <f t="shared" si="34"/>
        <v/>
      </c>
      <c r="U271" s="175" t="str">
        <f t="shared" si="34"/>
        <v/>
      </c>
      <c r="V271" s="175" t="str">
        <f t="shared" si="34"/>
        <v/>
      </c>
      <c r="W271" s="175" t="str">
        <f t="shared" si="34"/>
        <v/>
      </c>
      <c r="X271" s="175" t="str">
        <f t="shared" si="34"/>
        <v/>
      </c>
      <c r="Y271" s="175" t="str">
        <f t="shared" si="34"/>
        <v/>
      </c>
      <c r="Z271" s="175" t="str">
        <f t="shared" si="34"/>
        <v/>
      </c>
      <c r="AA271" s="175" t="str">
        <f t="shared" si="34"/>
        <v/>
      </c>
      <c r="AB271" s="175" t="str">
        <f t="shared" si="34"/>
        <v/>
      </c>
      <c r="AC271" s="175" t="str">
        <f t="shared" si="34"/>
        <v/>
      </c>
      <c r="AD271" s="175" t="str">
        <f t="shared" si="34"/>
        <v/>
      </c>
      <c r="AE271" s="175" t="str">
        <f t="shared" si="34"/>
        <v/>
      </c>
      <c r="AF271" s="175" t="str">
        <f t="shared" si="34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35">IF(B239&lt;100,"",B239-620)</f>
        <v/>
      </c>
      <c r="C272" s="175" t="str">
        <f t="shared" si="35"/>
        <v/>
      </c>
      <c r="D272" s="175" t="str">
        <f t="shared" si="35"/>
        <v/>
      </c>
      <c r="E272" s="175" t="str">
        <f t="shared" si="35"/>
        <v/>
      </c>
      <c r="F272" s="175" t="str">
        <f t="shared" si="35"/>
        <v/>
      </c>
      <c r="G272" s="175" t="str">
        <f t="shared" si="35"/>
        <v/>
      </c>
      <c r="H272" s="175" t="str">
        <f t="shared" si="35"/>
        <v/>
      </c>
      <c r="I272" s="175" t="str">
        <f t="shared" si="35"/>
        <v/>
      </c>
      <c r="J272" s="175" t="str">
        <f t="shared" si="35"/>
        <v/>
      </c>
      <c r="K272" s="175" t="str">
        <f t="shared" si="35"/>
        <v/>
      </c>
      <c r="L272" s="175" t="str">
        <f t="shared" si="35"/>
        <v/>
      </c>
      <c r="M272" s="175" t="str">
        <f t="shared" si="35"/>
        <v/>
      </c>
      <c r="N272" s="175" t="str">
        <f t="shared" si="35"/>
        <v/>
      </c>
      <c r="O272" s="175" t="str">
        <f t="shared" si="35"/>
        <v/>
      </c>
      <c r="P272" s="175" t="str">
        <f t="shared" si="35"/>
        <v/>
      </c>
      <c r="Q272" s="175" t="str">
        <f t="shared" si="35"/>
        <v/>
      </c>
      <c r="R272" s="175" t="str">
        <f t="shared" si="35"/>
        <v/>
      </c>
      <c r="S272" s="175" t="str">
        <f t="shared" si="35"/>
        <v/>
      </c>
      <c r="T272" s="175" t="str">
        <f t="shared" si="35"/>
        <v/>
      </c>
      <c r="U272" s="175" t="str">
        <f t="shared" si="35"/>
        <v/>
      </c>
      <c r="V272" s="175" t="str">
        <f t="shared" si="35"/>
        <v/>
      </c>
      <c r="W272" s="175" t="str">
        <f t="shared" si="35"/>
        <v/>
      </c>
      <c r="X272" s="175" t="str">
        <f t="shared" si="35"/>
        <v/>
      </c>
      <c r="Y272" s="175" t="str">
        <f t="shared" si="35"/>
        <v/>
      </c>
      <c r="Z272" s="175" t="str">
        <f t="shared" si="35"/>
        <v/>
      </c>
      <c r="AA272" s="175" t="str">
        <f t="shared" si="35"/>
        <v/>
      </c>
      <c r="AB272" s="175" t="str">
        <f t="shared" si="35"/>
        <v/>
      </c>
      <c r="AC272" s="175" t="str">
        <f t="shared" si="35"/>
        <v/>
      </c>
      <c r="AD272" s="175" t="str">
        <f t="shared" si="35"/>
        <v/>
      </c>
      <c r="AE272" s="175" t="str">
        <f t="shared" si="35"/>
        <v/>
      </c>
      <c r="AF272" s="175" t="str">
        <f t="shared" si="35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36">IF(B240&lt;100,"",B240-330)</f>
        <v/>
      </c>
      <c r="C273" s="175" t="str">
        <f t="shared" si="36"/>
        <v/>
      </c>
      <c r="D273" s="175" t="str">
        <f t="shared" si="36"/>
        <v/>
      </c>
      <c r="E273" s="175" t="str">
        <f t="shared" si="36"/>
        <v/>
      </c>
      <c r="F273" s="175" t="str">
        <f t="shared" si="36"/>
        <v/>
      </c>
      <c r="G273" s="175" t="str">
        <f t="shared" si="36"/>
        <v/>
      </c>
      <c r="H273" s="175" t="str">
        <f t="shared" si="36"/>
        <v/>
      </c>
      <c r="I273" s="175" t="str">
        <f t="shared" si="36"/>
        <v/>
      </c>
      <c r="J273" s="175" t="str">
        <f t="shared" si="36"/>
        <v/>
      </c>
      <c r="K273" s="175" t="str">
        <f t="shared" si="36"/>
        <v/>
      </c>
      <c r="L273" s="175" t="str">
        <f t="shared" si="36"/>
        <v/>
      </c>
      <c r="M273" s="175" t="str">
        <f t="shared" si="36"/>
        <v/>
      </c>
      <c r="N273" s="175" t="str">
        <f t="shared" si="36"/>
        <v/>
      </c>
      <c r="O273" s="175" t="str">
        <f t="shared" si="36"/>
        <v/>
      </c>
      <c r="P273" s="175" t="str">
        <f t="shared" si="36"/>
        <v/>
      </c>
      <c r="Q273" s="175" t="str">
        <f t="shared" si="36"/>
        <v/>
      </c>
      <c r="R273" s="175" t="str">
        <f t="shared" si="36"/>
        <v/>
      </c>
      <c r="S273" s="175" t="str">
        <f t="shared" si="36"/>
        <v/>
      </c>
      <c r="T273" s="175" t="str">
        <f t="shared" si="36"/>
        <v/>
      </c>
      <c r="U273" s="175" t="str">
        <f t="shared" si="36"/>
        <v/>
      </c>
      <c r="V273" s="175" t="str">
        <f t="shared" si="36"/>
        <v/>
      </c>
      <c r="W273" s="175" t="str">
        <f t="shared" si="36"/>
        <v/>
      </c>
      <c r="X273" s="175" t="str">
        <f t="shared" si="36"/>
        <v/>
      </c>
      <c r="Y273" s="175" t="str">
        <f t="shared" si="36"/>
        <v/>
      </c>
      <c r="Z273" s="175" t="str">
        <f t="shared" si="36"/>
        <v/>
      </c>
      <c r="AA273" s="175" t="str">
        <f t="shared" si="36"/>
        <v/>
      </c>
      <c r="AB273" s="175" t="str">
        <f t="shared" si="36"/>
        <v/>
      </c>
      <c r="AC273" s="175" t="str">
        <f t="shared" si="36"/>
        <v/>
      </c>
      <c r="AD273" s="175" t="str">
        <f t="shared" si="36"/>
        <v/>
      </c>
      <c r="AE273" s="175" t="str">
        <f t="shared" si="36"/>
        <v/>
      </c>
      <c r="AF273" s="175" t="str">
        <f t="shared" si="36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37">IF(B241&lt;100,"",B241-1500)</f>
        <v/>
      </c>
      <c r="C274" s="175" t="str">
        <f t="shared" si="37"/>
        <v/>
      </c>
      <c r="D274" s="175" t="str">
        <f t="shared" si="37"/>
        <v/>
      </c>
      <c r="E274" s="175" t="str">
        <f t="shared" si="37"/>
        <v/>
      </c>
      <c r="F274" s="175" t="str">
        <f t="shared" si="37"/>
        <v/>
      </c>
      <c r="G274" s="175" t="str">
        <f t="shared" si="37"/>
        <v/>
      </c>
      <c r="H274" s="175" t="str">
        <f t="shared" si="37"/>
        <v/>
      </c>
      <c r="I274" s="175" t="str">
        <f t="shared" si="37"/>
        <v/>
      </c>
      <c r="J274" s="175" t="str">
        <f t="shared" si="37"/>
        <v/>
      </c>
      <c r="K274" s="175" t="str">
        <f t="shared" si="37"/>
        <v/>
      </c>
      <c r="L274" s="175" t="str">
        <f t="shared" si="37"/>
        <v/>
      </c>
      <c r="M274" s="175" t="str">
        <f t="shared" si="37"/>
        <v/>
      </c>
      <c r="N274" s="175" t="str">
        <f t="shared" si="37"/>
        <v/>
      </c>
      <c r="O274" s="175" t="str">
        <f t="shared" si="37"/>
        <v/>
      </c>
      <c r="P274" s="175" t="str">
        <f t="shared" si="37"/>
        <v/>
      </c>
      <c r="Q274" s="175" t="str">
        <f t="shared" si="37"/>
        <v/>
      </c>
      <c r="R274" s="175" t="str">
        <f t="shared" si="37"/>
        <v/>
      </c>
      <c r="S274" s="175" t="str">
        <f t="shared" si="37"/>
        <v/>
      </c>
      <c r="T274" s="175" t="str">
        <f t="shared" si="37"/>
        <v/>
      </c>
      <c r="U274" s="175" t="str">
        <f t="shared" si="37"/>
        <v/>
      </c>
      <c r="V274" s="175" t="str">
        <f t="shared" si="37"/>
        <v/>
      </c>
      <c r="W274" s="175" t="str">
        <f t="shared" si="37"/>
        <v/>
      </c>
      <c r="X274" s="175" t="str">
        <f t="shared" si="37"/>
        <v/>
      </c>
      <c r="Y274" s="175" t="str">
        <f t="shared" si="37"/>
        <v/>
      </c>
      <c r="Z274" s="175" t="str">
        <f t="shared" si="37"/>
        <v/>
      </c>
      <c r="AA274" s="175" t="str">
        <f t="shared" si="37"/>
        <v/>
      </c>
      <c r="AB274" s="175" t="str">
        <f t="shared" si="37"/>
        <v/>
      </c>
      <c r="AC274" s="175" t="str">
        <f t="shared" si="37"/>
        <v/>
      </c>
      <c r="AD274" s="175" t="str">
        <f t="shared" si="37"/>
        <v/>
      </c>
      <c r="AE274" s="175" t="str">
        <f t="shared" si="37"/>
        <v/>
      </c>
      <c r="AF274" s="175" t="str">
        <f t="shared" si="37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53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30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V12:AF12 V14:AF14">
    <cfRule type="expression" dxfId="6622" priority="526">
      <formula>B$9&gt;=20/24</formula>
    </cfRule>
    <cfRule type="expression" dxfId="6621" priority="527">
      <formula>AND(B$9&gt;=14/24,B$9&lt;20/24)</formula>
    </cfRule>
    <cfRule type="expression" dxfId="6620" priority="528">
      <formula>AND(B$9&gt;=8/24,B$9&lt;14/24)</formula>
    </cfRule>
    <cfRule type="expression" dxfId="6619" priority="529">
      <formula>B$9&lt;8/24</formula>
    </cfRule>
  </conditionalFormatting>
  <conditionalFormatting sqref="AL4:AL6">
    <cfRule type="iconSet" priority="525">
      <iconSet iconSet="3TrafficLights2" reverse="1">
        <cfvo type="percent" val="0"/>
        <cfvo type="num" val="1"/>
        <cfvo type="num" val="1"/>
      </iconSet>
    </cfRule>
  </conditionalFormatting>
  <conditionalFormatting sqref="AG67 V12:AF12 V14:AF14">
    <cfRule type="expression" dxfId="6618" priority="524">
      <formula>V12&gt;$AG12</formula>
    </cfRule>
  </conditionalFormatting>
  <conditionalFormatting sqref="A101:A111 A61:A88 A97:A99 A205:A235 A48:A59 A121:A192 A43:A44 A93:A95 A90:A91 A113:A115 A40:A41 A21:A22 A24:A34 A19 A36:A38 A12:A17">
    <cfRule type="expression" dxfId="6617" priority="523">
      <formula>$AH12=0</formula>
    </cfRule>
  </conditionalFormatting>
  <conditionalFormatting sqref="A116">
    <cfRule type="expression" dxfId="6616" priority="522">
      <formula>$AH116=0</formula>
    </cfRule>
  </conditionalFormatting>
  <conditionalFormatting sqref="AL44">
    <cfRule type="iconSet" priority="521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6615" priority="520">
      <formula>$AH47=0</formula>
    </cfRule>
  </conditionalFormatting>
  <conditionalFormatting sqref="A100">
    <cfRule type="expression" dxfId="6614" priority="519">
      <formula>$AH100=0</formula>
    </cfRule>
  </conditionalFormatting>
  <conditionalFormatting sqref="A20">
    <cfRule type="expression" dxfId="6613" priority="518">
      <formula>$AH20=0</formula>
    </cfRule>
  </conditionalFormatting>
  <conditionalFormatting sqref="A199:A204">
    <cfRule type="expression" dxfId="6612" priority="517">
      <formula>$AH199=0</formula>
    </cfRule>
  </conditionalFormatting>
  <conditionalFormatting sqref="A193:A198">
    <cfRule type="expression" dxfId="6611" priority="516">
      <formula>$AH193=0</formula>
    </cfRule>
  </conditionalFormatting>
  <conditionalFormatting sqref="A60">
    <cfRule type="expression" dxfId="6610" priority="515">
      <formula>$AH60=0</formula>
    </cfRule>
  </conditionalFormatting>
  <conditionalFormatting sqref="A96">
    <cfRule type="expression" dxfId="6609" priority="514">
      <formula>$AH96=0</formula>
    </cfRule>
  </conditionalFormatting>
  <conditionalFormatting sqref="AD101:AF101 E101:Y101">
    <cfRule type="expression" dxfId="6608" priority="510">
      <formula>E$9&gt;=20/24</formula>
    </cfRule>
    <cfRule type="expression" dxfId="6607" priority="511">
      <formula>AND(E$9&gt;=14/24,E$9&lt;20/24)</formula>
    </cfRule>
    <cfRule type="expression" dxfId="6606" priority="512">
      <formula>AND(E$9&gt;=8/24,E$9&lt;14/24)</formula>
    </cfRule>
    <cfRule type="expression" dxfId="6605" priority="513">
      <formula>E$9&lt;8/24</formula>
    </cfRule>
  </conditionalFormatting>
  <conditionalFormatting sqref="AL45">
    <cfRule type="iconSet" priority="50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604" priority="532">
      <formula>C$9&gt;=20/24</formula>
    </cfRule>
    <cfRule type="expression" dxfId="6603" priority="533">
      <formula>AND(C$9&gt;=14/24,C$9&lt;20/24)</formula>
    </cfRule>
    <cfRule type="expression" dxfId="6602" priority="534">
      <formula>AND(C$9&gt;=8/24,C$9&lt;14/24)</formula>
    </cfRule>
    <cfRule type="expression" dxfId="6601" priority="535">
      <formula>C$9&lt;8/24</formula>
    </cfRule>
  </conditionalFormatting>
  <conditionalFormatting sqref="A236">
    <cfRule type="expression" dxfId="6600" priority="536">
      <formula>$AH236=0</formula>
    </cfRule>
  </conditionalFormatting>
  <conditionalFormatting sqref="AG248">
    <cfRule type="expression" dxfId="6599" priority="537">
      <formula>B$9&gt;=20/24</formula>
    </cfRule>
    <cfRule type="expression" dxfId="6598" priority="538">
      <formula>AND(B$9&gt;=14/24,B$9&lt;20/24)</formula>
    </cfRule>
    <cfRule type="expression" dxfId="6597" priority="539">
      <formula>AND(B$9&gt;=8/24,B$9&lt;14/24)</formula>
    </cfRule>
    <cfRule type="expression" dxfId="6596" priority="540">
      <formula>B$9&lt;8/24</formula>
    </cfRule>
  </conditionalFormatting>
  <conditionalFormatting sqref="S8">
    <cfRule type="expression" dxfId="6595" priority="505">
      <formula>U$9&gt;=20/24</formula>
    </cfRule>
    <cfRule type="expression" dxfId="6594" priority="506">
      <formula>AND(U$9&gt;=14/24,U$9&lt;20/24)</formula>
    </cfRule>
    <cfRule type="expression" dxfId="6593" priority="507">
      <formula>AND(U$9&gt;=8/24,U$9&lt;14/24)</formula>
    </cfRule>
    <cfRule type="expression" dxfId="6592" priority="508">
      <formula>U$9&lt;8/24</formula>
    </cfRule>
  </conditionalFormatting>
  <conditionalFormatting sqref="AB8">
    <cfRule type="expression" dxfId="6591" priority="501">
      <formula>AD$9&gt;=20/24</formula>
    </cfRule>
    <cfRule type="expression" dxfId="6590" priority="502">
      <formula>AND(AD$9&gt;=14/24,AD$9&lt;20/24)</formula>
    </cfRule>
    <cfRule type="expression" dxfId="6589" priority="503">
      <formula>AND(AD$9&gt;=8/24,AD$9&lt;14/24)</formula>
    </cfRule>
    <cfRule type="expression" dxfId="6588" priority="504">
      <formula>AD$9&lt;8/24</formula>
    </cfRule>
  </conditionalFormatting>
  <conditionalFormatting sqref="AH248:AX248">
    <cfRule type="expression" dxfId="6587" priority="541">
      <formula>AG$9&gt;=20/24</formula>
    </cfRule>
    <cfRule type="expression" dxfId="6586" priority="542">
      <formula>AND(AG$9&gt;=14/24,AG$9&lt;20/24)</formula>
    </cfRule>
    <cfRule type="expression" dxfId="6585" priority="543">
      <formula>AND(AG$9&gt;=8/24,AG$9&lt;14/24)</formula>
    </cfRule>
    <cfRule type="expression" dxfId="6584" priority="544">
      <formula>AG$9&lt;8/24</formula>
    </cfRule>
  </conditionalFormatting>
  <conditionalFormatting sqref="T248">
    <cfRule type="expression" dxfId="6583" priority="545">
      <formula>AX$9&gt;=20/24</formula>
    </cfRule>
    <cfRule type="expression" dxfId="6582" priority="546">
      <formula>AND(AX$9&gt;=14/24,AX$9&lt;20/24)</formula>
    </cfRule>
    <cfRule type="expression" dxfId="6581" priority="547">
      <formula>AND(AX$9&gt;=8/24,AX$9&lt;14/24)</formula>
    </cfRule>
    <cfRule type="expression" dxfId="6580" priority="548">
      <formula>AX$9&lt;8/24</formula>
    </cfRule>
  </conditionalFormatting>
  <conditionalFormatting sqref="A117:A119">
    <cfRule type="expression" dxfId="6579" priority="500">
      <formula>$AH117=0</formula>
    </cfRule>
  </conditionalFormatting>
  <conditionalFormatting sqref="E73:AF73">
    <cfRule type="expression" dxfId="6578" priority="496">
      <formula>E$9&gt;=20/24</formula>
    </cfRule>
    <cfRule type="expression" dxfId="6577" priority="497">
      <formula>AND(E$9&gt;=14/24,E$9&lt;20/24)</formula>
    </cfRule>
    <cfRule type="expression" dxfId="6576" priority="498">
      <formula>AND(E$9&gt;=8/24,E$9&lt;14/24)</formula>
    </cfRule>
    <cfRule type="expression" dxfId="6575" priority="499">
      <formula>E$9&lt;8/24</formula>
    </cfRule>
  </conditionalFormatting>
  <conditionalFormatting sqref="D88:AF88 X98:AF98 AE102:AF108 Z49:AF49 AA69:AF71 M102:Y108 E74:AF75">
    <cfRule type="expression" dxfId="6574" priority="487">
      <formula>D$9&gt;=20/24</formula>
    </cfRule>
    <cfRule type="expression" dxfId="6573" priority="488">
      <formula>AND(D$9&gt;=14/24,D$9&lt;20/24)</formula>
    </cfRule>
    <cfRule type="expression" dxfId="6572" priority="489">
      <formula>AND(D$9&gt;=8/24,D$9&lt;14/24)</formula>
    </cfRule>
    <cfRule type="expression" dxfId="6571" priority="490">
      <formula>D$9&lt;8/24</formula>
    </cfRule>
  </conditionalFormatting>
  <conditionalFormatting sqref="Z49:AF49 AA69:AF71">
    <cfRule type="expression" dxfId="6570" priority="486">
      <formula>Z49&gt;$AG49</formula>
    </cfRule>
  </conditionalFormatting>
  <conditionalFormatting sqref="S55:Y55 T58:W60 S56:W57 X56:Y60 Z55:AF60">
    <cfRule type="expression" dxfId="6569" priority="482">
      <formula>S$9&gt;=20/24</formula>
    </cfRule>
    <cfRule type="expression" dxfId="6568" priority="483">
      <formula>AND(S$9&gt;=14/24,S$9&lt;20/24)</formula>
    </cfRule>
    <cfRule type="expression" dxfId="6567" priority="484">
      <formula>AND(S$9&gt;=8/24,S$9&lt;14/24)</formula>
    </cfRule>
    <cfRule type="expression" dxfId="6566" priority="485">
      <formula>S$9&lt;8/24</formula>
    </cfRule>
  </conditionalFormatting>
  <conditionalFormatting sqref="S55:Y55 T58:W60 S56:W57 X56:Y60 Z55:AF60">
    <cfRule type="expression" dxfId="6565" priority="481">
      <formula>S55&gt;$AG55</formula>
    </cfRule>
  </conditionalFormatting>
  <conditionalFormatting sqref="C99:AF99 D90:AF90">
    <cfRule type="expression" dxfId="6564" priority="477">
      <formula>C$9&gt;=20/24</formula>
    </cfRule>
    <cfRule type="expression" dxfId="6563" priority="478">
      <formula>AND(C$9&gt;=14/24,C$9&lt;20/24)</formula>
    </cfRule>
    <cfRule type="expression" dxfId="6562" priority="479">
      <formula>AND(C$9&gt;=8/24,C$9&lt;14/24)</formula>
    </cfRule>
    <cfRule type="expression" dxfId="6561" priority="480">
      <formula>C$9&lt;8/24</formula>
    </cfRule>
  </conditionalFormatting>
  <conditionalFormatting sqref="T49:Y49">
    <cfRule type="expression" dxfId="6560" priority="473">
      <formula>T$9&gt;=20/24</formula>
    </cfRule>
    <cfRule type="expression" dxfId="6559" priority="474">
      <formula>AND(T$9&gt;=14/24,T$9&lt;20/24)</formula>
    </cfRule>
    <cfRule type="expression" dxfId="6558" priority="475">
      <formula>AND(T$9&gt;=8/24,T$9&lt;14/24)</formula>
    </cfRule>
    <cfRule type="expression" dxfId="6557" priority="476">
      <formula>T$9&lt;8/24</formula>
    </cfRule>
  </conditionalFormatting>
  <conditionalFormatting sqref="T49:Y49">
    <cfRule type="expression" dxfId="6556" priority="472">
      <formula>T49&gt;$AG49</formula>
    </cfRule>
  </conditionalFormatting>
  <conditionalFormatting sqref="I56:R57">
    <cfRule type="expression" dxfId="6555" priority="468">
      <formula>I$9&gt;=20/24</formula>
    </cfRule>
    <cfRule type="expression" dxfId="6554" priority="469">
      <formula>AND(I$9&gt;=14/24,I$9&lt;20/24)</formula>
    </cfRule>
    <cfRule type="expression" dxfId="6553" priority="470">
      <formula>AND(I$9&gt;=8/24,I$9&lt;14/24)</formula>
    </cfRule>
    <cfRule type="expression" dxfId="6552" priority="471">
      <formula>I$9&lt;8/24</formula>
    </cfRule>
  </conditionalFormatting>
  <conditionalFormatting sqref="I55:R55">
    <cfRule type="expression" dxfId="6551" priority="464">
      <formula>I$9&gt;=20/24</formula>
    </cfRule>
    <cfRule type="expression" dxfId="6550" priority="465">
      <formula>AND(I$9&gt;=14/24,I$9&lt;20/24)</formula>
    </cfRule>
    <cfRule type="expression" dxfId="6549" priority="466">
      <formula>AND(I$9&gt;=8/24,I$9&lt;14/24)</formula>
    </cfRule>
    <cfRule type="expression" dxfId="6548" priority="467">
      <formula>I$9&lt;8/24</formula>
    </cfRule>
  </conditionalFormatting>
  <conditionalFormatting sqref="I55:R57">
    <cfRule type="expression" dxfId="6547" priority="463">
      <formula>I55&gt;$AG55</formula>
    </cfRule>
  </conditionalFormatting>
  <conditionalFormatting sqref="AG72 AG89 E102:L108">
    <cfRule type="expression" dxfId="6546" priority="459">
      <formula>E$9&gt;=20/24</formula>
    </cfRule>
    <cfRule type="expression" dxfId="6545" priority="460">
      <formula>AND(E$9&gt;=14/24,E$9&lt;20/24)</formula>
    </cfRule>
    <cfRule type="expression" dxfId="6544" priority="461">
      <formula>AND(E$9&gt;=8/24,E$9&lt;14/24)</formula>
    </cfRule>
    <cfRule type="expression" dxfId="6543" priority="462">
      <formula>E$9&lt;8/24</formula>
    </cfRule>
  </conditionalFormatting>
  <conditionalFormatting sqref="AG50 AG68 AG72">
    <cfRule type="expression" dxfId="6542" priority="458">
      <formula>AG50&gt;$AG50</formula>
    </cfRule>
  </conditionalFormatting>
  <conditionalFormatting sqref="A45">
    <cfRule type="expression" dxfId="6541" priority="452">
      <formula>$AH45=0</formula>
    </cfRule>
  </conditionalFormatting>
  <conditionalFormatting sqref="X93:AF97">
    <cfRule type="expression" dxfId="6540" priority="448">
      <formula>X$9&gt;=20/24</formula>
    </cfRule>
    <cfRule type="expression" dxfId="6539" priority="449">
      <formula>AND(X$9&gt;=14/24,X$9&lt;20/24)</formula>
    </cfRule>
    <cfRule type="expression" dxfId="6538" priority="450">
      <formula>AND(X$9&gt;=8/24,X$9&lt;14/24)</formula>
    </cfRule>
    <cfRule type="expression" dxfId="6537" priority="451">
      <formula>X$9&lt;8/24</formula>
    </cfRule>
  </conditionalFormatting>
  <conditionalFormatting sqref="AL47 AL43 AL24:AL34 AL40:AL41 AL19:AL22 AL36:AL38 AL7:AL17">
    <cfRule type="iconSet" priority="549">
      <iconSet iconSet="3TrafficLights2" reverse="1">
        <cfvo type="percent" val="0"/>
        <cfvo type="num" val="1"/>
        <cfvo type="num" val="1"/>
      </iconSet>
    </cfRule>
  </conditionalFormatting>
  <conditionalFormatting sqref="U51:AF53">
    <cfRule type="expression" dxfId="6536" priority="444">
      <formula>U$9&gt;=20/24</formula>
    </cfRule>
    <cfRule type="expression" dxfId="6535" priority="445">
      <formula>AND(U$9&gt;=14/24,U$9&lt;20/24)</formula>
    </cfRule>
    <cfRule type="expression" dxfId="6534" priority="446">
      <formula>AND(U$9&gt;=8/24,U$9&lt;14/24)</formula>
    </cfRule>
    <cfRule type="expression" dxfId="6533" priority="447">
      <formula>U$9&lt;8/24</formula>
    </cfRule>
  </conditionalFormatting>
  <conditionalFormatting sqref="U51:AF53">
    <cfRule type="expression" dxfId="6532" priority="443">
      <formula>U51&gt;$AG51</formula>
    </cfRule>
  </conditionalFormatting>
  <conditionalFormatting sqref="AG54">
    <cfRule type="expression" dxfId="6531" priority="439">
      <formula>AG$9&gt;=20/24</formula>
    </cfRule>
    <cfRule type="expression" dxfId="6530" priority="440">
      <formula>AND(AG$9&gt;=14/24,AG$9&lt;20/24)</formula>
    </cfRule>
    <cfRule type="expression" dxfId="6529" priority="441">
      <formula>AND(AG$9&gt;=8/24,AG$9&lt;14/24)</formula>
    </cfRule>
    <cfRule type="expression" dxfId="6528" priority="442">
      <formula>AG$9&lt;8/24</formula>
    </cfRule>
  </conditionalFormatting>
  <conditionalFormatting sqref="AG54">
    <cfRule type="expression" dxfId="6527" priority="438">
      <formula>AG54&gt;$AG54</formula>
    </cfRule>
  </conditionalFormatting>
  <conditionalFormatting sqref="C109:AF109">
    <cfRule type="expression" dxfId="6526" priority="434">
      <formula>C$9&gt;=20/24</formula>
    </cfRule>
    <cfRule type="expression" dxfId="6525" priority="435">
      <formula>AND(C$9&gt;=14/24,C$9&lt;20/24)</formula>
    </cfRule>
    <cfRule type="expression" dxfId="6524" priority="436">
      <formula>AND(C$9&gt;=8/24,C$9&lt;14/24)</formula>
    </cfRule>
    <cfRule type="expression" dxfId="6523" priority="437">
      <formula>C$9&lt;8/24</formula>
    </cfRule>
  </conditionalFormatting>
  <conditionalFormatting sqref="AL42">
    <cfRule type="iconSet" priority="433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6522" priority="432">
      <formula>$AH42=0</formula>
    </cfRule>
  </conditionalFormatting>
  <conditionalFormatting sqref="A92">
    <cfRule type="expression" dxfId="6521" priority="430">
      <formula>$AH92=0</formula>
    </cfRule>
  </conditionalFormatting>
  <conditionalFormatting sqref="A89">
    <cfRule type="expression" dxfId="6520" priority="431">
      <formula>$AH89=0</formula>
    </cfRule>
  </conditionalFormatting>
  <conditionalFormatting sqref="D112:AF112">
    <cfRule type="expression" dxfId="6519" priority="426">
      <formula>D$9&gt;=20/24</formula>
    </cfRule>
    <cfRule type="expression" dxfId="6518" priority="427">
      <formula>AND(D$9&gt;=14/24,D$9&lt;20/24)</formula>
    </cfRule>
    <cfRule type="expression" dxfId="6517" priority="428">
      <formula>AND(D$9&gt;=8/24,D$9&lt;14/24)</formula>
    </cfRule>
    <cfRule type="expression" dxfId="6516" priority="429">
      <formula>D$9&lt;8/24</formula>
    </cfRule>
  </conditionalFormatting>
  <conditionalFormatting sqref="A112">
    <cfRule type="expression" dxfId="6515" priority="425">
      <formula>$AH112=0</formula>
    </cfRule>
  </conditionalFormatting>
  <conditionalFormatting sqref="A23">
    <cfRule type="expression" dxfId="6514" priority="423">
      <formula>$AH23=0</formula>
    </cfRule>
  </conditionalFormatting>
  <conditionalFormatting sqref="AL23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6513" priority="421">
      <formula>$AH39=0</formula>
    </cfRule>
  </conditionalFormatting>
  <conditionalFormatting sqref="AL39">
    <cfRule type="iconSet" priority="422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6512" priority="417">
      <formula>Z$9&gt;=20/24</formula>
    </cfRule>
    <cfRule type="expression" dxfId="6511" priority="418">
      <formula>AND(Z$9&gt;=14/24,Z$9&lt;20/24)</formula>
    </cfRule>
    <cfRule type="expression" dxfId="6510" priority="419">
      <formula>AND(Z$9&gt;=8/24,Z$9&lt;14/24)</formula>
    </cfRule>
    <cfRule type="expression" dxfId="6509" priority="420">
      <formula>Z$9&lt;8/24</formula>
    </cfRule>
  </conditionalFormatting>
  <conditionalFormatting sqref="Z102:AD108">
    <cfRule type="expression" dxfId="6508" priority="413">
      <formula>Z$9&gt;=20/24</formula>
    </cfRule>
    <cfRule type="expression" dxfId="6507" priority="414">
      <formula>AND(Z$9&gt;=14/24,Z$9&lt;20/24)</formula>
    </cfRule>
    <cfRule type="expression" dxfId="6506" priority="415">
      <formula>AND(Z$9&gt;=8/24,Z$9&lt;14/24)</formula>
    </cfRule>
    <cfRule type="expression" dxfId="6505" priority="416">
      <formula>Z$9&lt;8/24</formula>
    </cfRule>
  </conditionalFormatting>
  <conditionalFormatting sqref="C111 C113:C119 AD34:AF34">
    <cfRule type="expression" dxfId="6504" priority="409">
      <formula>C$9&gt;=20/24</formula>
    </cfRule>
    <cfRule type="expression" dxfId="6503" priority="410">
      <formula>AND(C$9&gt;=14/24,C$9&lt;20/24)</formula>
    </cfRule>
    <cfRule type="expression" dxfId="6502" priority="411">
      <formula>AND(C$9&gt;=8/24,C$9&lt;14/24)</formula>
    </cfRule>
    <cfRule type="expression" dxfId="6501" priority="412">
      <formula>C$9&lt;8/24</formula>
    </cfRule>
  </conditionalFormatting>
  <conditionalFormatting sqref="E49:S49">
    <cfRule type="expression" dxfId="6500" priority="405">
      <formula>E$9&gt;=20/24</formula>
    </cfRule>
    <cfRule type="expression" dxfId="6499" priority="406">
      <formula>AND(E$9&gt;=14/24,E$9&lt;20/24)</formula>
    </cfRule>
    <cfRule type="expression" dxfId="6498" priority="407">
      <formula>AND(E$9&gt;=8/24,E$9&lt;14/24)</formula>
    </cfRule>
    <cfRule type="expression" dxfId="6497" priority="408">
      <formula>E$9&lt;8/24</formula>
    </cfRule>
  </conditionalFormatting>
  <conditionalFormatting sqref="E49:S49 AD34:AF34">
    <cfRule type="expression" dxfId="6496" priority="404">
      <formula>E34&gt;$AG34</formula>
    </cfRule>
  </conditionalFormatting>
  <conditionalFormatting sqref="C101:D101">
    <cfRule type="expression" dxfId="6495" priority="400">
      <formula>C$9&gt;=20/24</formula>
    </cfRule>
    <cfRule type="expression" dxfId="6494" priority="401">
      <formula>AND(C$9&gt;=14/24,C$9&lt;20/24)</formula>
    </cfRule>
    <cfRule type="expression" dxfId="6493" priority="402">
      <formula>AND(C$9&gt;=8/24,C$9&lt;14/24)</formula>
    </cfRule>
    <cfRule type="expression" dxfId="6492" priority="403">
      <formula>C$9&lt;8/24</formula>
    </cfRule>
  </conditionalFormatting>
  <conditionalFormatting sqref="C88 C98:W98 C85:AF87 D102:D108 E76:L77 B78:L78 E69:Z71 M76:AF78">
    <cfRule type="expression" dxfId="6491" priority="396">
      <formula>B$9&gt;=20/24</formula>
    </cfRule>
    <cfRule type="expression" dxfId="6490" priority="397">
      <formula>AND(B$9&gt;=14/24,B$9&lt;20/24)</formula>
    </cfRule>
    <cfRule type="expression" dxfId="6489" priority="398">
      <formula>AND(B$9&gt;=8/24,B$9&lt;14/24)</formula>
    </cfRule>
    <cfRule type="expression" dxfId="6488" priority="399">
      <formula>B$9&lt;8/24</formula>
    </cfRule>
  </conditionalFormatting>
  <conditionalFormatting sqref="I58:S58 E69:Z71">
    <cfRule type="expression" dxfId="6487" priority="395">
      <formula>E58&gt;$AG58</formula>
    </cfRule>
  </conditionalFormatting>
  <conditionalFormatting sqref="C73:D73 D56:H59 I59:S59">
    <cfRule type="expression" dxfId="6486" priority="341">
      <formula>C$9&gt;=20/24</formula>
    </cfRule>
    <cfRule type="expression" dxfId="6485" priority="342">
      <formula>AND(C$9&gt;=14/24,C$9&lt;20/24)</formula>
    </cfRule>
    <cfRule type="expression" dxfId="6484" priority="343">
      <formula>AND(C$9&gt;=8/24,C$9&lt;14/24)</formula>
    </cfRule>
    <cfRule type="expression" dxfId="6483" priority="344">
      <formula>C$9&lt;8/24</formula>
    </cfRule>
  </conditionalFormatting>
  <conditionalFormatting sqref="C89:AF89 C91:AF91 C100:AF100 C72:AF72">
    <cfRule type="expression" dxfId="6482" priority="391">
      <formula>C$9&gt;=20/24</formula>
    </cfRule>
    <cfRule type="expression" dxfId="6481" priority="392">
      <formula>AND(C$9&gt;=14/24,C$9&lt;20/24)</formula>
    </cfRule>
    <cfRule type="expression" dxfId="6480" priority="393">
      <formula>AND(C$9&gt;=8/24,C$9&lt;14/24)</formula>
    </cfRule>
    <cfRule type="expression" dxfId="6479" priority="394">
      <formula>C$9&lt;8/24</formula>
    </cfRule>
  </conditionalFormatting>
  <conditionalFormatting sqref="C72:AF72 D67:AF68">
    <cfRule type="expression" dxfId="6478" priority="390">
      <formula>C67&gt;$AG67</formula>
    </cfRule>
  </conditionalFormatting>
  <conditionalFormatting sqref="C84:AF84">
    <cfRule type="expression" dxfId="6477" priority="386">
      <formula>C$9&gt;=20/24</formula>
    </cfRule>
    <cfRule type="expression" dxfId="6476" priority="387">
      <formula>AND(C$9&gt;=14/24,C$9&lt;20/24)</formula>
    </cfRule>
    <cfRule type="expression" dxfId="6475" priority="388">
      <formula>AND(C$9&gt;=8/24,C$9&lt;14/24)</formula>
    </cfRule>
    <cfRule type="expression" dxfId="6474" priority="389">
      <formula>C$9&lt;8/24</formula>
    </cfRule>
  </conditionalFormatting>
  <conditionalFormatting sqref="C93:W97">
    <cfRule type="expression" dxfId="6473" priority="382">
      <formula>C$9&gt;=20/24</formula>
    </cfRule>
    <cfRule type="expression" dxfId="6472" priority="383">
      <formula>AND(C$9&gt;=14/24,C$9&lt;20/24)</formula>
    </cfRule>
    <cfRule type="expression" dxfId="6471" priority="384">
      <formula>AND(C$9&gt;=8/24,C$9&lt;14/24)</formula>
    </cfRule>
    <cfRule type="expression" dxfId="6470" priority="385">
      <formula>C$9&lt;8/24</formula>
    </cfRule>
  </conditionalFormatting>
  <conditionalFormatting sqref="D54:AF54">
    <cfRule type="expression" dxfId="6469" priority="378">
      <formula>D$9&gt;=20/24</formula>
    </cfRule>
    <cfRule type="expression" dxfId="6468" priority="379">
      <formula>AND(D$9&gt;=14/24,D$9&lt;20/24)</formula>
    </cfRule>
    <cfRule type="expression" dxfId="6467" priority="380">
      <formula>AND(D$9&gt;=8/24,D$9&lt;14/24)</formula>
    </cfRule>
    <cfRule type="expression" dxfId="6466" priority="381">
      <formula>D$9&lt;8/24</formula>
    </cfRule>
  </conditionalFormatting>
  <conditionalFormatting sqref="D54:AF54">
    <cfRule type="expression" dxfId="6465" priority="377">
      <formula>D54&gt;$AG54</formula>
    </cfRule>
  </conditionalFormatting>
  <conditionalFormatting sqref="C112">
    <cfRule type="expression" dxfId="6464" priority="373">
      <formula>C$9&gt;=20/24</formula>
    </cfRule>
    <cfRule type="expression" dxfId="6463" priority="374">
      <formula>AND(C$9&gt;=14/24,C$9&lt;20/24)</formula>
    </cfRule>
    <cfRule type="expression" dxfId="6462" priority="375">
      <formula>AND(C$9&gt;=8/24,C$9&lt;14/24)</formula>
    </cfRule>
    <cfRule type="expression" dxfId="6461" priority="376">
      <formula>C$9&lt;8/24</formula>
    </cfRule>
  </conditionalFormatting>
  <conditionalFormatting sqref="V13:AF13">
    <cfRule type="expression" dxfId="6460" priority="363">
      <formula>V$9&gt;=20/24</formula>
    </cfRule>
    <cfRule type="expression" dxfId="6459" priority="364">
      <formula>AND(V$9&gt;=14/24,V$9&lt;20/24)</formula>
    </cfRule>
    <cfRule type="expression" dxfId="6458" priority="365">
      <formula>AND(V$9&gt;=8/24,V$9&lt;14/24)</formula>
    </cfRule>
    <cfRule type="expression" dxfId="6457" priority="366">
      <formula>V$9&lt;8/24</formula>
    </cfRule>
  </conditionalFormatting>
  <conditionalFormatting sqref="V13:AF13">
    <cfRule type="expression" dxfId="6456" priority="362">
      <formula>V13&gt;$AG13</formula>
    </cfRule>
  </conditionalFormatting>
  <conditionalFormatting sqref="E79:AF83">
    <cfRule type="expression" dxfId="6455" priority="354">
      <formula>E$9&gt;=20/24</formula>
    </cfRule>
    <cfRule type="expression" dxfId="6454" priority="355">
      <formula>AND(E$9&gt;=14/24,E$9&lt;20/24)</formula>
    </cfRule>
    <cfRule type="expression" dxfId="6453" priority="356">
      <formula>AND(E$9&gt;=8/24,E$9&lt;14/24)</formula>
    </cfRule>
    <cfRule type="expression" dxfId="6452" priority="357">
      <formula>E$9&lt;8/24</formula>
    </cfRule>
  </conditionalFormatting>
  <conditionalFormatting sqref="AL80:AN80 AL86:AN86 AN81:AN82">
    <cfRule type="expression" dxfId="6451" priority="350">
      <formula>AL$9&gt;=20/24</formula>
    </cfRule>
    <cfRule type="expression" dxfId="6450" priority="351">
      <formula>AND(AL$9&gt;=14/24,AL$9&lt;20/24)</formula>
    </cfRule>
    <cfRule type="expression" dxfId="6449" priority="352">
      <formula>AND(AL$9&gt;=8/24,AL$9&lt;14/24)</formula>
    </cfRule>
    <cfRule type="expression" dxfId="6448" priority="353">
      <formula>AL$9&lt;8/24</formula>
    </cfRule>
  </conditionalFormatting>
  <conditionalFormatting sqref="AN83:AN84">
    <cfRule type="expression" dxfId="6447" priority="346">
      <formula>AN$9&gt;=20/24</formula>
    </cfRule>
    <cfRule type="expression" dxfId="6446" priority="347">
      <formula>AND(AN$9&gt;=14/24,AN$9&lt;20/24)</formula>
    </cfRule>
    <cfRule type="expression" dxfId="6445" priority="348">
      <formula>AND(AN$9&gt;=8/24,AN$9&lt;14/24)</formula>
    </cfRule>
    <cfRule type="expression" dxfId="6444" priority="349">
      <formula>AN$9&lt;8/24</formula>
    </cfRule>
  </conditionalFormatting>
  <conditionalFormatting sqref="AL81:AM85">
    <cfRule type="expression" dxfId="6443" priority="550">
      <formula>AJ$9&gt;=20/24</formula>
    </cfRule>
    <cfRule type="expression" dxfId="6442" priority="551">
      <formula>AND(AJ$9&gt;=14/24,AJ$9&lt;20/24)</formula>
    </cfRule>
    <cfRule type="expression" dxfId="6441" priority="552">
      <formula>AND(AJ$9&gt;=8/24,AJ$9&lt;14/24)</formula>
    </cfRule>
    <cfRule type="expression" dxfId="6440" priority="553">
      <formula>AJ$9&lt;8/24</formula>
    </cfRule>
  </conditionalFormatting>
  <conditionalFormatting sqref="A120">
    <cfRule type="expression" dxfId="6439" priority="345">
      <formula>$AH120=0</formula>
    </cfRule>
  </conditionalFormatting>
  <conditionalFormatting sqref="D55:H55">
    <cfRule type="expression" dxfId="6438" priority="337">
      <formula>D$9&gt;=20/24</formula>
    </cfRule>
    <cfRule type="expression" dxfId="6437" priority="338">
      <formula>AND(D$9&gt;=14/24,D$9&lt;20/24)</formula>
    </cfRule>
    <cfRule type="expression" dxfId="6436" priority="339">
      <formula>AND(D$9&gt;=8/24,D$9&lt;14/24)</formula>
    </cfRule>
    <cfRule type="expression" dxfId="6435" priority="340">
      <formula>D$9&lt;8/24</formula>
    </cfRule>
  </conditionalFormatting>
  <conditionalFormatting sqref="D55:H59 I59:S59">
    <cfRule type="expression" dxfId="6434" priority="336">
      <formula>D55&gt;$AG55</formula>
    </cfRule>
  </conditionalFormatting>
  <conditionalFormatting sqref="C74:D76 C102:C108 D69:D71 D77 D79:D83">
    <cfRule type="expression" dxfId="6433" priority="332">
      <formula>C$9&gt;=20/24</formula>
    </cfRule>
    <cfRule type="expression" dxfId="6432" priority="333">
      <formula>AND(C$9&gt;=14/24,C$9&lt;20/24)</formula>
    </cfRule>
    <cfRule type="expression" dxfId="6431" priority="334">
      <formula>AND(C$9&gt;=8/24,C$9&lt;14/24)</formula>
    </cfRule>
    <cfRule type="expression" dxfId="6430" priority="335">
      <formula>C$9&lt;8/24</formula>
    </cfRule>
  </conditionalFormatting>
  <conditionalFormatting sqref="D69:D71">
    <cfRule type="expression" dxfId="6429" priority="331">
      <formula>D69&gt;$AG69</formula>
    </cfRule>
  </conditionalFormatting>
  <conditionalFormatting sqref="C90">
    <cfRule type="expression" dxfId="6428" priority="327">
      <formula>C$9&gt;=20/24</formula>
    </cfRule>
    <cfRule type="expression" dxfId="6427" priority="328">
      <formula>AND(C$9&gt;=14/24,C$9&lt;20/24)</formula>
    </cfRule>
    <cfRule type="expression" dxfId="6426" priority="329">
      <formula>AND(C$9&gt;=8/24,C$9&lt;14/24)</formula>
    </cfRule>
    <cfRule type="expression" dxfId="6425" priority="330">
      <formula>C$9&lt;8/24</formula>
    </cfRule>
  </conditionalFormatting>
  <conditionalFormatting sqref="D60:S60">
    <cfRule type="expression" dxfId="6424" priority="318">
      <formula>D$9&gt;=20/24</formula>
    </cfRule>
    <cfRule type="expression" dxfId="6423" priority="319">
      <formula>AND(D$9&gt;=14/24,D$9&lt;20/24)</formula>
    </cfRule>
    <cfRule type="expression" dxfId="6422" priority="320">
      <formula>AND(D$9&gt;=8/24,D$9&lt;14/24)</formula>
    </cfRule>
    <cfRule type="expression" dxfId="6421" priority="321">
      <formula>D$9&lt;8/24</formula>
    </cfRule>
  </conditionalFormatting>
  <conditionalFormatting sqref="D60:S60">
    <cfRule type="expression" dxfId="6420" priority="317">
      <formula>D60&gt;$AG60</formula>
    </cfRule>
  </conditionalFormatting>
  <conditionalFormatting sqref="C69:C71">
    <cfRule type="expression" dxfId="6419" priority="247">
      <formula>C$9&gt;=20/24</formula>
    </cfRule>
    <cfRule type="expression" dxfId="6418" priority="248">
      <formula>AND(C$9&gt;=14/24,C$9&lt;20/24)</formula>
    </cfRule>
    <cfRule type="expression" dxfId="6417" priority="249">
      <formula>AND(C$9&gt;=8/24,C$9&lt;14/24)</formula>
    </cfRule>
    <cfRule type="expression" dxfId="6416" priority="250">
      <formula>C$9&lt;8/24</formula>
    </cfRule>
  </conditionalFormatting>
  <conditionalFormatting sqref="C77">
    <cfRule type="expression" dxfId="6415" priority="313">
      <formula>C$9&gt;=20/24</formula>
    </cfRule>
    <cfRule type="expression" dxfId="6414" priority="314">
      <formula>AND(C$9&gt;=14/24,C$9&lt;20/24)</formula>
    </cfRule>
    <cfRule type="expression" dxfId="6413" priority="315">
      <formula>AND(C$9&gt;=8/24,C$9&lt;14/24)</formula>
    </cfRule>
    <cfRule type="expression" dxfId="6412" priority="316">
      <formula>C$9&lt;8/24</formula>
    </cfRule>
  </conditionalFormatting>
  <conditionalFormatting sqref="E50:AF50">
    <cfRule type="expression" dxfId="6411" priority="312">
      <formula>E50&gt;$AG50</formula>
    </cfRule>
  </conditionalFormatting>
  <conditionalFormatting sqref="D61:AF66">
    <cfRule type="expression" dxfId="6410" priority="308">
      <formula>D$9&gt;=20/24</formula>
    </cfRule>
    <cfRule type="expression" dxfId="6409" priority="309">
      <formula>AND(D$9&gt;=14/24,D$9&lt;20/24)</formula>
    </cfRule>
    <cfRule type="expression" dxfId="6408" priority="310">
      <formula>AND(D$9&gt;=8/24,D$9&lt;14/24)</formula>
    </cfRule>
    <cfRule type="expression" dxfId="6407" priority="311">
      <formula>D$9&lt;8/24</formula>
    </cfRule>
  </conditionalFormatting>
  <conditionalFormatting sqref="D61:AF66">
    <cfRule type="expression" dxfId="6406" priority="307">
      <formula>D61&gt;$AG61</formula>
    </cfRule>
  </conditionalFormatting>
  <conditionalFormatting sqref="C79:C83">
    <cfRule type="expression" dxfId="6405" priority="303">
      <formula>C$9&gt;=20/24</formula>
    </cfRule>
    <cfRule type="expression" dxfId="6404" priority="304">
      <formula>AND(C$9&gt;=14/24,C$9&lt;20/24)</formula>
    </cfRule>
    <cfRule type="expression" dxfId="6403" priority="305">
      <formula>AND(C$9&gt;=8/24,C$9&lt;14/24)</formula>
    </cfRule>
    <cfRule type="expression" dxfId="6402" priority="306">
      <formula>C$9&lt;8/24</formula>
    </cfRule>
  </conditionalFormatting>
  <conditionalFormatting sqref="A11">
    <cfRule type="expression" dxfId="6401" priority="302">
      <formula>$AH11=0</formula>
    </cfRule>
  </conditionalFormatting>
  <conditionalFormatting sqref="V11:AF11">
    <cfRule type="expression" dxfId="6400" priority="298">
      <formula>V$9&gt;=20/24</formula>
    </cfRule>
    <cfRule type="expression" dxfId="6399" priority="299">
      <formula>AND(V$9&gt;=14/24,V$9&lt;20/24)</formula>
    </cfRule>
    <cfRule type="expression" dxfId="6398" priority="300">
      <formula>AND(V$9&gt;=8/24,V$9&lt;14/24)</formula>
    </cfRule>
    <cfRule type="expression" dxfId="6397" priority="301">
      <formula>V$9&lt;8/24</formula>
    </cfRule>
  </conditionalFormatting>
  <conditionalFormatting sqref="V11:AF11">
    <cfRule type="expression" dxfId="6396" priority="297">
      <formula>V11&gt;$AG11</formula>
    </cfRule>
  </conditionalFormatting>
  <conditionalFormatting sqref="A18">
    <cfRule type="expression" dxfId="6395" priority="295">
      <formula>$AH18=0</formula>
    </cfRule>
  </conditionalFormatting>
  <conditionalFormatting sqref="AL18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6394" priority="288">
      <formula>$AH35=0</formula>
    </cfRule>
  </conditionalFormatting>
  <conditionalFormatting sqref="AL35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A46">
    <cfRule type="expression" dxfId="6393" priority="281">
      <formula>$AH46=0</formula>
    </cfRule>
  </conditionalFormatting>
  <conditionalFormatting sqref="AL46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D120:AF120">
    <cfRule type="expression" dxfId="6392" priority="272">
      <formula>D$9&gt;=20/24</formula>
    </cfRule>
    <cfRule type="expression" dxfId="6391" priority="273">
      <formula>AND(D$9&gt;=14/24,D$9&lt;20/24)</formula>
    </cfRule>
    <cfRule type="expression" dxfId="6390" priority="274">
      <formula>AND(D$9&gt;=8/24,D$9&lt;14/24)</formula>
    </cfRule>
    <cfRule type="expression" dxfId="6389" priority="275">
      <formula>D$9&lt;8/24</formula>
    </cfRule>
  </conditionalFormatting>
  <conditionalFormatting sqref="C120">
    <cfRule type="expression" dxfId="6388" priority="268">
      <formula>C$9&gt;=20/24</formula>
    </cfRule>
    <cfRule type="expression" dxfId="6387" priority="269">
      <formula>AND(C$9&gt;=14/24,C$9&lt;20/24)</formula>
    </cfRule>
    <cfRule type="expression" dxfId="6386" priority="270">
      <formula>AND(C$9&gt;=8/24,C$9&lt;14/24)</formula>
    </cfRule>
    <cfRule type="expression" dxfId="6385" priority="271">
      <formula>C$9&lt;8/24</formula>
    </cfRule>
  </conditionalFormatting>
  <conditionalFormatting sqref="C69:C71">
    <cfRule type="expression" dxfId="6384" priority="246">
      <formula>C69&gt;$AG69</formula>
    </cfRule>
  </conditionalFormatting>
  <conditionalFormatting sqref="C67:C68">
    <cfRule type="expression" dxfId="6383" priority="206">
      <formula>C67&gt;$AG67</formula>
    </cfRule>
  </conditionalFormatting>
  <conditionalFormatting sqref="L18:AF18">
    <cfRule type="expression" dxfId="6382" priority="167">
      <formula>L$9&gt;=20/24</formula>
    </cfRule>
    <cfRule type="expression" dxfId="6381" priority="168">
      <formula>AND(L$9&gt;=14/24,L$9&lt;20/24)</formula>
    </cfRule>
    <cfRule type="expression" dxfId="6380" priority="169">
      <formula>AND(L$9&gt;=8/24,L$9&lt;14/24)</formula>
    </cfRule>
    <cfRule type="expression" dxfId="6379" priority="170">
      <formula>L$9&lt;8/24</formula>
    </cfRule>
  </conditionalFormatting>
  <conditionalFormatting sqref="L18:AF18">
    <cfRule type="expression" dxfId="6378" priority="166">
      <formula>L18&gt;$AG18</formula>
    </cfRule>
  </conditionalFormatting>
  <conditionalFormatting sqref="L35:AF35">
    <cfRule type="expression" dxfId="6377" priority="162">
      <formula>L$9&gt;=20/24</formula>
    </cfRule>
    <cfRule type="expression" dxfId="6376" priority="163">
      <formula>AND(L$9&gt;=14/24,L$9&lt;20/24)</formula>
    </cfRule>
    <cfRule type="expression" dxfId="6375" priority="164">
      <formula>AND(L$9&gt;=8/24,L$9&lt;14/24)</formula>
    </cfRule>
    <cfRule type="expression" dxfId="6374" priority="165">
      <formula>L$9&lt;8/24</formula>
    </cfRule>
  </conditionalFormatting>
  <conditionalFormatting sqref="L35:AF35">
    <cfRule type="expression" dxfId="6373" priority="161">
      <formula>L35&gt;$AG35</formula>
    </cfRule>
  </conditionalFormatting>
  <conditionalFormatting sqref="B111 B113:B119 B14:U17 B12:U12 V15:AF17">
    <cfRule type="expression" dxfId="6372" priority="122">
      <formula>B$9&gt;=20/24</formula>
    </cfRule>
    <cfRule type="expression" dxfId="6371" priority="123">
      <formula>AND(B$9&gt;=14/24,B$9&lt;20/24)</formula>
    </cfRule>
    <cfRule type="expression" dxfId="6370" priority="124">
      <formula>AND(B$9&gt;=8/24,B$9&lt;14/24)</formula>
    </cfRule>
    <cfRule type="expression" dxfId="6369" priority="125">
      <formula>B$9&lt;8/24</formula>
    </cfRule>
  </conditionalFormatting>
  <conditionalFormatting sqref="B14:U17 B12:U12 V15:AF17">
    <cfRule type="expression" dxfId="6368" priority="121">
      <formula>B12&gt;$AG12</formula>
    </cfRule>
  </conditionalFormatting>
  <conditionalFormatting sqref="B101">
    <cfRule type="expression" dxfId="6367" priority="117">
      <formula>B$9&gt;=20/24</formula>
    </cfRule>
    <cfRule type="expression" dxfId="6366" priority="118">
      <formula>AND(B$9&gt;=14/24,B$9&lt;20/24)</formula>
    </cfRule>
    <cfRule type="expression" dxfId="6365" priority="119">
      <formula>AND(B$9&gt;=8/24,B$9&lt;14/24)</formula>
    </cfRule>
    <cfRule type="expression" dxfId="6364" priority="120">
      <formula>B$9&lt;8/24</formula>
    </cfRule>
  </conditionalFormatting>
  <conditionalFormatting sqref="B73">
    <cfRule type="expression" dxfId="6363" priority="113">
      <formula>B$9&gt;=20/24</formula>
    </cfRule>
    <cfRule type="expression" dxfId="6362" priority="114">
      <formula>AND(B$9&gt;=14/24,B$9&lt;20/24)</formula>
    </cfRule>
    <cfRule type="expression" dxfId="6361" priority="115">
      <formula>AND(B$9&gt;=8/24,B$9&lt;14/24)</formula>
    </cfRule>
    <cfRule type="expression" dxfId="6360" priority="116">
      <formula>B$9&lt;8/24</formula>
    </cfRule>
  </conditionalFormatting>
  <conditionalFormatting sqref="B88 B98 B74:B76 B69:B71 B49:D49">
    <cfRule type="expression" dxfId="6359" priority="109">
      <formula>B$9&gt;=20/24</formula>
    </cfRule>
    <cfRule type="expression" dxfId="6358" priority="110">
      <formula>AND(B$9&gt;=14/24,B$9&lt;20/24)</formula>
    </cfRule>
    <cfRule type="expression" dxfId="6357" priority="111">
      <formula>AND(B$9&gt;=8/24,B$9&lt;14/24)</formula>
    </cfRule>
    <cfRule type="expression" dxfId="6356" priority="112">
      <formula>B$9&lt;8/24</formula>
    </cfRule>
  </conditionalFormatting>
  <conditionalFormatting sqref="B69:B71 B49:D49">
    <cfRule type="expression" dxfId="6355" priority="108">
      <formula>B49&gt;$AG49</formula>
    </cfRule>
  </conditionalFormatting>
  <conditionalFormatting sqref="B55:C60">
    <cfRule type="expression" dxfId="6354" priority="104">
      <formula>B$9&gt;=20/24</formula>
    </cfRule>
    <cfRule type="expression" dxfId="6353" priority="105">
      <formula>AND(B$9&gt;=14/24,B$9&lt;20/24)</formula>
    </cfRule>
    <cfRule type="expression" dxfId="6352" priority="106">
      <formula>AND(B$9&gt;=8/24,B$9&lt;14/24)</formula>
    </cfRule>
    <cfRule type="expression" dxfId="6351" priority="107">
      <formula>B$9&lt;8/24</formula>
    </cfRule>
  </conditionalFormatting>
  <conditionalFormatting sqref="B55:C60">
    <cfRule type="expression" dxfId="6350" priority="103">
      <formula>B55&gt;$AG55</formula>
    </cfRule>
  </conditionalFormatting>
  <conditionalFormatting sqref="B99 B90">
    <cfRule type="expression" dxfId="6349" priority="99">
      <formula>B$9&gt;=20/24</formula>
    </cfRule>
    <cfRule type="expression" dxfId="6348" priority="100">
      <formula>AND(B$9&gt;=14/24,B$9&lt;20/24)</formula>
    </cfRule>
    <cfRule type="expression" dxfId="6347" priority="101">
      <formula>AND(B$9&gt;=8/24,B$9&lt;14/24)</formula>
    </cfRule>
    <cfRule type="expression" dxfId="6346" priority="102">
      <formula>B$9&lt;8/24</formula>
    </cfRule>
  </conditionalFormatting>
  <conditionalFormatting sqref="B93:B97">
    <cfRule type="expression" dxfId="6345" priority="95">
      <formula>B$9&gt;=20/24</formula>
    </cfRule>
    <cfRule type="expression" dxfId="6344" priority="96">
      <formula>AND(B$9&gt;=14/24,B$9&lt;20/24)</formula>
    </cfRule>
    <cfRule type="expression" dxfId="6343" priority="97">
      <formula>AND(B$9&gt;=8/24,B$9&lt;14/24)</formula>
    </cfRule>
    <cfRule type="expression" dxfId="6342" priority="98">
      <formula>B$9&lt;8/24</formula>
    </cfRule>
  </conditionalFormatting>
  <conditionalFormatting sqref="B51:T53">
    <cfRule type="expression" dxfId="6341" priority="91">
      <formula>B$9&gt;=20/24</formula>
    </cfRule>
    <cfRule type="expression" dxfId="6340" priority="92">
      <formula>AND(B$9&gt;=14/24,B$9&lt;20/24)</formula>
    </cfRule>
    <cfRule type="expression" dxfId="6339" priority="93">
      <formula>AND(B$9&gt;=8/24,B$9&lt;14/24)</formula>
    </cfRule>
    <cfRule type="expression" dxfId="6338" priority="94">
      <formula>B$9&lt;8/24</formula>
    </cfRule>
  </conditionalFormatting>
  <conditionalFormatting sqref="B51:T53">
    <cfRule type="expression" dxfId="6337" priority="90">
      <formula>B51&gt;$AG51</formula>
    </cfRule>
  </conditionalFormatting>
  <conditionalFormatting sqref="B109">
    <cfRule type="expression" dxfId="6336" priority="86">
      <formula>B$9&gt;=20/24</formula>
    </cfRule>
    <cfRule type="expression" dxfId="6335" priority="87">
      <formula>AND(B$9&gt;=14/24,B$9&lt;20/24)</formula>
    </cfRule>
    <cfRule type="expression" dxfId="6334" priority="88">
      <formula>AND(B$9&gt;=8/24,B$9&lt;14/24)</formula>
    </cfRule>
    <cfRule type="expression" dxfId="6333" priority="89">
      <formula>B$9&lt;8/24</formula>
    </cfRule>
  </conditionalFormatting>
  <conditionalFormatting sqref="B112">
    <cfRule type="expression" dxfId="6332" priority="82">
      <formula>B$9&gt;=20/24</formula>
    </cfRule>
    <cfRule type="expression" dxfId="6331" priority="83">
      <formula>AND(B$9&gt;=14/24,B$9&lt;20/24)</formula>
    </cfRule>
    <cfRule type="expression" dxfId="6330" priority="84">
      <formula>AND(B$9&gt;=8/24,B$9&lt;14/24)</formula>
    </cfRule>
    <cfRule type="expression" dxfId="6329" priority="85">
      <formula>B$9&lt;8/24</formula>
    </cfRule>
  </conditionalFormatting>
  <conditionalFormatting sqref="B102:B108">
    <cfRule type="expression" dxfId="6328" priority="78">
      <formula>B$9&gt;=20/24</formula>
    </cfRule>
    <cfRule type="expression" dxfId="6327" priority="79">
      <formula>AND(B$9&gt;=14/24,B$9&lt;20/24)</formula>
    </cfRule>
    <cfRule type="expression" dxfId="6326" priority="80">
      <formula>AND(B$9&gt;=8/24,B$9&lt;14/24)</formula>
    </cfRule>
    <cfRule type="expression" dxfId="6325" priority="81">
      <formula>B$9&lt;8/24</formula>
    </cfRule>
  </conditionalFormatting>
  <conditionalFormatting sqref="B32:AC34 AD32:AF33 B19:AF30 B36:AF45">
    <cfRule type="expression" dxfId="6324" priority="74">
      <formula>B$9&gt;=20/24</formula>
    </cfRule>
    <cfRule type="expression" dxfId="6323" priority="75">
      <formula>AND(B$9&gt;=14/24,B$9&lt;20/24)</formula>
    </cfRule>
    <cfRule type="expression" dxfId="6322" priority="76">
      <formula>AND(B$9&gt;=8/24,B$9&lt;14/24)</formula>
    </cfRule>
    <cfRule type="expression" dxfId="6321" priority="77">
      <formula>B$9&lt;8/24</formula>
    </cfRule>
  </conditionalFormatting>
  <conditionalFormatting sqref="B32:AC34 AD32:AF33 B19:AF30 B36:AF45">
    <cfRule type="expression" dxfId="6320" priority="73">
      <formula>B19&gt;$AG19</formula>
    </cfRule>
  </conditionalFormatting>
  <conditionalFormatting sqref="B85:B87 B77">
    <cfRule type="expression" dxfId="6319" priority="69">
      <formula>B$9&gt;=20/24</formula>
    </cfRule>
    <cfRule type="expression" dxfId="6318" priority="70">
      <formula>AND(B$9&gt;=14/24,B$9&lt;20/24)</formula>
    </cfRule>
    <cfRule type="expression" dxfId="6317" priority="71">
      <formula>AND(B$9&gt;=8/24,B$9&lt;14/24)</formula>
    </cfRule>
    <cfRule type="expression" dxfId="6316" priority="72">
      <formula>B$9&lt;8/24</formula>
    </cfRule>
  </conditionalFormatting>
  <conditionalFormatting sqref="B89 B91 B100 B72">
    <cfRule type="expression" dxfId="6315" priority="65">
      <formula>B$9&gt;=20/24</formula>
    </cfRule>
    <cfRule type="expression" dxfId="6314" priority="66">
      <formula>AND(B$9&gt;=14/24,B$9&lt;20/24)</formula>
    </cfRule>
    <cfRule type="expression" dxfId="6313" priority="67">
      <formula>AND(B$9&gt;=8/24,B$9&lt;14/24)</formula>
    </cfRule>
    <cfRule type="expression" dxfId="6312" priority="68">
      <formula>B$9&lt;8/24</formula>
    </cfRule>
  </conditionalFormatting>
  <conditionalFormatting sqref="B72 B67:B68">
    <cfRule type="expression" dxfId="6311" priority="64">
      <formula>B67&gt;$AG67</formula>
    </cfRule>
  </conditionalFormatting>
  <conditionalFormatting sqref="B84">
    <cfRule type="expression" dxfId="6310" priority="60">
      <formula>B$9&gt;=20/24</formula>
    </cfRule>
    <cfRule type="expression" dxfId="6309" priority="61">
      <formula>AND(B$9&gt;=14/24,B$9&lt;20/24)</formula>
    </cfRule>
    <cfRule type="expression" dxfId="6308" priority="62">
      <formula>AND(B$9&gt;=8/24,B$9&lt;14/24)</formula>
    </cfRule>
    <cfRule type="expression" dxfId="6307" priority="63">
      <formula>B$9&lt;8/24</formula>
    </cfRule>
  </conditionalFormatting>
  <conditionalFormatting sqref="B54:C54">
    <cfRule type="expression" dxfId="6306" priority="56">
      <formula>B$9&gt;=20/24</formula>
    </cfRule>
    <cfRule type="expression" dxfId="6305" priority="57">
      <formula>AND(B$9&gt;=14/24,B$9&lt;20/24)</formula>
    </cfRule>
    <cfRule type="expression" dxfId="6304" priority="58">
      <formula>AND(B$9&gt;=8/24,B$9&lt;14/24)</formula>
    </cfRule>
    <cfRule type="expression" dxfId="6303" priority="59">
      <formula>B$9&lt;8/24</formula>
    </cfRule>
  </conditionalFormatting>
  <conditionalFormatting sqref="B54:C54">
    <cfRule type="expression" dxfId="6302" priority="55">
      <formula>B54&gt;$AG54</formula>
    </cfRule>
  </conditionalFormatting>
  <conditionalFormatting sqref="B61:C66">
    <cfRule type="expression" dxfId="6301" priority="51">
      <formula>B$9&gt;=20/24</formula>
    </cfRule>
    <cfRule type="expression" dxfId="6300" priority="52">
      <formula>AND(B$9&gt;=14/24,B$9&lt;20/24)</formula>
    </cfRule>
    <cfRule type="expression" dxfId="6299" priority="53">
      <formula>AND(B$9&gt;=8/24,B$9&lt;14/24)</formula>
    </cfRule>
    <cfRule type="expression" dxfId="6298" priority="54">
      <formula>B$9&lt;8/24</formula>
    </cfRule>
  </conditionalFormatting>
  <conditionalFormatting sqref="B61:C66">
    <cfRule type="expression" dxfId="6297" priority="50">
      <formula>B61&gt;$AG61</formula>
    </cfRule>
  </conditionalFormatting>
  <conditionalFormatting sqref="B47:AF47">
    <cfRule type="expression" dxfId="6296" priority="49">
      <formula>B47&gt;$AG47</formula>
    </cfRule>
  </conditionalFormatting>
  <conditionalFormatting sqref="B13:U13">
    <cfRule type="expression" dxfId="6295" priority="45">
      <formula>B$9&gt;=20/24</formula>
    </cfRule>
    <cfRule type="expression" dxfId="6294" priority="46">
      <formula>AND(B$9&gt;=14/24,B$9&lt;20/24)</formula>
    </cfRule>
    <cfRule type="expression" dxfId="6293" priority="47">
      <formula>AND(B$9&gt;=8/24,B$9&lt;14/24)</formula>
    </cfRule>
    <cfRule type="expression" dxfId="6292" priority="48">
      <formula>B$9&lt;8/24</formula>
    </cfRule>
  </conditionalFormatting>
  <conditionalFormatting sqref="B13:U13">
    <cfRule type="expression" dxfId="6291" priority="44">
      <formula>B13&gt;$AG13</formula>
    </cfRule>
  </conditionalFormatting>
  <conditionalFormatting sqref="B47:AF47">
    <cfRule type="expression" dxfId="6290" priority="40">
      <formula>B$9&gt;=20/24</formula>
    </cfRule>
    <cfRule type="expression" dxfId="6289" priority="41">
      <formula>AND(B$9&gt;=14/24,B$9&lt;20/24)</formula>
    </cfRule>
    <cfRule type="expression" dxfId="6288" priority="42">
      <formula>AND(B$9&gt;=8/24,B$9&lt;14/24)</formula>
    </cfRule>
    <cfRule type="expression" dxfId="6287" priority="43">
      <formula>B$9&lt;8/24</formula>
    </cfRule>
  </conditionalFormatting>
  <conditionalFormatting sqref="B79:B83">
    <cfRule type="expression" dxfId="6286" priority="36">
      <formula>B$9&gt;=20/24</formula>
    </cfRule>
    <cfRule type="expression" dxfId="6285" priority="37">
      <formula>AND(B$9&gt;=14/24,B$9&lt;20/24)</formula>
    </cfRule>
    <cfRule type="expression" dxfId="6284" priority="38">
      <formula>AND(B$9&gt;=8/24,B$9&lt;14/24)</formula>
    </cfRule>
    <cfRule type="expression" dxfId="6283" priority="39">
      <formula>B$9&lt;8/24</formula>
    </cfRule>
  </conditionalFormatting>
  <conditionalFormatting sqref="B48:AF48">
    <cfRule type="expression" dxfId="6282" priority="32">
      <formula>B$9&gt;=20/24</formula>
    </cfRule>
    <cfRule type="expression" dxfId="6281" priority="33">
      <formula>AND(B$9&gt;=14/24,B$9&lt;20/24)</formula>
    </cfRule>
    <cfRule type="expression" dxfId="6280" priority="34">
      <formula>AND(B$9&gt;=8/24,B$9&lt;14/24)</formula>
    </cfRule>
    <cfRule type="expression" dxfId="6279" priority="35">
      <formula>B$9&lt;8/24</formula>
    </cfRule>
  </conditionalFormatting>
  <conditionalFormatting sqref="B48:AF48">
    <cfRule type="expression" dxfId="6278" priority="31">
      <formula>B48&gt;$AG48</formula>
    </cfRule>
  </conditionalFormatting>
  <conditionalFormatting sqref="B50:D50">
    <cfRule type="expression" dxfId="6277" priority="30">
      <formula>B50&gt;$AG50</formula>
    </cfRule>
  </conditionalFormatting>
  <conditionalFormatting sqref="B11:U11">
    <cfRule type="expression" dxfId="6276" priority="26">
      <formula>B$9&gt;=20/24</formula>
    </cfRule>
    <cfRule type="expression" dxfId="6275" priority="27">
      <formula>AND(B$9&gt;=14/24,B$9&lt;20/24)</formula>
    </cfRule>
    <cfRule type="expression" dxfId="6274" priority="28">
      <formula>AND(B$9&gt;=8/24,B$9&lt;14/24)</formula>
    </cfRule>
    <cfRule type="expression" dxfId="6273" priority="29">
      <formula>B$9&lt;8/24</formula>
    </cfRule>
  </conditionalFormatting>
  <conditionalFormatting sqref="B11:U11">
    <cfRule type="expression" dxfId="6272" priority="25">
      <formula>B11&gt;$AG11</formula>
    </cfRule>
  </conditionalFormatting>
  <conditionalFormatting sqref="B18:K18">
    <cfRule type="expression" dxfId="6271" priority="21">
      <formula>B$9&gt;=20/24</formula>
    </cfRule>
    <cfRule type="expression" dxfId="6270" priority="22">
      <formula>AND(B$9&gt;=14/24,B$9&lt;20/24)</formula>
    </cfRule>
    <cfRule type="expression" dxfId="6269" priority="23">
      <formula>AND(B$9&gt;=8/24,B$9&lt;14/24)</formula>
    </cfRule>
    <cfRule type="expression" dxfId="6268" priority="24">
      <formula>B$9&lt;8/24</formula>
    </cfRule>
  </conditionalFormatting>
  <conditionalFormatting sqref="B18:K18">
    <cfRule type="expression" dxfId="6267" priority="20">
      <formula>B18&gt;$AG18</formula>
    </cfRule>
  </conditionalFormatting>
  <conditionalFormatting sqref="B35:K35">
    <cfRule type="expression" dxfId="6266" priority="16">
      <formula>B$9&gt;=20/24</formula>
    </cfRule>
    <cfRule type="expression" dxfId="6265" priority="17">
      <formula>AND(B$9&gt;=14/24,B$9&lt;20/24)</formula>
    </cfRule>
    <cfRule type="expression" dxfId="6264" priority="18">
      <formula>AND(B$9&gt;=8/24,B$9&lt;14/24)</formula>
    </cfRule>
    <cfRule type="expression" dxfId="6263" priority="19">
      <formula>B$9&lt;8/24</formula>
    </cfRule>
  </conditionalFormatting>
  <conditionalFormatting sqref="B35:K35">
    <cfRule type="expression" dxfId="6262" priority="15">
      <formula>B35&gt;$AG35</formula>
    </cfRule>
  </conditionalFormatting>
  <conditionalFormatting sqref="B46:AF46">
    <cfRule type="expression" dxfId="6261" priority="14">
      <formula>B46&gt;$AG46</formula>
    </cfRule>
  </conditionalFormatting>
  <conditionalFormatting sqref="B46:AF46">
    <cfRule type="expression" dxfId="6260" priority="10">
      <formula>B$9&gt;=20/24</formula>
    </cfRule>
    <cfRule type="expression" dxfId="6259" priority="11">
      <formula>AND(B$9&gt;=14/24,B$9&lt;20/24)</formula>
    </cfRule>
    <cfRule type="expression" dxfId="6258" priority="12">
      <formula>AND(B$9&gt;=8/24,B$9&lt;14/24)</formula>
    </cfRule>
    <cfRule type="expression" dxfId="6257" priority="13">
      <formula>B$9&lt;8/24</formula>
    </cfRule>
  </conditionalFormatting>
  <conditionalFormatting sqref="B120">
    <cfRule type="expression" dxfId="6256" priority="6">
      <formula>B$9&gt;=20/24</formula>
    </cfRule>
    <cfRule type="expression" dxfId="6255" priority="7">
      <formula>AND(B$9&gt;=14/24,B$9&lt;20/24)</formula>
    </cfRule>
    <cfRule type="expression" dxfId="6254" priority="8">
      <formula>AND(B$9&gt;=8/24,B$9&lt;14/24)</formula>
    </cfRule>
    <cfRule type="expression" dxfId="6253" priority="9">
      <formula>B$9&lt;8/24</formula>
    </cfRule>
  </conditionalFormatting>
  <conditionalFormatting sqref="B31:AF31">
    <cfRule type="expression" dxfId="6252" priority="2">
      <formula>B$9&gt;=20/24</formula>
    </cfRule>
    <cfRule type="expression" dxfId="6251" priority="3">
      <formula>AND(B$9&gt;=14/24,B$9&lt;20/24)</formula>
    </cfRule>
    <cfRule type="expression" dxfId="6250" priority="4">
      <formula>AND(B$9&gt;=8/24,B$9&lt;14/24)</formula>
    </cfRule>
    <cfRule type="expression" dxfId="6249" priority="5">
      <formula>B$9&lt;8/24</formula>
    </cfRule>
  </conditionalFormatting>
  <conditionalFormatting sqref="B31:AF31">
    <cfRule type="expression" dxfId="6248" priority="1">
      <formula>B31&gt;$AG31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CCF9-1376-40C2-A88D-239565F08E9F}">
  <dimension ref="A1:CJ281"/>
  <sheetViews>
    <sheetView zoomScaleNormal="100" workbookViewId="0">
      <pane xSplit="1" ySplit="10" topLeftCell="B16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B29" sqref="B29:AF2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7.140625" style="1" customWidth="1"/>
    <col min="12" max="12" width="6.42578125" style="1" bestFit="1" customWidth="1"/>
    <col min="13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5" width="6.85546875" style="1" customWidth="1"/>
    <col min="26" max="26" width="9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2080/03/26</v>
      </c>
      <c r="C4" s="187"/>
      <c r="D4" s="187"/>
      <c r="E4" s="188" t="str">
        <f ca="1">"2079/"&amp;"12/"&amp;INT(MID(CELL("filename",G6),FIND("]",CELL("filename",G6))+1,200))</f>
        <v>2079/12/26</v>
      </c>
      <c r="F4" s="188"/>
      <c r="G4" s="188"/>
      <c r="H4" s="188" t="str">
        <f ca="1">TEXT(E4,"dddd")</f>
        <v>Tuesday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18</v>
      </c>
      <c r="C5" s="30">
        <f t="shared" si="0"/>
        <v>26</v>
      </c>
      <c r="D5" s="30">
        <f t="shared" si="0"/>
        <v>18</v>
      </c>
      <c r="E5" s="30">
        <f t="shared" si="0"/>
        <v>25</v>
      </c>
      <c r="F5" s="30">
        <f t="shared" si="0"/>
        <v>33</v>
      </c>
      <c r="G5" s="30">
        <f t="shared" si="0"/>
        <v>41</v>
      </c>
      <c r="H5" s="30">
        <f t="shared" si="0"/>
        <v>38</v>
      </c>
      <c r="I5" s="30">
        <f t="shared" si="0"/>
        <v>45</v>
      </c>
      <c r="J5" s="30">
        <f t="shared" si="0"/>
        <v>29</v>
      </c>
      <c r="K5" s="30">
        <f t="shared" si="0"/>
        <v>31.6</v>
      </c>
      <c r="L5" s="30">
        <f t="shared" si="0"/>
        <v>31.5</v>
      </c>
      <c r="M5" s="30">
        <f t="shared" si="0"/>
        <v>42.5</v>
      </c>
      <c r="N5" s="30">
        <f t="shared" si="0"/>
        <v>44.4</v>
      </c>
      <c r="O5" s="30">
        <f t="shared" si="0"/>
        <v>38</v>
      </c>
      <c r="P5" s="30">
        <f t="shared" si="0"/>
        <v>38</v>
      </c>
      <c r="Q5" s="30">
        <f t="shared" si="0"/>
        <v>35.6</v>
      </c>
      <c r="R5" s="30">
        <f t="shared" si="0"/>
        <v>30.2</v>
      </c>
      <c r="S5" s="30">
        <f t="shared" si="0"/>
        <v>18.899999999999999</v>
      </c>
      <c r="T5" s="30">
        <f t="shared" si="0"/>
        <v>10.9</v>
      </c>
      <c r="U5" s="30">
        <f t="shared" si="0"/>
        <v>3.8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32.700000000000003</v>
      </c>
      <c r="AA5" s="30">
        <f t="shared" si="0"/>
        <v>54.9</v>
      </c>
      <c r="AB5" s="30">
        <f t="shared" si="0"/>
        <v>52.2</v>
      </c>
      <c r="AC5" s="30">
        <f t="shared" si="0"/>
        <v>21</v>
      </c>
      <c r="AD5" s="30">
        <f t="shared" si="0"/>
        <v>36.799999999999997</v>
      </c>
      <c r="AE5" s="30">
        <f t="shared" si="0"/>
        <v>23.4</v>
      </c>
      <c r="AF5" s="30">
        <f>B84</f>
        <v>27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2037MW at 7:00hr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Load=1937</v>
      </c>
      <c r="B7" s="35">
        <f t="shared" ref="B7:AF7" si="1">B91</f>
        <v>2023.64</v>
      </c>
      <c r="C7" s="35">
        <f t="shared" si="1"/>
        <v>2003.2400000000002</v>
      </c>
      <c r="D7" s="35">
        <f t="shared" si="1"/>
        <v>1976.74</v>
      </c>
      <c r="E7" s="35">
        <f t="shared" si="1"/>
        <v>1970.04</v>
      </c>
      <c r="F7" s="35">
        <f t="shared" si="1"/>
        <v>1969.0400000000002</v>
      </c>
      <c r="G7" s="35">
        <f t="shared" si="1"/>
        <v>1937.0400000000002</v>
      </c>
      <c r="H7" s="35">
        <f t="shared" si="1"/>
        <v>1983.5400000000002</v>
      </c>
      <c r="I7" s="35">
        <f t="shared" si="1"/>
        <v>1981.7400000000002</v>
      </c>
      <c r="J7" s="35">
        <f t="shared" si="1"/>
        <v>2014.1400000000003</v>
      </c>
      <c r="K7" s="35">
        <f t="shared" si="1"/>
        <v>2036.5400000000004</v>
      </c>
      <c r="L7" s="35">
        <f t="shared" si="1"/>
        <v>2028.44</v>
      </c>
      <c r="M7" s="35">
        <f t="shared" si="1"/>
        <v>2003.84</v>
      </c>
      <c r="N7" s="35">
        <f>N91</f>
        <v>1992.84</v>
      </c>
      <c r="O7" s="35">
        <f t="shared" si="1"/>
        <v>2032.94</v>
      </c>
      <c r="P7" s="35">
        <f t="shared" si="1"/>
        <v>2012.5300000000002</v>
      </c>
      <c r="Q7" s="35">
        <f t="shared" si="1"/>
        <v>2061.9300000000003</v>
      </c>
      <c r="R7" s="35">
        <f t="shared" si="1"/>
        <v>2059.5300000000002</v>
      </c>
      <c r="S7" s="35">
        <f t="shared" si="1"/>
        <v>2093.04</v>
      </c>
      <c r="T7" s="35">
        <f t="shared" si="1"/>
        <v>2074.7400000000002</v>
      </c>
      <c r="U7" s="35">
        <f t="shared" si="1"/>
        <v>2050.08</v>
      </c>
      <c r="V7" s="35">
        <f t="shared" si="1"/>
        <v>2027.4799999999998</v>
      </c>
      <c r="W7" s="35">
        <f t="shared" si="1"/>
        <v>2022.08</v>
      </c>
      <c r="X7" s="35">
        <f t="shared" si="1"/>
        <v>2001.7400000000002</v>
      </c>
      <c r="Y7" s="35">
        <f t="shared" si="1"/>
        <v>1997.14</v>
      </c>
      <c r="Z7" s="35">
        <f t="shared" si="1"/>
        <v>2000.8400000000001</v>
      </c>
      <c r="AA7" s="35">
        <f t="shared" si="1"/>
        <v>2059.94</v>
      </c>
      <c r="AB7" s="35">
        <f t="shared" si="1"/>
        <v>2129.2400000000002</v>
      </c>
      <c r="AC7" s="35">
        <f t="shared" si="1"/>
        <v>2099.8399999999997</v>
      </c>
      <c r="AD7" s="35">
        <f t="shared" si="1"/>
        <v>2068.64</v>
      </c>
      <c r="AE7" s="35">
        <f t="shared" si="1"/>
        <v>2043.74</v>
      </c>
      <c r="AF7" s="35">
        <f t="shared" si="1"/>
        <v>1994.14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85</v>
      </c>
      <c r="C11" s="45">
        <v>85</v>
      </c>
      <c r="D11" s="45">
        <v>85</v>
      </c>
      <c r="E11" s="45">
        <v>85</v>
      </c>
      <c r="F11" s="45">
        <v>85</v>
      </c>
      <c r="G11" s="45">
        <v>85</v>
      </c>
      <c r="H11" s="45">
        <v>85</v>
      </c>
      <c r="I11" s="45">
        <v>85</v>
      </c>
      <c r="J11" s="45">
        <v>85</v>
      </c>
      <c r="K11" s="45">
        <v>85</v>
      </c>
      <c r="L11" s="45">
        <v>85</v>
      </c>
      <c r="M11" s="45">
        <v>85</v>
      </c>
      <c r="N11" s="45">
        <v>85</v>
      </c>
      <c r="O11" s="45">
        <v>85</v>
      </c>
      <c r="P11" s="45">
        <v>85.6</v>
      </c>
      <c r="Q11" s="45">
        <v>85.6</v>
      </c>
      <c r="R11" s="45">
        <v>85.6</v>
      </c>
      <c r="S11" s="45">
        <v>85.6</v>
      </c>
      <c r="T11" s="45">
        <v>85.6</v>
      </c>
      <c r="U11" s="45">
        <v>86.5</v>
      </c>
      <c r="V11" s="45">
        <v>86.5</v>
      </c>
      <c r="W11" s="45">
        <v>86.5</v>
      </c>
      <c r="X11" s="45">
        <v>86.6</v>
      </c>
      <c r="Y11" s="45">
        <v>86.6</v>
      </c>
      <c r="Z11" s="45">
        <v>86.6</v>
      </c>
      <c r="AA11" s="45">
        <v>86.6</v>
      </c>
      <c r="AB11" s="45">
        <v>86.6</v>
      </c>
      <c r="AC11" s="45">
        <v>86.6</v>
      </c>
      <c r="AD11" s="45">
        <v>86.6</v>
      </c>
      <c r="AE11" s="45">
        <v>86.6</v>
      </c>
      <c r="AF11" s="45">
        <v>86.6</v>
      </c>
      <c r="AG11" s="46">
        <v>86</v>
      </c>
      <c r="AH11" s="47">
        <f t="shared" ref="AH11:AH76" si="2">MAX(B11:AF11)</f>
        <v>86.6</v>
      </c>
      <c r="AI11" s="48">
        <f t="shared" ref="AI11:AI76" si="3">MIN(B11:AF11)</f>
        <v>85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26</v>
      </c>
      <c r="C12" s="45">
        <v>26</v>
      </c>
      <c r="D12" s="45">
        <v>26</v>
      </c>
      <c r="E12" s="45">
        <v>26</v>
      </c>
      <c r="F12" s="45">
        <v>26</v>
      </c>
      <c r="G12" s="45">
        <v>26</v>
      </c>
      <c r="H12" s="45">
        <v>26</v>
      </c>
      <c r="I12" s="45">
        <v>26</v>
      </c>
      <c r="J12" s="45">
        <v>26</v>
      </c>
      <c r="K12" s="45">
        <v>26</v>
      </c>
      <c r="L12" s="45">
        <v>26</v>
      </c>
      <c r="M12" s="45">
        <v>26</v>
      </c>
      <c r="N12" s="45">
        <v>26</v>
      </c>
      <c r="O12" s="45">
        <v>26</v>
      </c>
      <c r="P12" s="45">
        <v>26</v>
      </c>
      <c r="Q12" s="45">
        <v>26</v>
      </c>
      <c r="R12" s="45">
        <v>26</v>
      </c>
      <c r="S12" s="45">
        <v>26</v>
      </c>
      <c r="T12" s="45">
        <v>26</v>
      </c>
      <c r="U12" s="45">
        <v>20</v>
      </c>
      <c r="V12" s="45">
        <v>20</v>
      </c>
      <c r="W12" s="45">
        <v>20</v>
      </c>
      <c r="X12" s="45">
        <v>15</v>
      </c>
      <c r="Y12" s="45">
        <v>15</v>
      </c>
      <c r="Z12" s="45">
        <v>26</v>
      </c>
      <c r="AA12" s="45">
        <v>26</v>
      </c>
      <c r="AB12" s="45">
        <v>26</v>
      </c>
      <c r="AC12" s="45">
        <v>26</v>
      </c>
      <c r="AD12" s="45">
        <v>26</v>
      </c>
      <c r="AE12" s="45">
        <v>26</v>
      </c>
      <c r="AF12" s="45">
        <v>26</v>
      </c>
      <c r="AG12" s="49">
        <v>54</v>
      </c>
      <c r="AH12" s="47">
        <f t="shared" si="2"/>
        <v>26</v>
      </c>
      <c r="AI12" s="48">
        <f t="shared" si="3"/>
        <v>15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54.9</v>
      </c>
      <c r="C13" s="45">
        <v>54.9</v>
      </c>
      <c r="D13" s="45">
        <v>54.9</v>
      </c>
      <c r="E13" s="45">
        <v>54.9</v>
      </c>
      <c r="F13" s="45">
        <v>54.9</v>
      </c>
      <c r="G13" s="45">
        <v>54.9</v>
      </c>
      <c r="H13" s="45">
        <v>54.9</v>
      </c>
      <c r="I13" s="45">
        <v>54.9</v>
      </c>
      <c r="J13" s="45">
        <v>54.9</v>
      </c>
      <c r="K13" s="45">
        <v>54.9</v>
      </c>
      <c r="L13" s="45">
        <v>54.9</v>
      </c>
      <c r="M13" s="45">
        <v>54.9</v>
      </c>
      <c r="N13" s="45">
        <v>54.9</v>
      </c>
      <c r="O13" s="45">
        <v>54.9</v>
      </c>
      <c r="P13" s="45">
        <v>54.99</v>
      </c>
      <c r="Q13" s="45">
        <v>54.99</v>
      </c>
      <c r="R13" s="45">
        <v>54.99</v>
      </c>
      <c r="S13" s="45">
        <v>54.9</v>
      </c>
      <c r="T13" s="45">
        <v>54.9</v>
      </c>
      <c r="U13" s="45">
        <v>54.7</v>
      </c>
      <c r="V13" s="45">
        <v>54.7</v>
      </c>
      <c r="W13" s="45">
        <v>54.7</v>
      </c>
      <c r="X13" s="45">
        <v>54.9</v>
      </c>
      <c r="Y13" s="45">
        <v>54.9</v>
      </c>
      <c r="Z13" s="45">
        <v>54.9</v>
      </c>
      <c r="AA13" s="45">
        <v>54.9</v>
      </c>
      <c r="AB13" s="45">
        <v>54.9</v>
      </c>
      <c r="AC13" s="45">
        <v>54.9</v>
      </c>
      <c r="AD13" s="45">
        <v>54.9</v>
      </c>
      <c r="AE13" s="45">
        <v>54.9</v>
      </c>
      <c r="AF13" s="45">
        <v>54.9</v>
      </c>
      <c r="AG13" s="46">
        <v>52.4</v>
      </c>
      <c r="AH13" s="47">
        <f t="shared" si="2"/>
        <v>54.99</v>
      </c>
      <c r="AI13" s="48">
        <f t="shared" si="3"/>
        <v>54.7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50.4</v>
      </c>
      <c r="C14" s="50">
        <v>50.4</v>
      </c>
      <c r="D14" s="50">
        <v>50.4</v>
      </c>
      <c r="E14" s="50">
        <v>50.4</v>
      </c>
      <c r="F14" s="50">
        <v>50.4</v>
      </c>
      <c r="G14" s="50">
        <v>50.4</v>
      </c>
      <c r="H14" s="50">
        <v>50.4</v>
      </c>
      <c r="I14" s="50">
        <v>50.4</v>
      </c>
      <c r="J14" s="50">
        <v>50.4</v>
      </c>
      <c r="K14" s="50">
        <v>50.4</v>
      </c>
      <c r="L14" s="50">
        <v>50.4</v>
      </c>
      <c r="M14" s="50">
        <v>50.4</v>
      </c>
      <c r="N14" s="50">
        <v>50.4</v>
      </c>
      <c r="O14" s="50">
        <v>50.4</v>
      </c>
      <c r="P14" s="50">
        <v>50.7</v>
      </c>
      <c r="Q14" s="50">
        <v>50.7</v>
      </c>
      <c r="R14" s="50">
        <v>50.7</v>
      </c>
      <c r="S14" s="50">
        <v>50.7</v>
      </c>
      <c r="T14" s="50">
        <v>50.7</v>
      </c>
      <c r="U14" s="50">
        <v>50.74</v>
      </c>
      <c r="V14" s="50">
        <v>50.74</v>
      </c>
      <c r="W14" s="50">
        <v>50.74</v>
      </c>
      <c r="X14" s="50">
        <v>50.6</v>
      </c>
      <c r="Y14" s="50">
        <v>50.6</v>
      </c>
      <c r="Z14" s="50">
        <v>50.6</v>
      </c>
      <c r="AA14" s="45">
        <v>50.5</v>
      </c>
      <c r="AB14" s="45">
        <v>50.5</v>
      </c>
      <c r="AC14" s="45">
        <v>50.5</v>
      </c>
      <c r="AD14" s="45">
        <v>50.5</v>
      </c>
      <c r="AE14" s="45">
        <v>50.5</v>
      </c>
      <c r="AF14" s="45">
        <v>50.5</v>
      </c>
      <c r="AG14" s="49">
        <v>50</v>
      </c>
      <c r="AH14" s="47">
        <f t="shared" si="2"/>
        <v>50.74</v>
      </c>
      <c r="AI14" s="48">
        <f t="shared" si="3"/>
        <v>50.4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46</v>
      </c>
      <c r="C15" s="45">
        <v>46</v>
      </c>
      <c r="D15" s="45">
        <v>46</v>
      </c>
      <c r="E15" s="45">
        <v>46</v>
      </c>
      <c r="F15" s="45">
        <v>46</v>
      </c>
      <c r="G15" s="45">
        <v>46</v>
      </c>
      <c r="H15" s="45">
        <v>46</v>
      </c>
      <c r="I15" s="45">
        <v>46</v>
      </c>
      <c r="J15" s="45">
        <v>46</v>
      </c>
      <c r="K15" s="45">
        <v>46</v>
      </c>
      <c r="L15" s="45">
        <v>46</v>
      </c>
      <c r="M15" s="45">
        <v>46</v>
      </c>
      <c r="N15" s="45">
        <v>46</v>
      </c>
      <c r="O15" s="45">
        <v>46</v>
      </c>
      <c r="P15" s="45">
        <v>46</v>
      </c>
      <c r="Q15" s="45">
        <v>46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45.8</v>
      </c>
      <c r="AB15" s="45">
        <v>45.8</v>
      </c>
      <c r="AC15" s="45">
        <v>45.8</v>
      </c>
      <c r="AD15" s="45">
        <v>45.8</v>
      </c>
      <c r="AE15" s="45">
        <v>45.8</v>
      </c>
      <c r="AF15" s="45">
        <v>45.8</v>
      </c>
      <c r="AG15" s="49">
        <v>45</v>
      </c>
      <c r="AH15" s="47">
        <f t="shared" si="2"/>
        <v>46</v>
      </c>
      <c r="AI15" s="48">
        <f t="shared" si="3"/>
        <v>45.8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25</v>
      </c>
      <c r="AC16" s="45">
        <v>25</v>
      </c>
      <c r="AD16" s="45">
        <v>25</v>
      </c>
      <c r="AE16" s="45">
        <v>25</v>
      </c>
      <c r="AF16" s="45">
        <v>25</v>
      </c>
      <c r="AG16" s="49">
        <v>44</v>
      </c>
      <c r="AH16" s="47">
        <f>MAX(B16:AG16)</f>
        <v>44</v>
      </c>
      <c r="AI16" s="48">
        <f>MIN(B16:AG16)</f>
        <v>25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36</v>
      </c>
      <c r="C17" s="45">
        <v>32.5</v>
      </c>
      <c r="D17" s="45">
        <v>29</v>
      </c>
      <c r="E17" s="45">
        <v>30</v>
      </c>
      <c r="F17" s="45">
        <v>30</v>
      </c>
      <c r="G17" s="45">
        <v>30</v>
      </c>
      <c r="H17" s="45">
        <v>30</v>
      </c>
      <c r="I17" s="45">
        <v>30</v>
      </c>
      <c r="J17" s="45">
        <v>30</v>
      </c>
      <c r="K17" s="45">
        <v>30</v>
      </c>
      <c r="L17" s="45">
        <v>30</v>
      </c>
      <c r="M17" s="45">
        <v>30</v>
      </c>
      <c r="N17" s="45">
        <v>30</v>
      </c>
      <c r="O17" s="45">
        <v>30</v>
      </c>
      <c r="P17" s="45">
        <v>30</v>
      </c>
      <c r="Q17" s="45">
        <v>30</v>
      </c>
      <c r="R17" s="45">
        <v>30</v>
      </c>
      <c r="S17" s="45">
        <v>30</v>
      </c>
      <c r="T17" s="45">
        <v>30</v>
      </c>
      <c r="U17" s="45">
        <v>30</v>
      </c>
      <c r="V17" s="45">
        <v>30</v>
      </c>
      <c r="W17" s="45">
        <v>30</v>
      </c>
      <c r="X17" s="45">
        <v>30</v>
      </c>
      <c r="Y17" s="45">
        <v>30</v>
      </c>
      <c r="Z17" s="45">
        <v>30</v>
      </c>
      <c r="AA17" s="45">
        <v>31</v>
      </c>
      <c r="AB17" s="45">
        <v>40</v>
      </c>
      <c r="AC17" s="45">
        <v>40</v>
      </c>
      <c r="AD17" s="45">
        <v>40</v>
      </c>
      <c r="AE17" s="45">
        <v>40</v>
      </c>
      <c r="AF17" s="45">
        <v>31</v>
      </c>
      <c r="AG17" s="49">
        <v>42</v>
      </c>
      <c r="AH17" s="47">
        <f t="shared" si="2"/>
        <v>40</v>
      </c>
      <c r="AI17" s="48">
        <f t="shared" si="3"/>
        <v>29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24</v>
      </c>
      <c r="C19" s="45">
        <v>24</v>
      </c>
      <c r="D19" s="45">
        <v>24</v>
      </c>
      <c r="E19" s="45">
        <v>24</v>
      </c>
      <c r="F19" s="45">
        <v>12</v>
      </c>
      <c r="G19" s="45">
        <v>12</v>
      </c>
      <c r="H19" s="45">
        <v>12</v>
      </c>
      <c r="I19" s="45">
        <v>12</v>
      </c>
      <c r="J19" s="45">
        <v>12</v>
      </c>
      <c r="K19" s="45">
        <v>12</v>
      </c>
      <c r="L19" s="45">
        <v>12</v>
      </c>
      <c r="M19" s="45">
        <v>12</v>
      </c>
      <c r="N19" s="45">
        <v>0</v>
      </c>
      <c r="O19" s="45">
        <v>0</v>
      </c>
      <c r="P19" s="45">
        <v>0</v>
      </c>
      <c r="Q19" s="45">
        <v>28</v>
      </c>
      <c r="R19" s="45">
        <v>28</v>
      </c>
      <c r="S19" s="45">
        <v>28</v>
      </c>
      <c r="T19" s="45">
        <v>28</v>
      </c>
      <c r="U19" s="45">
        <v>28</v>
      </c>
      <c r="V19" s="45">
        <v>28</v>
      </c>
      <c r="W19" s="45">
        <v>28</v>
      </c>
      <c r="X19" s="45">
        <v>28</v>
      </c>
      <c r="Y19" s="45">
        <v>28</v>
      </c>
      <c r="Z19" s="45">
        <v>28</v>
      </c>
      <c r="AA19" s="45">
        <v>28</v>
      </c>
      <c r="AB19" s="45">
        <v>28</v>
      </c>
      <c r="AC19" s="45">
        <v>28</v>
      </c>
      <c r="AD19" s="45">
        <v>28</v>
      </c>
      <c r="AE19" s="45">
        <v>28</v>
      </c>
      <c r="AF19" s="45">
        <v>28</v>
      </c>
      <c r="AG19" s="49">
        <v>36</v>
      </c>
      <c r="AH19" s="47">
        <f t="shared" si="2"/>
        <v>28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18.399999999999999</v>
      </c>
      <c r="C20" s="45">
        <v>15.3</v>
      </c>
      <c r="D20" s="45">
        <v>30</v>
      </c>
      <c r="E20" s="45">
        <v>25.6</v>
      </c>
      <c r="F20" s="45">
        <v>29.8</v>
      </c>
      <c r="G20" s="45">
        <v>29.8</v>
      </c>
      <c r="H20" s="45">
        <v>29.8</v>
      </c>
      <c r="I20" s="45">
        <v>29.8</v>
      </c>
      <c r="J20" s="45">
        <v>29.8</v>
      </c>
      <c r="K20" s="45">
        <v>29.8</v>
      </c>
      <c r="L20" s="45">
        <v>29.8</v>
      </c>
      <c r="M20" s="45">
        <v>16</v>
      </c>
      <c r="N20" s="45">
        <v>24</v>
      </c>
      <c r="O20" s="45">
        <v>24</v>
      </c>
      <c r="P20" s="45">
        <v>24</v>
      </c>
      <c r="Q20" s="45">
        <v>30</v>
      </c>
      <c r="R20" s="45">
        <v>30</v>
      </c>
      <c r="S20" s="45">
        <v>30</v>
      </c>
      <c r="T20" s="45">
        <v>30</v>
      </c>
      <c r="U20" s="45">
        <v>30</v>
      </c>
      <c r="V20" s="45">
        <v>30</v>
      </c>
      <c r="W20" s="45">
        <v>30</v>
      </c>
      <c r="X20" s="45">
        <v>30</v>
      </c>
      <c r="Y20" s="45">
        <v>30</v>
      </c>
      <c r="Z20" s="45">
        <v>30</v>
      </c>
      <c r="AA20" s="45">
        <v>25.6</v>
      </c>
      <c r="AB20" s="45">
        <v>29.9</v>
      </c>
      <c r="AC20" s="45">
        <v>29.9</v>
      </c>
      <c r="AD20" s="45">
        <v>29.9</v>
      </c>
      <c r="AE20" s="45">
        <v>29.9</v>
      </c>
      <c r="AF20" s="45">
        <v>10</v>
      </c>
      <c r="AG20" s="51">
        <v>30</v>
      </c>
      <c r="AH20" s="47">
        <f t="shared" si="2"/>
        <v>30</v>
      </c>
      <c r="AI20" s="48">
        <f t="shared" si="3"/>
        <v>10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20.9</v>
      </c>
      <c r="C21" s="45">
        <v>20.9</v>
      </c>
      <c r="D21" s="45">
        <v>20.9</v>
      </c>
      <c r="E21" s="45">
        <v>20.9</v>
      </c>
      <c r="F21" s="45">
        <v>20.9</v>
      </c>
      <c r="G21" s="45">
        <v>20.9</v>
      </c>
      <c r="H21" s="45">
        <v>20.9</v>
      </c>
      <c r="I21" s="45">
        <v>20.9</v>
      </c>
      <c r="J21" s="45">
        <v>20.9</v>
      </c>
      <c r="K21" s="45">
        <v>20.9</v>
      </c>
      <c r="L21" s="45">
        <v>20.9</v>
      </c>
      <c r="M21" s="45">
        <v>20.9</v>
      </c>
      <c r="N21" s="45">
        <v>20.9</v>
      </c>
      <c r="O21" s="45">
        <v>20.9</v>
      </c>
      <c r="P21" s="45">
        <v>20.9</v>
      </c>
      <c r="Q21" s="45">
        <v>20.9</v>
      </c>
      <c r="R21" s="45">
        <v>20.9</v>
      </c>
      <c r="S21" s="45">
        <v>20.9</v>
      </c>
      <c r="T21" s="45">
        <v>20.9</v>
      </c>
      <c r="U21" s="45">
        <v>20.9</v>
      </c>
      <c r="V21" s="45">
        <v>20.9</v>
      </c>
      <c r="W21" s="45">
        <v>20.9</v>
      </c>
      <c r="X21" s="45">
        <v>20.9</v>
      </c>
      <c r="Y21" s="45">
        <v>20.9</v>
      </c>
      <c r="Z21" s="45">
        <v>20.9</v>
      </c>
      <c r="AA21" s="45">
        <v>20.9</v>
      </c>
      <c r="AB21" s="45">
        <v>20.9</v>
      </c>
      <c r="AC21" s="45">
        <v>20.9</v>
      </c>
      <c r="AD21" s="45">
        <v>20.9</v>
      </c>
      <c r="AE21" s="45">
        <v>20.9</v>
      </c>
      <c r="AF21" s="45">
        <v>20.9</v>
      </c>
      <c r="AG21" s="49">
        <v>24.2</v>
      </c>
      <c r="AH21" s="47">
        <f t="shared" si="2"/>
        <v>20.9</v>
      </c>
      <c r="AI21" s="48">
        <f t="shared" si="3"/>
        <v>20.9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28.6</v>
      </c>
      <c r="C22" s="45">
        <v>28.6</v>
      </c>
      <c r="D22" s="45">
        <v>28.6</v>
      </c>
      <c r="E22" s="45">
        <v>28.6</v>
      </c>
      <c r="F22" s="45">
        <v>28.6</v>
      </c>
      <c r="G22" s="45">
        <v>28.6</v>
      </c>
      <c r="H22" s="45">
        <v>28.6</v>
      </c>
      <c r="I22" s="45">
        <v>28.6</v>
      </c>
      <c r="J22" s="45">
        <v>28.6</v>
      </c>
      <c r="K22" s="45">
        <v>28.6</v>
      </c>
      <c r="L22" s="45">
        <v>28.6</v>
      </c>
      <c r="M22" s="45">
        <v>28.6</v>
      </c>
      <c r="N22" s="45">
        <v>28.6</v>
      </c>
      <c r="O22" s="45">
        <v>28.6</v>
      </c>
      <c r="P22" s="45">
        <v>28.6</v>
      </c>
      <c r="Q22" s="45">
        <v>28.6</v>
      </c>
      <c r="R22" s="45">
        <v>28.6</v>
      </c>
      <c r="S22" s="45">
        <v>28.6</v>
      </c>
      <c r="T22" s="45">
        <v>28.6</v>
      </c>
      <c r="U22" s="45">
        <v>28.6</v>
      </c>
      <c r="V22" s="45">
        <v>28.6</v>
      </c>
      <c r="W22" s="45">
        <v>28.6</v>
      </c>
      <c r="X22" s="45">
        <v>28.6</v>
      </c>
      <c r="Y22" s="45">
        <v>28.6</v>
      </c>
      <c r="Z22" s="45">
        <v>20.6</v>
      </c>
      <c r="AA22" s="45">
        <v>20.6</v>
      </c>
      <c r="AB22" s="45">
        <v>20.6</v>
      </c>
      <c r="AC22" s="45">
        <v>20.6</v>
      </c>
      <c r="AD22" s="45">
        <v>20.6</v>
      </c>
      <c r="AE22" s="45">
        <v>20.6</v>
      </c>
      <c r="AF22" s="45">
        <v>20.6</v>
      </c>
      <c r="AG22" s="49">
        <v>28</v>
      </c>
      <c r="AH22" s="47">
        <f t="shared" si="2"/>
        <v>28.6</v>
      </c>
      <c r="AI22" s="48">
        <f t="shared" si="3"/>
        <v>20.6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9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25.4</v>
      </c>
      <c r="C24" s="45">
        <v>25.4</v>
      </c>
      <c r="D24" s="45">
        <v>25.4</v>
      </c>
      <c r="E24" s="45">
        <v>25.4</v>
      </c>
      <c r="F24" s="45">
        <v>25.4</v>
      </c>
      <c r="G24" s="45">
        <v>25.4</v>
      </c>
      <c r="H24" s="45">
        <v>25.4</v>
      </c>
      <c r="I24" s="45">
        <v>25.4</v>
      </c>
      <c r="J24" s="45">
        <v>25.4</v>
      </c>
      <c r="K24" s="45">
        <v>25.4</v>
      </c>
      <c r="L24" s="45">
        <v>25.4</v>
      </c>
      <c r="M24" s="45">
        <v>25.4</v>
      </c>
      <c r="N24" s="45">
        <v>25.4</v>
      </c>
      <c r="O24" s="45">
        <v>25.4</v>
      </c>
      <c r="P24" s="45">
        <v>25.4</v>
      </c>
      <c r="Q24" s="45">
        <v>25.4</v>
      </c>
      <c r="R24" s="45">
        <v>25.4</v>
      </c>
      <c r="S24" s="45">
        <v>25.4</v>
      </c>
      <c r="T24" s="45">
        <v>25.4</v>
      </c>
      <c r="U24" s="45">
        <v>25.4</v>
      </c>
      <c r="V24" s="45">
        <v>25.4</v>
      </c>
      <c r="W24" s="45">
        <v>25.4</v>
      </c>
      <c r="X24" s="45">
        <v>25.4</v>
      </c>
      <c r="Y24" s="45">
        <v>25.4</v>
      </c>
      <c r="Z24" s="45">
        <v>25.4</v>
      </c>
      <c r="AA24" s="45">
        <v>26.2</v>
      </c>
      <c r="AB24" s="45">
        <v>26.2</v>
      </c>
      <c r="AC24" s="45">
        <v>26.2</v>
      </c>
      <c r="AD24" s="45">
        <v>26.2</v>
      </c>
      <c r="AE24" s="45">
        <v>26.2</v>
      </c>
      <c r="AF24" s="45">
        <v>26.2</v>
      </c>
      <c r="AG24" s="49">
        <v>25</v>
      </c>
      <c r="AH24" s="47">
        <f t="shared" si="2"/>
        <v>26.2</v>
      </c>
      <c r="AI24" s="48">
        <f t="shared" si="3"/>
        <v>25.4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15</v>
      </c>
      <c r="C27" s="45">
        <v>12.5</v>
      </c>
      <c r="D27" s="45">
        <v>25</v>
      </c>
      <c r="E27" s="45">
        <v>25</v>
      </c>
      <c r="F27" s="45">
        <v>25</v>
      </c>
      <c r="G27" s="45">
        <v>25</v>
      </c>
      <c r="H27" s="45">
        <v>25</v>
      </c>
      <c r="I27" s="45">
        <v>25</v>
      </c>
      <c r="J27" s="45">
        <v>25</v>
      </c>
      <c r="K27" s="45">
        <v>25</v>
      </c>
      <c r="L27" s="45">
        <v>25</v>
      </c>
      <c r="M27" s="45">
        <v>25</v>
      </c>
      <c r="N27" s="45">
        <v>25</v>
      </c>
      <c r="O27" s="45">
        <v>25</v>
      </c>
      <c r="P27" s="45">
        <v>25</v>
      </c>
      <c r="Q27" s="45">
        <v>25</v>
      </c>
      <c r="R27" s="45">
        <v>25</v>
      </c>
      <c r="S27" s="45">
        <v>25</v>
      </c>
      <c r="T27" s="45">
        <v>25</v>
      </c>
      <c r="U27" s="45">
        <v>25</v>
      </c>
      <c r="V27" s="45">
        <v>25</v>
      </c>
      <c r="W27" s="45">
        <v>25</v>
      </c>
      <c r="X27" s="45">
        <v>25</v>
      </c>
      <c r="Y27" s="45">
        <v>20</v>
      </c>
      <c r="Z27" s="45">
        <v>20</v>
      </c>
      <c r="AA27" s="45">
        <v>25</v>
      </c>
      <c r="AB27" s="45">
        <v>25</v>
      </c>
      <c r="AC27" s="45">
        <v>25</v>
      </c>
      <c r="AD27" s="45">
        <v>25</v>
      </c>
      <c r="AE27" s="45">
        <v>25</v>
      </c>
      <c r="AF27" s="45">
        <v>8</v>
      </c>
      <c r="AG27" s="49">
        <v>25</v>
      </c>
      <c r="AH27" s="47">
        <f t="shared" si="2"/>
        <v>25</v>
      </c>
      <c r="AI27" s="48">
        <f t="shared" si="3"/>
        <v>8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25.7</v>
      </c>
      <c r="C28" s="45">
        <v>25.7</v>
      </c>
      <c r="D28" s="45">
        <v>25.7</v>
      </c>
      <c r="E28" s="45">
        <v>25.7</v>
      </c>
      <c r="F28" s="45">
        <v>25.7</v>
      </c>
      <c r="G28" s="45">
        <v>25.7</v>
      </c>
      <c r="H28" s="45">
        <v>25.7</v>
      </c>
      <c r="I28" s="45">
        <v>25.7</v>
      </c>
      <c r="J28" s="45">
        <v>25.7</v>
      </c>
      <c r="K28" s="45">
        <v>25.7</v>
      </c>
      <c r="L28" s="45">
        <v>25.7</v>
      </c>
      <c r="M28" s="45">
        <v>25.7</v>
      </c>
      <c r="N28" s="45">
        <v>25.7</v>
      </c>
      <c r="O28" s="45">
        <v>25.7</v>
      </c>
      <c r="P28" s="45">
        <v>25.7</v>
      </c>
      <c r="Q28" s="45">
        <v>25.7</v>
      </c>
      <c r="R28" s="45">
        <v>25.7</v>
      </c>
      <c r="S28" s="45">
        <v>25.7</v>
      </c>
      <c r="T28" s="45">
        <v>25.7</v>
      </c>
      <c r="U28" s="45">
        <v>25.7</v>
      </c>
      <c r="V28" s="45">
        <v>25.7</v>
      </c>
      <c r="W28" s="45">
        <v>25.7</v>
      </c>
      <c r="X28" s="45">
        <v>25.7</v>
      </c>
      <c r="Y28" s="45">
        <v>25.7</v>
      </c>
      <c r="Z28" s="45">
        <v>25.7</v>
      </c>
      <c r="AA28" s="45">
        <v>25.7</v>
      </c>
      <c r="AB28" s="45">
        <v>25.7</v>
      </c>
      <c r="AC28" s="45">
        <v>25.7</v>
      </c>
      <c r="AD28" s="45">
        <v>25.7</v>
      </c>
      <c r="AE28" s="45">
        <v>25.7</v>
      </c>
      <c r="AF28" s="45">
        <v>25.7</v>
      </c>
      <c r="AG28" s="49">
        <v>23.5</v>
      </c>
      <c r="AH28" s="47">
        <f t="shared" si="2"/>
        <v>25.7</v>
      </c>
      <c r="AI28" s="48">
        <f t="shared" si="3"/>
        <v>25.7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21.2</v>
      </c>
      <c r="C32" s="45">
        <v>21.2</v>
      </c>
      <c r="D32" s="45">
        <v>21.2</v>
      </c>
      <c r="E32" s="45">
        <v>21.2</v>
      </c>
      <c r="F32" s="45">
        <v>21.2</v>
      </c>
      <c r="G32" s="45">
        <v>21.2</v>
      </c>
      <c r="H32" s="45">
        <v>21.2</v>
      </c>
      <c r="I32" s="45">
        <v>21.2</v>
      </c>
      <c r="J32" s="45">
        <v>21.2</v>
      </c>
      <c r="K32" s="45">
        <v>21.2</v>
      </c>
      <c r="L32" s="45">
        <v>21.2</v>
      </c>
      <c r="M32" s="45">
        <v>21.2</v>
      </c>
      <c r="N32" s="45">
        <v>21.2</v>
      </c>
      <c r="O32" s="45">
        <v>21.2</v>
      </c>
      <c r="P32" s="45">
        <v>21.2</v>
      </c>
      <c r="Q32" s="45">
        <v>21.2</v>
      </c>
      <c r="R32" s="45">
        <v>21.2</v>
      </c>
      <c r="S32" s="45">
        <v>21.2</v>
      </c>
      <c r="T32" s="45">
        <v>21.2</v>
      </c>
      <c r="U32" s="45">
        <v>21.2</v>
      </c>
      <c r="V32" s="45">
        <v>21.2</v>
      </c>
      <c r="W32" s="45">
        <v>21.2</v>
      </c>
      <c r="X32" s="45">
        <v>21.2</v>
      </c>
      <c r="Y32" s="45">
        <v>21.2</v>
      </c>
      <c r="Z32" s="45">
        <v>21.2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21.2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5</v>
      </c>
      <c r="I33" s="45">
        <v>10</v>
      </c>
      <c r="J33" s="45">
        <v>10</v>
      </c>
      <c r="K33" s="45">
        <v>10</v>
      </c>
      <c r="L33" s="45">
        <v>10</v>
      </c>
      <c r="M33" s="45">
        <v>10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10</v>
      </c>
      <c r="AB33" s="45">
        <v>10</v>
      </c>
      <c r="AC33" s="45">
        <v>10</v>
      </c>
      <c r="AD33" s="45">
        <v>10</v>
      </c>
      <c r="AE33" s="45">
        <v>10</v>
      </c>
      <c r="AF33" s="45">
        <v>10</v>
      </c>
      <c r="AG33" s="49">
        <v>20</v>
      </c>
      <c r="AH33" s="47">
        <f t="shared" si="2"/>
        <v>10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5</v>
      </c>
      <c r="K34" s="45">
        <v>5</v>
      </c>
      <c r="L34" s="45">
        <v>5</v>
      </c>
      <c r="M34" s="45">
        <v>5</v>
      </c>
      <c r="N34" s="45">
        <v>4</v>
      </c>
      <c r="O34" s="45">
        <v>4</v>
      </c>
      <c r="P34" s="45">
        <v>4</v>
      </c>
      <c r="Q34" s="45">
        <v>4</v>
      </c>
      <c r="R34" s="45">
        <v>4</v>
      </c>
      <c r="S34" s="45">
        <v>4</v>
      </c>
      <c r="T34" s="45">
        <v>4</v>
      </c>
      <c r="U34" s="45">
        <v>4</v>
      </c>
      <c r="V34" s="45">
        <v>4</v>
      </c>
      <c r="W34" s="45">
        <v>4</v>
      </c>
      <c r="X34" s="45">
        <v>4</v>
      </c>
      <c r="Y34" s="45">
        <v>4</v>
      </c>
      <c r="Z34" s="45">
        <v>4</v>
      </c>
      <c r="AA34" s="45">
        <v>10</v>
      </c>
      <c r="AB34" s="45">
        <v>10</v>
      </c>
      <c r="AC34" s="45">
        <v>10</v>
      </c>
      <c r="AD34" s="45">
        <v>10</v>
      </c>
      <c r="AE34" s="45">
        <v>10</v>
      </c>
      <c r="AF34" s="45">
        <v>10</v>
      </c>
      <c r="AG34" s="49">
        <v>18</v>
      </c>
      <c r="AH34" s="47">
        <f t="shared" si="2"/>
        <v>10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8</v>
      </c>
      <c r="C39" s="45">
        <v>6</v>
      </c>
      <c r="D39" s="45">
        <v>12</v>
      </c>
      <c r="E39" s="45">
        <v>12</v>
      </c>
      <c r="F39" s="45">
        <v>12</v>
      </c>
      <c r="G39" s="45">
        <v>12</v>
      </c>
      <c r="H39" s="45">
        <v>12</v>
      </c>
      <c r="I39" s="45">
        <v>12</v>
      </c>
      <c r="J39" s="45">
        <v>12</v>
      </c>
      <c r="K39" s="45">
        <v>12</v>
      </c>
      <c r="L39" s="45">
        <v>12</v>
      </c>
      <c r="M39" s="45">
        <v>12</v>
      </c>
      <c r="N39" s="45">
        <v>0</v>
      </c>
      <c r="O39" s="45">
        <v>0</v>
      </c>
      <c r="P39" s="45">
        <v>0</v>
      </c>
      <c r="Q39" s="45">
        <v>12</v>
      </c>
      <c r="R39" s="45">
        <v>12</v>
      </c>
      <c r="S39" s="45">
        <v>12</v>
      </c>
      <c r="T39" s="45">
        <v>12</v>
      </c>
      <c r="U39" s="45">
        <v>12</v>
      </c>
      <c r="V39" s="45">
        <v>12</v>
      </c>
      <c r="W39" s="45">
        <v>12</v>
      </c>
      <c r="X39" s="45">
        <v>12</v>
      </c>
      <c r="Y39" s="45">
        <v>12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4</v>
      </c>
      <c r="AG39" s="49">
        <v>12</v>
      </c>
      <c r="AH39" s="47">
        <f t="shared" si="2"/>
        <v>12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7</v>
      </c>
      <c r="C41" s="45">
        <v>7</v>
      </c>
      <c r="D41" s="45">
        <v>7</v>
      </c>
      <c r="E41" s="45">
        <v>7</v>
      </c>
      <c r="F41" s="45">
        <v>7</v>
      </c>
      <c r="G41" s="45">
        <v>7</v>
      </c>
      <c r="H41" s="45">
        <v>7</v>
      </c>
      <c r="I41" s="45">
        <v>7</v>
      </c>
      <c r="J41" s="45">
        <v>7</v>
      </c>
      <c r="K41" s="45">
        <v>7</v>
      </c>
      <c r="L41" s="45">
        <v>7</v>
      </c>
      <c r="M41" s="45">
        <v>7</v>
      </c>
      <c r="N41" s="45">
        <v>7</v>
      </c>
      <c r="O41" s="45">
        <v>7</v>
      </c>
      <c r="P41" s="45">
        <v>7</v>
      </c>
      <c r="Q41" s="45">
        <v>7</v>
      </c>
      <c r="R41" s="45">
        <v>7</v>
      </c>
      <c r="S41" s="45">
        <v>7</v>
      </c>
      <c r="T41" s="45">
        <v>7</v>
      </c>
      <c r="U41" s="45">
        <v>7</v>
      </c>
      <c r="V41" s="45">
        <v>7</v>
      </c>
      <c r="W41" s="45">
        <v>7</v>
      </c>
      <c r="X41" s="45">
        <v>7</v>
      </c>
      <c r="Y41" s="45">
        <v>7</v>
      </c>
      <c r="Z41" s="45">
        <v>7</v>
      </c>
      <c r="AA41" s="45">
        <v>7</v>
      </c>
      <c r="AB41" s="45">
        <v>7</v>
      </c>
      <c r="AC41" s="45">
        <v>7</v>
      </c>
      <c r="AD41" s="45">
        <v>7</v>
      </c>
      <c r="AE41" s="45">
        <v>7</v>
      </c>
      <c r="AF41" s="45">
        <v>7</v>
      </c>
      <c r="AG41" s="49">
        <v>12</v>
      </c>
      <c r="AH41" s="47">
        <f t="shared" si="2"/>
        <v>7</v>
      </c>
      <c r="AI41" s="48">
        <f t="shared" si="3"/>
        <v>7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9</v>
      </c>
      <c r="C42" s="45">
        <v>9</v>
      </c>
      <c r="D42" s="45">
        <v>9</v>
      </c>
      <c r="E42" s="45">
        <v>9</v>
      </c>
      <c r="F42" s="45">
        <v>9</v>
      </c>
      <c r="G42" s="45">
        <v>9</v>
      </c>
      <c r="H42" s="45">
        <v>9</v>
      </c>
      <c r="I42" s="45">
        <v>9</v>
      </c>
      <c r="J42" s="45">
        <v>9</v>
      </c>
      <c r="K42" s="45">
        <v>9</v>
      </c>
      <c r="L42" s="45">
        <v>9</v>
      </c>
      <c r="M42" s="45">
        <v>9</v>
      </c>
      <c r="N42" s="45">
        <v>9</v>
      </c>
      <c r="O42" s="45">
        <v>9</v>
      </c>
      <c r="P42" s="45">
        <v>9</v>
      </c>
      <c r="Q42" s="45">
        <v>9</v>
      </c>
      <c r="R42" s="45">
        <v>9</v>
      </c>
      <c r="S42" s="45">
        <v>9</v>
      </c>
      <c r="T42" s="45">
        <v>9</v>
      </c>
      <c r="U42" s="45">
        <v>9</v>
      </c>
      <c r="V42" s="45">
        <v>9</v>
      </c>
      <c r="W42" s="45">
        <v>9</v>
      </c>
      <c r="X42" s="45">
        <v>9</v>
      </c>
      <c r="Y42" s="45">
        <v>9</v>
      </c>
      <c r="Z42" s="45">
        <v>9</v>
      </c>
      <c r="AA42" s="45">
        <v>9</v>
      </c>
      <c r="AB42" s="45">
        <v>9</v>
      </c>
      <c r="AC42" s="45">
        <v>9</v>
      </c>
      <c r="AD42" s="45">
        <v>9</v>
      </c>
      <c r="AE42" s="45">
        <v>9</v>
      </c>
      <c r="AF42" s="45">
        <v>9</v>
      </c>
      <c r="AG42" s="52">
        <v>22</v>
      </c>
      <c r="AH42" s="47">
        <f t="shared" si="2"/>
        <v>9</v>
      </c>
      <c r="AI42" s="48">
        <f t="shared" si="3"/>
        <v>9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2"/>
        <v>11.3</v>
      </c>
      <c r="AI43" s="48">
        <f t="shared" si="3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5</v>
      </c>
      <c r="C45" s="45">
        <v>5</v>
      </c>
      <c r="D45" s="45">
        <v>5</v>
      </c>
      <c r="E45" s="45">
        <v>5</v>
      </c>
      <c r="F45" s="45">
        <v>5</v>
      </c>
      <c r="G45" s="45">
        <v>5</v>
      </c>
      <c r="H45" s="45">
        <v>5</v>
      </c>
      <c r="I45" s="45">
        <v>5</v>
      </c>
      <c r="J45" s="45">
        <v>5</v>
      </c>
      <c r="K45" s="45">
        <v>5</v>
      </c>
      <c r="L45" s="45">
        <v>5</v>
      </c>
      <c r="M45" s="45">
        <v>5</v>
      </c>
      <c r="N45" s="45">
        <v>5</v>
      </c>
      <c r="O45" s="45">
        <v>5</v>
      </c>
      <c r="P45" s="45">
        <v>5</v>
      </c>
      <c r="Q45" s="45">
        <v>5</v>
      </c>
      <c r="R45" s="45">
        <v>5</v>
      </c>
      <c r="S45" s="45">
        <v>5</v>
      </c>
      <c r="T45" s="45">
        <v>5</v>
      </c>
      <c r="U45" s="45">
        <v>5</v>
      </c>
      <c r="V45" s="45">
        <v>5</v>
      </c>
      <c r="W45" s="45">
        <v>5</v>
      </c>
      <c r="X45" s="45">
        <v>5</v>
      </c>
      <c r="Y45" s="45">
        <v>5</v>
      </c>
      <c r="Z45" s="45">
        <v>5</v>
      </c>
      <c r="AA45" s="45">
        <v>10</v>
      </c>
      <c r="AB45" s="45">
        <v>10</v>
      </c>
      <c r="AC45" s="45">
        <v>10</v>
      </c>
      <c r="AD45" s="45">
        <v>10</v>
      </c>
      <c r="AE45" s="45">
        <v>10</v>
      </c>
      <c r="AF45" s="45">
        <v>10</v>
      </c>
      <c r="AG45" s="54">
        <v>10</v>
      </c>
      <c r="AH45" s="47">
        <f t="shared" si="2"/>
        <v>10</v>
      </c>
      <c r="AI45" s="48">
        <f t="shared" si="3"/>
        <v>5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AF50" si="4">SUM(B11:B48)</f>
        <v>1041</v>
      </c>
      <c r="C50" s="59">
        <f t="shared" si="4"/>
        <v>1029.9000000000001</v>
      </c>
      <c r="D50" s="59">
        <f t="shared" si="4"/>
        <v>1059.6000000000001</v>
      </c>
      <c r="E50" s="59">
        <f t="shared" si="4"/>
        <v>1056.2</v>
      </c>
      <c r="F50" s="59">
        <f t="shared" si="4"/>
        <v>1048.4000000000001</v>
      </c>
      <c r="G50" s="59">
        <f t="shared" si="4"/>
        <v>1038.4000000000001</v>
      </c>
      <c r="H50" s="59">
        <f t="shared" si="4"/>
        <v>1043.4000000000001</v>
      </c>
      <c r="I50" s="59">
        <f t="shared" si="4"/>
        <v>1048.4000000000001</v>
      </c>
      <c r="J50" s="59">
        <f t="shared" si="4"/>
        <v>1053.4000000000001</v>
      </c>
      <c r="K50" s="59">
        <f t="shared" si="4"/>
        <v>1053.4000000000001</v>
      </c>
      <c r="L50" s="59">
        <f t="shared" si="4"/>
        <v>1053.4000000000001</v>
      </c>
      <c r="M50" s="59">
        <f t="shared" si="4"/>
        <v>1039.6000000000001</v>
      </c>
      <c r="N50" s="59">
        <f t="shared" si="4"/>
        <v>1017.6000000000001</v>
      </c>
      <c r="O50" s="59">
        <f t="shared" ref="O50" si="5">SUM(O11:O48)</f>
        <v>1017.6000000000001</v>
      </c>
      <c r="P50" s="59">
        <f t="shared" si="4"/>
        <v>1018.5900000000001</v>
      </c>
      <c r="Q50" s="59">
        <f t="shared" si="4"/>
        <v>1074.5900000000001</v>
      </c>
      <c r="R50" s="59">
        <f t="shared" si="4"/>
        <v>1074.5900000000001</v>
      </c>
      <c r="S50" s="59">
        <f t="shared" si="4"/>
        <v>1074.5</v>
      </c>
      <c r="T50" s="59">
        <f t="shared" si="4"/>
        <v>1074.5</v>
      </c>
      <c r="U50" s="59">
        <f t="shared" si="4"/>
        <v>1069.24</v>
      </c>
      <c r="V50" s="59">
        <f t="shared" si="4"/>
        <v>1069.24</v>
      </c>
      <c r="W50" s="59">
        <f t="shared" si="4"/>
        <v>1069.24</v>
      </c>
      <c r="X50" s="59">
        <f t="shared" si="4"/>
        <v>1064.4000000000001</v>
      </c>
      <c r="Y50" s="59">
        <f t="shared" si="4"/>
        <v>1059.4000000000001</v>
      </c>
      <c r="Z50" s="59">
        <f t="shared" si="4"/>
        <v>1062.4000000000001</v>
      </c>
      <c r="AA50" s="59">
        <f>SUM(AA11:AA48)</f>
        <v>1081.3000000000002</v>
      </c>
      <c r="AB50" s="59">
        <f t="shared" si="4"/>
        <v>1075.5999999999999</v>
      </c>
      <c r="AC50" s="59">
        <f t="shared" si="4"/>
        <v>1075.5999999999999</v>
      </c>
      <c r="AD50" s="59">
        <f t="shared" si="4"/>
        <v>1075.5999999999999</v>
      </c>
      <c r="AE50" s="59">
        <f t="shared" si="4"/>
        <v>1075.5999999999999</v>
      </c>
      <c r="AF50" s="59">
        <f t="shared" si="4"/>
        <v>1021.7</v>
      </c>
      <c r="AG50" s="60">
        <f>SUM(AG13:AG48)</f>
        <v>922.14</v>
      </c>
      <c r="AH50" s="47">
        <f t="shared" si="2"/>
        <v>1081.3000000000002</v>
      </c>
      <c r="AI50" s="48">
        <f t="shared" si="3"/>
        <v>1017.6000000000001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22.4</v>
      </c>
      <c r="C53" s="66">
        <v>22.4</v>
      </c>
      <c r="D53" s="66">
        <v>22.4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22.4</v>
      </c>
      <c r="M53" s="66">
        <v>22.4</v>
      </c>
      <c r="N53" s="66">
        <v>22.4</v>
      </c>
      <c r="O53" s="66">
        <v>22.4</v>
      </c>
      <c r="P53" s="66">
        <v>22.4</v>
      </c>
      <c r="Q53" s="66">
        <v>22.4</v>
      </c>
      <c r="R53" s="66">
        <v>22.4</v>
      </c>
      <c r="S53" s="66">
        <v>22.4</v>
      </c>
      <c r="T53" s="66">
        <v>22.4</v>
      </c>
      <c r="U53" s="66">
        <v>22.4</v>
      </c>
      <c r="V53" s="66">
        <v>22.4</v>
      </c>
      <c r="W53" s="66">
        <v>22.4</v>
      </c>
      <c r="X53" s="66">
        <v>22.4</v>
      </c>
      <c r="Y53" s="66">
        <v>22.4</v>
      </c>
      <c r="Z53" s="66">
        <v>22.4</v>
      </c>
      <c r="AA53" s="66">
        <v>22</v>
      </c>
      <c r="AB53" s="66">
        <v>22</v>
      </c>
      <c r="AC53" s="66">
        <v>22</v>
      </c>
      <c r="AD53" s="66">
        <v>22</v>
      </c>
      <c r="AE53" s="66">
        <v>22</v>
      </c>
      <c r="AF53" s="66">
        <v>22</v>
      </c>
      <c r="AG53" s="67">
        <v>22.1</v>
      </c>
      <c r="AH53" s="47">
        <f t="shared" si="2"/>
        <v>22.4</v>
      </c>
      <c r="AI53" s="48">
        <f t="shared" si="3"/>
        <v>22</v>
      </c>
      <c r="AK53" s="74"/>
    </row>
    <row r="54" spans="1:41" ht="15.75" thickBot="1" x14ac:dyDescent="0.3">
      <c r="A54" s="68" t="s">
        <v>70</v>
      </c>
      <c r="B54" s="59">
        <f t="shared" ref="B54:AG54" si="6">SUM(B51:B53)</f>
        <v>533.4</v>
      </c>
      <c r="C54" s="59">
        <f t="shared" si="6"/>
        <v>533.4</v>
      </c>
      <c r="D54" s="59">
        <f t="shared" si="6"/>
        <v>533.4</v>
      </c>
      <c r="E54" s="59">
        <f t="shared" si="6"/>
        <v>533.4</v>
      </c>
      <c r="F54" s="59">
        <f t="shared" si="6"/>
        <v>533.4</v>
      </c>
      <c r="G54" s="59">
        <f t="shared" si="6"/>
        <v>533.4</v>
      </c>
      <c r="H54" s="59">
        <f t="shared" si="6"/>
        <v>533.4</v>
      </c>
      <c r="I54" s="59">
        <f t="shared" si="6"/>
        <v>533.4</v>
      </c>
      <c r="J54" s="59">
        <f t="shared" si="6"/>
        <v>533.4</v>
      </c>
      <c r="K54" s="59">
        <f t="shared" si="6"/>
        <v>533.4</v>
      </c>
      <c r="L54" s="59">
        <f t="shared" si="6"/>
        <v>533.4</v>
      </c>
      <c r="M54" s="59">
        <f t="shared" si="6"/>
        <v>533.4</v>
      </c>
      <c r="N54" s="59">
        <f t="shared" si="6"/>
        <v>533.4</v>
      </c>
      <c r="O54" s="59">
        <f t="shared" ref="O54" si="7">SUM(O51:O53)</f>
        <v>533.4</v>
      </c>
      <c r="P54" s="59">
        <f t="shared" si="6"/>
        <v>533.4</v>
      </c>
      <c r="Q54" s="59">
        <f t="shared" si="6"/>
        <v>533.4</v>
      </c>
      <c r="R54" s="59">
        <f t="shared" si="6"/>
        <v>533.4</v>
      </c>
      <c r="S54" s="59">
        <f t="shared" si="6"/>
        <v>533.4</v>
      </c>
      <c r="T54" s="59">
        <f t="shared" si="6"/>
        <v>533.4</v>
      </c>
      <c r="U54" s="59">
        <f t="shared" si="6"/>
        <v>533.4</v>
      </c>
      <c r="V54" s="59">
        <f t="shared" si="6"/>
        <v>533.4</v>
      </c>
      <c r="W54" s="59">
        <f t="shared" si="6"/>
        <v>533.4</v>
      </c>
      <c r="X54" s="59">
        <f t="shared" si="6"/>
        <v>533.4</v>
      </c>
      <c r="Y54" s="59">
        <f t="shared" si="6"/>
        <v>533.4</v>
      </c>
      <c r="Z54" s="59">
        <f t="shared" si="6"/>
        <v>533.4</v>
      </c>
      <c r="AA54" s="59">
        <f>SUM(AA51:AA53)</f>
        <v>533</v>
      </c>
      <c r="AB54" s="59">
        <f t="shared" si="6"/>
        <v>533</v>
      </c>
      <c r="AC54" s="59">
        <f t="shared" si="6"/>
        <v>533</v>
      </c>
      <c r="AD54" s="59">
        <f t="shared" si="6"/>
        <v>533</v>
      </c>
      <c r="AE54" s="59">
        <f t="shared" si="6"/>
        <v>533</v>
      </c>
      <c r="AF54" s="59">
        <f t="shared" si="6"/>
        <v>533</v>
      </c>
      <c r="AG54" s="60">
        <f t="shared" si="6"/>
        <v>538.1</v>
      </c>
      <c r="AH54" s="47">
        <f t="shared" si="2"/>
        <v>533.4</v>
      </c>
      <c r="AI54" s="48">
        <f t="shared" si="3"/>
        <v>533</v>
      </c>
      <c r="AK54" s="74"/>
    </row>
    <row r="55" spans="1:41" x14ac:dyDescent="0.25">
      <c r="A55" s="44" t="s">
        <v>71</v>
      </c>
      <c r="B55" s="45">
        <v>135</v>
      </c>
      <c r="C55" s="45">
        <v>134.69999999999999</v>
      </c>
      <c r="D55" s="45">
        <v>134.69999999999999</v>
      </c>
      <c r="E55" s="45">
        <v>138.9</v>
      </c>
      <c r="F55" s="45">
        <v>138.80000000000001</v>
      </c>
      <c r="G55" s="45">
        <v>138.80000000000001</v>
      </c>
      <c r="H55" s="45">
        <v>138.80000000000001</v>
      </c>
      <c r="I55" s="45">
        <v>138.5</v>
      </c>
      <c r="J55" s="45">
        <v>138.6</v>
      </c>
      <c r="K55" s="45">
        <v>138.6</v>
      </c>
      <c r="L55" s="45">
        <v>138.6</v>
      </c>
      <c r="M55" s="45">
        <v>139</v>
      </c>
      <c r="N55" s="45">
        <v>139</v>
      </c>
      <c r="O55" s="45">
        <v>139</v>
      </c>
      <c r="P55" s="45">
        <v>139</v>
      </c>
      <c r="Q55" s="45">
        <v>137</v>
      </c>
      <c r="R55" s="45">
        <v>137</v>
      </c>
      <c r="S55" s="45">
        <v>138.1</v>
      </c>
      <c r="T55" s="45">
        <v>134.5</v>
      </c>
      <c r="U55" s="45">
        <v>134.4</v>
      </c>
      <c r="V55" s="45">
        <v>134.5</v>
      </c>
      <c r="W55" s="45">
        <v>134.5</v>
      </c>
      <c r="X55" s="45">
        <v>134.4</v>
      </c>
      <c r="Y55" s="45">
        <v>134.6</v>
      </c>
      <c r="Z55" s="45">
        <v>135.6</v>
      </c>
      <c r="AA55" s="45">
        <v>137.80000000000001</v>
      </c>
      <c r="AB55" s="45">
        <v>140.30000000000001</v>
      </c>
      <c r="AC55" s="45">
        <v>140.30000000000001</v>
      </c>
      <c r="AD55" s="45">
        <v>140.30000000000001</v>
      </c>
      <c r="AE55" s="45">
        <v>140.30000000000001</v>
      </c>
      <c r="AF55" s="45">
        <v>140.30000000000001</v>
      </c>
      <c r="AG55" s="51">
        <v>144</v>
      </c>
      <c r="AH55" s="47">
        <f t="shared" si="2"/>
        <v>140.30000000000001</v>
      </c>
      <c r="AI55" s="48">
        <f t="shared" si="3"/>
        <v>134.4</v>
      </c>
      <c r="AK55" s="74"/>
    </row>
    <row r="56" spans="1:41" x14ac:dyDescent="0.25">
      <c r="A56" s="53" t="s">
        <v>72</v>
      </c>
      <c r="B56" s="64">
        <v>69.8</v>
      </c>
      <c r="C56" s="64">
        <v>69.8</v>
      </c>
      <c r="D56" s="64">
        <v>69.8</v>
      </c>
      <c r="E56" s="64">
        <v>70.3</v>
      </c>
      <c r="F56" s="64">
        <v>70.2</v>
      </c>
      <c r="G56" s="64">
        <v>70.2</v>
      </c>
      <c r="H56" s="64">
        <v>70.2</v>
      </c>
      <c r="I56" s="64">
        <v>69.900000000000006</v>
      </c>
      <c r="J56" s="64">
        <v>71.2</v>
      </c>
      <c r="K56" s="64">
        <v>71.2</v>
      </c>
      <c r="L56" s="64">
        <v>71.2</v>
      </c>
      <c r="M56" s="64">
        <v>71.2</v>
      </c>
      <c r="N56" s="64">
        <v>71.2</v>
      </c>
      <c r="O56" s="64">
        <v>71.2</v>
      </c>
      <c r="P56" s="64">
        <v>71.2</v>
      </c>
      <c r="Q56" s="64">
        <v>70</v>
      </c>
      <c r="R56" s="64">
        <v>70</v>
      </c>
      <c r="S56" s="45">
        <v>70</v>
      </c>
      <c r="T56" s="45">
        <v>70.5</v>
      </c>
      <c r="U56" s="45">
        <v>70.5</v>
      </c>
      <c r="V56" s="45">
        <v>72.400000000000006</v>
      </c>
      <c r="W56" s="45">
        <v>72.400000000000006</v>
      </c>
      <c r="X56" s="45">
        <v>70.900000000000006</v>
      </c>
      <c r="Y56" s="45">
        <v>71.5</v>
      </c>
      <c r="Z56" s="45">
        <v>71.400000000000006</v>
      </c>
      <c r="AA56" s="45">
        <v>70.8</v>
      </c>
      <c r="AB56" s="45">
        <v>70.2</v>
      </c>
      <c r="AC56" s="45">
        <v>70.2</v>
      </c>
      <c r="AD56" s="45">
        <v>70.2</v>
      </c>
      <c r="AE56" s="45">
        <v>70.2</v>
      </c>
      <c r="AF56" s="45">
        <v>70.2</v>
      </c>
      <c r="AG56" s="54">
        <v>70</v>
      </c>
      <c r="AH56" s="47">
        <f t="shared" si="2"/>
        <v>72.400000000000006</v>
      </c>
      <c r="AI56" s="48">
        <f t="shared" si="3"/>
        <v>69.8</v>
      </c>
      <c r="AK56" s="74"/>
    </row>
    <row r="57" spans="1:41" x14ac:dyDescent="0.25">
      <c r="A57" s="53" t="s">
        <v>73</v>
      </c>
      <c r="B57" s="64">
        <v>64.2</v>
      </c>
      <c r="C57" s="64">
        <v>64.2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67.599999999999994</v>
      </c>
      <c r="N57" s="64">
        <v>67.599999999999994</v>
      </c>
      <c r="O57" s="64">
        <v>67.599999999999994</v>
      </c>
      <c r="P57" s="64">
        <v>67.599999999999994</v>
      </c>
      <c r="Q57" s="64">
        <v>64.2</v>
      </c>
      <c r="R57" s="64">
        <v>64.2</v>
      </c>
      <c r="S57" s="45">
        <v>65</v>
      </c>
      <c r="T57" s="45">
        <v>65.2</v>
      </c>
      <c r="U57" s="45">
        <v>64.900000000000006</v>
      </c>
      <c r="V57" s="45">
        <v>64.7</v>
      </c>
      <c r="W57" s="45">
        <v>64.7</v>
      </c>
      <c r="X57" s="45">
        <v>65.2</v>
      </c>
      <c r="Y57" s="45">
        <v>65.099999999999994</v>
      </c>
      <c r="Z57" s="45">
        <v>65.599999999999994</v>
      </c>
      <c r="AA57" s="45">
        <v>64.2</v>
      </c>
      <c r="AB57" s="45">
        <v>65.599999999999994</v>
      </c>
      <c r="AC57" s="45">
        <v>65.599999999999994</v>
      </c>
      <c r="AD57" s="45">
        <v>65.599999999999994</v>
      </c>
      <c r="AE57" s="45">
        <v>65.599999999999994</v>
      </c>
      <c r="AF57" s="45">
        <v>65.599999999999994</v>
      </c>
      <c r="AG57" s="54">
        <v>69</v>
      </c>
      <c r="AH57" s="47">
        <f t="shared" si="2"/>
        <v>67.599999999999994</v>
      </c>
      <c r="AI57" s="48">
        <f t="shared" si="3"/>
        <v>0</v>
      </c>
      <c r="AK57" s="74"/>
    </row>
    <row r="58" spans="1:41" x14ac:dyDescent="0.25">
      <c r="A58" s="53" t="s">
        <v>74</v>
      </c>
      <c r="B58" s="64">
        <v>60.9</v>
      </c>
      <c r="C58" s="64">
        <v>60.9</v>
      </c>
      <c r="D58" s="64">
        <v>60.9</v>
      </c>
      <c r="E58" s="56">
        <v>60.9</v>
      </c>
      <c r="F58" s="56">
        <v>60.9</v>
      </c>
      <c r="G58" s="56">
        <v>60.9</v>
      </c>
      <c r="H58" s="56">
        <v>60.9</v>
      </c>
      <c r="I58" s="56">
        <v>60.9</v>
      </c>
      <c r="J58" s="56">
        <v>60.9</v>
      </c>
      <c r="K58" s="56">
        <v>60.9</v>
      </c>
      <c r="L58" s="56">
        <v>60.9</v>
      </c>
      <c r="M58" s="56">
        <v>60.9</v>
      </c>
      <c r="N58" s="56">
        <v>60.9</v>
      </c>
      <c r="O58" s="56">
        <v>60.9</v>
      </c>
      <c r="P58" s="56">
        <v>60.9</v>
      </c>
      <c r="Q58" s="56">
        <v>60.9</v>
      </c>
      <c r="R58" s="56">
        <v>60.9</v>
      </c>
      <c r="S58" s="45">
        <v>60.4</v>
      </c>
      <c r="T58" s="45">
        <v>58.5</v>
      </c>
      <c r="U58" s="45">
        <v>58.5</v>
      </c>
      <c r="V58" s="45">
        <v>58.5</v>
      </c>
      <c r="W58" s="45">
        <v>58.5</v>
      </c>
      <c r="X58" s="45">
        <v>60.9</v>
      </c>
      <c r="Y58" s="45">
        <v>60.9</v>
      </c>
      <c r="Z58" s="45">
        <v>60.9</v>
      </c>
      <c r="AA58" s="45">
        <v>60.9</v>
      </c>
      <c r="AB58" s="45">
        <v>60.7</v>
      </c>
      <c r="AC58" s="45">
        <v>60.7</v>
      </c>
      <c r="AD58" s="45">
        <v>60.7</v>
      </c>
      <c r="AE58" s="45">
        <v>20</v>
      </c>
      <c r="AF58" s="45">
        <v>60.7</v>
      </c>
      <c r="AG58" s="54">
        <v>60</v>
      </c>
      <c r="AH58" s="47">
        <f t="shared" si="2"/>
        <v>60.9</v>
      </c>
      <c r="AI58" s="48">
        <f t="shared" si="3"/>
        <v>20</v>
      </c>
      <c r="AK58" s="74"/>
    </row>
    <row r="59" spans="1:41" x14ac:dyDescent="0.25">
      <c r="A59" s="53" t="s">
        <v>75</v>
      </c>
      <c r="B59" s="64">
        <v>30</v>
      </c>
      <c r="C59" s="64">
        <v>30</v>
      </c>
      <c r="D59" s="64">
        <v>30</v>
      </c>
      <c r="E59" s="56">
        <v>30</v>
      </c>
      <c r="F59" s="56">
        <v>30</v>
      </c>
      <c r="G59" s="56">
        <v>0</v>
      </c>
      <c r="H59" s="56">
        <v>0</v>
      </c>
      <c r="I59" s="56">
        <v>0</v>
      </c>
      <c r="J59" s="56">
        <v>0</v>
      </c>
      <c r="K59" s="56">
        <v>0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45">
        <v>0</v>
      </c>
      <c r="T59" s="45">
        <v>0</v>
      </c>
      <c r="U59" s="45">
        <v>0</v>
      </c>
      <c r="V59" s="45">
        <v>26.5</v>
      </c>
      <c r="W59" s="45">
        <v>26.5</v>
      </c>
      <c r="X59" s="45">
        <v>26.5</v>
      </c>
      <c r="Y59" s="45">
        <v>26.5</v>
      </c>
      <c r="Z59" s="45">
        <v>26.5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1.3</v>
      </c>
      <c r="K60" s="64">
        <v>1.3</v>
      </c>
      <c r="L60" s="64">
        <v>1.3</v>
      </c>
      <c r="M60" s="64">
        <v>1.3</v>
      </c>
      <c r="N60" s="64">
        <v>1.3</v>
      </c>
      <c r="O60" s="64">
        <v>1.3</v>
      </c>
      <c r="P60" s="64">
        <v>1.3</v>
      </c>
      <c r="Q60" s="64">
        <v>1.3</v>
      </c>
      <c r="R60" s="64">
        <v>1.3</v>
      </c>
      <c r="S60" s="45">
        <v>16</v>
      </c>
      <c r="T60" s="45">
        <v>10.199999999999999</v>
      </c>
      <c r="U60" s="45">
        <v>8.8000000000000007</v>
      </c>
      <c r="V60" s="45">
        <v>5.0999999999999996</v>
      </c>
      <c r="W60" s="45">
        <v>3.5</v>
      </c>
      <c r="X60" s="45">
        <v>1</v>
      </c>
      <c r="Y60" s="45">
        <v>0.7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16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16</v>
      </c>
      <c r="C61" s="64">
        <v>16</v>
      </c>
      <c r="D61" s="64">
        <v>16</v>
      </c>
      <c r="E61" s="64">
        <v>16</v>
      </c>
      <c r="F61" s="64">
        <v>16</v>
      </c>
      <c r="G61" s="64">
        <v>16</v>
      </c>
      <c r="H61" s="64">
        <v>16</v>
      </c>
      <c r="I61" s="64">
        <v>16</v>
      </c>
      <c r="J61" s="64">
        <v>16</v>
      </c>
      <c r="K61" s="64">
        <v>16</v>
      </c>
      <c r="L61" s="64">
        <v>16</v>
      </c>
      <c r="M61" s="64">
        <v>16</v>
      </c>
      <c r="N61" s="64">
        <v>16</v>
      </c>
      <c r="O61" s="64">
        <v>16</v>
      </c>
      <c r="P61" s="64">
        <v>16</v>
      </c>
      <c r="Q61" s="64">
        <v>16</v>
      </c>
      <c r="R61" s="64">
        <v>16</v>
      </c>
      <c r="S61" s="64">
        <v>16</v>
      </c>
      <c r="T61" s="64">
        <v>16</v>
      </c>
      <c r="U61" s="64">
        <v>16</v>
      </c>
      <c r="V61" s="64">
        <v>16</v>
      </c>
      <c r="W61" s="64">
        <v>16</v>
      </c>
      <c r="X61" s="64">
        <v>1.7</v>
      </c>
      <c r="Y61" s="64">
        <v>1.7</v>
      </c>
      <c r="Z61" s="64">
        <v>1.7</v>
      </c>
      <c r="AA61" s="64">
        <v>16</v>
      </c>
      <c r="AB61" s="64">
        <v>16</v>
      </c>
      <c r="AC61" s="64">
        <v>16</v>
      </c>
      <c r="AD61" s="64">
        <v>16</v>
      </c>
      <c r="AE61" s="64">
        <v>16</v>
      </c>
      <c r="AF61" s="64">
        <v>16</v>
      </c>
      <c r="AG61" s="54">
        <v>24</v>
      </c>
      <c r="AH61" s="47">
        <f t="shared" si="2"/>
        <v>16</v>
      </c>
      <c r="AI61" s="48">
        <f t="shared" si="3"/>
        <v>1.7</v>
      </c>
      <c r="AK61" s="74"/>
    </row>
    <row r="62" spans="1:41" x14ac:dyDescent="0.25">
      <c r="A62" s="53" t="s">
        <v>78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>
        <v>4</v>
      </c>
      <c r="P62" s="64">
        <v>4</v>
      </c>
      <c r="Q62" s="64">
        <v>4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2"/>
        <v>4</v>
      </c>
      <c r="AI62" s="48">
        <f t="shared" si="3"/>
        <v>4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9.6</v>
      </c>
      <c r="C63" s="64">
        <v>9.6</v>
      </c>
      <c r="D63" s="64">
        <v>9.6</v>
      </c>
      <c r="E63" s="64">
        <v>9.6</v>
      </c>
      <c r="F63" s="64">
        <v>9.6</v>
      </c>
      <c r="G63" s="64">
        <v>9.6</v>
      </c>
      <c r="H63" s="64">
        <v>9.6</v>
      </c>
      <c r="I63" s="64">
        <v>9.6</v>
      </c>
      <c r="J63" s="64">
        <v>9.6</v>
      </c>
      <c r="K63" s="64">
        <v>9.6</v>
      </c>
      <c r="L63" s="64">
        <v>9.6</v>
      </c>
      <c r="M63" s="64">
        <v>9.6</v>
      </c>
      <c r="N63" s="64">
        <v>9.6</v>
      </c>
      <c r="O63" s="64">
        <v>9.6</v>
      </c>
      <c r="P63" s="64">
        <v>9.6</v>
      </c>
      <c r="Q63" s="64">
        <v>9.6</v>
      </c>
      <c r="R63" s="64">
        <v>9.6</v>
      </c>
      <c r="S63" s="64">
        <v>9.6</v>
      </c>
      <c r="T63" s="64">
        <v>9.6</v>
      </c>
      <c r="U63" s="64">
        <v>9.6</v>
      </c>
      <c r="V63" s="64">
        <v>9.6</v>
      </c>
      <c r="W63" s="64">
        <v>9.6</v>
      </c>
      <c r="X63" s="64">
        <v>9.6</v>
      </c>
      <c r="Y63" s="64">
        <v>9.6</v>
      </c>
      <c r="Z63" s="64">
        <v>9.6</v>
      </c>
      <c r="AA63" s="64">
        <v>10.5</v>
      </c>
      <c r="AB63" s="64">
        <v>10.5</v>
      </c>
      <c r="AC63" s="64">
        <v>10.5</v>
      </c>
      <c r="AD63" s="64">
        <v>10.5</v>
      </c>
      <c r="AE63" s="64">
        <v>10.5</v>
      </c>
      <c r="AF63" s="64">
        <v>10.5</v>
      </c>
      <c r="AG63" s="54">
        <v>14.1</v>
      </c>
      <c r="AH63" s="47">
        <f t="shared" si="2"/>
        <v>10.5</v>
      </c>
      <c r="AI63" s="48">
        <f t="shared" si="3"/>
        <v>9.6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14</v>
      </c>
      <c r="C64" s="64">
        <v>14</v>
      </c>
      <c r="D64" s="64">
        <v>14</v>
      </c>
      <c r="E64" s="64">
        <v>14</v>
      </c>
      <c r="F64" s="64">
        <v>14</v>
      </c>
      <c r="G64" s="64">
        <v>14</v>
      </c>
      <c r="H64" s="64">
        <v>14</v>
      </c>
      <c r="I64" s="64">
        <v>5.9</v>
      </c>
      <c r="J64" s="64">
        <v>14</v>
      </c>
      <c r="K64" s="64">
        <v>14</v>
      </c>
      <c r="L64" s="64">
        <v>14</v>
      </c>
      <c r="M64" s="64">
        <v>14</v>
      </c>
      <c r="N64" s="64">
        <v>14</v>
      </c>
      <c r="O64" s="64">
        <v>14</v>
      </c>
      <c r="P64" s="64">
        <v>14</v>
      </c>
      <c r="Q64" s="64">
        <v>14</v>
      </c>
      <c r="R64" s="64">
        <v>14</v>
      </c>
      <c r="S64" s="64">
        <v>14</v>
      </c>
      <c r="T64" s="64">
        <v>14</v>
      </c>
      <c r="U64" s="64">
        <v>14</v>
      </c>
      <c r="V64" s="64">
        <v>14</v>
      </c>
      <c r="W64" s="64">
        <v>14</v>
      </c>
      <c r="X64" s="64">
        <v>14</v>
      </c>
      <c r="Y64" s="64">
        <v>14</v>
      </c>
      <c r="Z64" s="64">
        <v>14</v>
      </c>
      <c r="AA64" s="64">
        <v>0</v>
      </c>
      <c r="AB64" s="64">
        <v>0</v>
      </c>
      <c r="AC64" s="64">
        <v>0</v>
      </c>
      <c r="AD64" s="64">
        <v>0</v>
      </c>
      <c r="AE64" s="64">
        <v>0</v>
      </c>
      <c r="AF64" s="64">
        <v>0</v>
      </c>
      <c r="AG64" s="54">
        <v>14</v>
      </c>
      <c r="AH64" s="47">
        <f t="shared" si="2"/>
        <v>14</v>
      </c>
      <c r="AI64" s="48">
        <f t="shared" si="3"/>
        <v>0</v>
      </c>
      <c r="AK64" s="74"/>
    </row>
    <row r="65" spans="1:40" x14ac:dyDescent="0.25">
      <c r="A65" s="53" t="s">
        <v>81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>
        <v>9</v>
      </c>
      <c r="H65" s="64">
        <v>9</v>
      </c>
      <c r="I65" s="64">
        <v>9</v>
      </c>
      <c r="J65" s="64">
        <v>6</v>
      </c>
      <c r="K65" s="64">
        <v>6</v>
      </c>
      <c r="L65" s="64">
        <v>6</v>
      </c>
      <c r="M65" s="64">
        <v>6</v>
      </c>
      <c r="N65" s="64">
        <v>6</v>
      </c>
      <c r="O65" s="64">
        <v>6</v>
      </c>
      <c r="P65" s="64">
        <v>6</v>
      </c>
      <c r="Q65" s="64">
        <v>6</v>
      </c>
      <c r="R65" s="64">
        <v>6</v>
      </c>
      <c r="S65" s="64">
        <v>6</v>
      </c>
      <c r="T65" s="64">
        <v>6</v>
      </c>
      <c r="U65" s="64">
        <v>6</v>
      </c>
      <c r="V65" s="64">
        <v>6</v>
      </c>
      <c r="W65" s="64">
        <v>6</v>
      </c>
      <c r="X65" s="64">
        <v>6</v>
      </c>
      <c r="Y65" s="64">
        <v>6</v>
      </c>
      <c r="Z65" s="64">
        <v>6</v>
      </c>
      <c r="AA65" s="64">
        <v>9</v>
      </c>
      <c r="AB65" s="64">
        <v>9</v>
      </c>
      <c r="AC65" s="64">
        <v>9</v>
      </c>
      <c r="AD65" s="64">
        <v>9</v>
      </c>
      <c r="AE65" s="64">
        <v>9</v>
      </c>
      <c r="AF65" s="64">
        <v>9</v>
      </c>
      <c r="AG65" s="54">
        <v>10.050000000000001</v>
      </c>
      <c r="AH65" s="47">
        <f t="shared" si="2"/>
        <v>9</v>
      </c>
      <c r="AI65" s="48">
        <f t="shared" si="3"/>
        <v>6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AG68" si="8">SUM(B55:B67)</f>
        <v>422.24</v>
      </c>
      <c r="C68" s="59">
        <f t="shared" si="8"/>
        <v>421.94</v>
      </c>
      <c r="D68" s="59">
        <f t="shared" si="8"/>
        <v>357.74</v>
      </c>
      <c r="E68" s="59">
        <f t="shared" si="8"/>
        <v>362.44</v>
      </c>
      <c r="F68" s="59">
        <f t="shared" si="8"/>
        <v>362.24</v>
      </c>
      <c r="G68" s="59">
        <f t="shared" si="8"/>
        <v>332.24</v>
      </c>
      <c r="H68" s="59">
        <f t="shared" si="8"/>
        <v>332.24</v>
      </c>
      <c r="I68" s="59">
        <f t="shared" si="8"/>
        <v>323.54000000000002</v>
      </c>
      <c r="J68" s="59">
        <f t="shared" si="8"/>
        <v>331.34000000000003</v>
      </c>
      <c r="K68" s="59">
        <f t="shared" si="8"/>
        <v>331.34000000000003</v>
      </c>
      <c r="L68" s="59">
        <f t="shared" si="8"/>
        <v>331.34000000000003</v>
      </c>
      <c r="M68" s="59">
        <f t="shared" si="8"/>
        <v>399.34</v>
      </c>
      <c r="N68" s="59">
        <f t="shared" si="8"/>
        <v>399.34</v>
      </c>
      <c r="O68" s="59">
        <f t="shared" si="8"/>
        <v>399.34</v>
      </c>
      <c r="P68" s="59">
        <f t="shared" si="8"/>
        <v>399.34</v>
      </c>
      <c r="Q68" s="59">
        <f t="shared" si="8"/>
        <v>392.74</v>
      </c>
      <c r="R68" s="59">
        <f t="shared" si="8"/>
        <v>392.74</v>
      </c>
      <c r="S68" s="59">
        <f t="shared" si="8"/>
        <v>408.84000000000003</v>
      </c>
      <c r="T68" s="59">
        <f t="shared" si="8"/>
        <v>398.24</v>
      </c>
      <c r="U68" s="59">
        <f t="shared" si="8"/>
        <v>396.44000000000005</v>
      </c>
      <c r="V68" s="59">
        <f t="shared" si="8"/>
        <v>421.04000000000008</v>
      </c>
      <c r="W68" s="59">
        <f t="shared" si="8"/>
        <v>419.44000000000005</v>
      </c>
      <c r="X68" s="59">
        <f t="shared" si="8"/>
        <v>403.94</v>
      </c>
      <c r="Y68" s="59">
        <f t="shared" si="8"/>
        <v>404.34</v>
      </c>
      <c r="Z68" s="59">
        <f t="shared" si="8"/>
        <v>405.04</v>
      </c>
      <c r="AA68" s="59">
        <f>SUM(AA55:AA67)</f>
        <v>412.94</v>
      </c>
      <c r="AB68" s="59">
        <f t="shared" si="8"/>
        <v>416.04</v>
      </c>
      <c r="AC68" s="59">
        <f t="shared" si="8"/>
        <v>416.04</v>
      </c>
      <c r="AD68" s="59">
        <f t="shared" si="8"/>
        <v>416.04</v>
      </c>
      <c r="AE68" s="59">
        <f t="shared" si="8"/>
        <v>375.34000000000003</v>
      </c>
      <c r="AF68" s="59">
        <f t="shared" si="8"/>
        <v>416.04</v>
      </c>
      <c r="AG68" s="60">
        <f t="shared" si="8"/>
        <v>489.91</v>
      </c>
      <c r="AH68" s="47">
        <f t="shared" si="2"/>
        <v>422.24</v>
      </c>
      <c r="AI68" s="48">
        <f t="shared" si="3"/>
        <v>323.54000000000002</v>
      </c>
      <c r="AK68" s="74"/>
    </row>
    <row r="69" spans="1:40" x14ac:dyDescent="0.25">
      <c r="A69" s="44" t="s">
        <v>85</v>
      </c>
      <c r="B69" s="45"/>
      <c r="C69" s="45"/>
      <c r="D69" s="45"/>
      <c r="E69" s="45"/>
      <c r="F69" s="45"/>
      <c r="G69" s="45"/>
      <c r="H69" s="45">
        <v>20</v>
      </c>
      <c r="I69" s="45">
        <v>25.4</v>
      </c>
      <c r="J69" s="45">
        <v>30.5</v>
      </c>
      <c r="K69" s="45">
        <v>60</v>
      </c>
      <c r="L69" s="45">
        <v>45</v>
      </c>
      <c r="M69" s="45">
        <v>0</v>
      </c>
      <c r="N69" s="45">
        <v>0</v>
      </c>
      <c r="O69" s="45">
        <v>30</v>
      </c>
      <c r="P69" s="45">
        <v>15</v>
      </c>
      <c r="Q69" s="45">
        <v>15</v>
      </c>
      <c r="R69" s="45">
        <v>15</v>
      </c>
      <c r="S69" s="45">
        <v>28</v>
      </c>
      <c r="T69" s="45">
        <v>29.4</v>
      </c>
      <c r="U69" s="45">
        <v>19.899999999999999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30</v>
      </c>
      <c r="AC69" s="45">
        <v>14</v>
      </c>
      <c r="AD69" s="45">
        <v>14</v>
      </c>
      <c r="AE69" s="45">
        <v>14</v>
      </c>
      <c r="AF69" s="45">
        <v>0</v>
      </c>
      <c r="AG69" s="51">
        <v>60</v>
      </c>
      <c r="AH69" s="47">
        <f t="shared" si="2"/>
        <v>60</v>
      </c>
      <c r="AI69" s="48">
        <f t="shared" si="3"/>
        <v>0</v>
      </c>
      <c r="AK69" s="74"/>
    </row>
    <row r="70" spans="1:40" x14ac:dyDescent="0.25">
      <c r="A70" s="53" t="s">
        <v>86</v>
      </c>
      <c r="B70" s="45"/>
      <c r="C70" s="45"/>
      <c r="D70" s="64"/>
      <c r="E70" s="64"/>
      <c r="F70" s="64"/>
      <c r="G70" s="64"/>
      <c r="H70" s="64">
        <v>10</v>
      </c>
      <c r="I70" s="64">
        <v>9.5</v>
      </c>
      <c r="J70" s="64">
        <v>15</v>
      </c>
      <c r="K70" s="64">
        <v>21.9</v>
      </c>
      <c r="L70" s="64">
        <v>24.7</v>
      </c>
      <c r="M70" s="64">
        <v>0</v>
      </c>
      <c r="N70" s="64">
        <v>0</v>
      </c>
      <c r="O70" s="64">
        <v>6</v>
      </c>
      <c r="P70" s="64">
        <v>6</v>
      </c>
      <c r="Q70" s="64">
        <v>6</v>
      </c>
      <c r="R70" s="64">
        <v>6</v>
      </c>
      <c r="S70" s="64">
        <v>13.3</v>
      </c>
      <c r="T70" s="64">
        <v>14.9</v>
      </c>
      <c r="U70" s="64">
        <v>14.8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14.4</v>
      </c>
      <c r="AC70" s="64">
        <v>6.6</v>
      </c>
      <c r="AD70" s="64">
        <v>6.6</v>
      </c>
      <c r="AE70" s="64">
        <v>6.6</v>
      </c>
      <c r="AF70" s="64">
        <v>0</v>
      </c>
      <c r="AG70" s="54">
        <v>32</v>
      </c>
      <c r="AH70" s="47">
        <f t="shared" si="2"/>
        <v>24.7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/>
      <c r="C71" s="45"/>
      <c r="D71" s="66"/>
      <c r="E71" s="66"/>
      <c r="F71" s="66"/>
      <c r="G71" s="66"/>
      <c r="H71" s="66">
        <v>3.5</v>
      </c>
      <c r="I71" s="66">
        <v>3.5</v>
      </c>
      <c r="J71" s="66">
        <v>5.5</v>
      </c>
      <c r="K71" s="66">
        <v>7.5</v>
      </c>
      <c r="L71" s="66">
        <v>9</v>
      </c>
      <c r="M71" s="66">
        <v>0</v>
      </c>
      <c r="N71" s="66">
        <v>0</v>
      </c>
      <c r="O71" s="66">
        <v>2.2000000000000002</v>
      </c>
      <c r="P71" s="66">
        <v>2.2000000000000002</v>
      </c>
      <c r="Q71" s="66">
        <v>2.2000000000000002</v>
      </c>
      <c r="R71" s="66">
        <v>2.2000000000000002</v>
      </c>
      <c r="S71" s="66">
        <v>4.8</v>
      </c>
      <c r="T71" s="66">
        <v>5.4</v>
      </c>
      <c r="U71" s="66">
        <v>5.4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5.3</v>
      </c>
      <c r="AC71" s="66">
        <v>2.4</v>
      </c>
      <c r="AD71" s="66">
        <v>2.4</v>
      </c>
      <c r="AE71" s="66">
        <v>2.4</v>
      </c>
      <c r="AF71" s="66">
        <v>0</v>
      </c>
      <c r="AG71" s="67">
        <v>14</v>
      </c>
      <c r="AH71" s="47">
        <f t="shared" si="2"/>
        <v>9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>B69+B70+B71</f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f t="shared" ref="H72:K72" si="9">H69+H70+H71</f>
        <v>33.5</v>
      </c>
      <c r="I72" s="59">
        <f t="shared" si="9"/>
        <v>38.4</v>
      </c>
      <c r="J72" s="59">
        <f t="shared" si="9"/>
        <v>51</v>
      </c>
      <c r="K72" s="59">
        <f t="shared" si="9"/>
        <v>89.4</v>
      </c>
      <c r="L72" s="59">
        <f>L69+L70+L71</f>
        <v>78.7</v>
      </c>
      <c r="M72" s="59">
        <f t="shared" ref="M72:AF72" si="10">M69+M70+M71</f>
        <v>0</v>
      </c>
      <c r="N72" s="59">
        <f t="shared" si="10"/>
        <v>0</v>
      </c>
      <c r="O72" s="59">
        <f t="shared" si="10"/>
        <v>38.200000000000003</v>
      </c>
      <c r="P72" s="59">
        <f t="shared" si="10"/>
        <v>23.2</v>
      </c>
      <c r="Q72" s="59">
        <f t="shared" si="10"/>
        <v>23.2</v>
      </c>
      <c r="R72" s="59">
        <f t="shared" si="10"/>
        <v>23.2</v>
      </c>
      <c r="S72" s="59">
        <f t="shared" si="10"/>
        <v>46.099999999999994</v>
      </c>
      <c r="T72" s="59">
        <f t="shared" si="10"/>
        <v>49.699999999999996</v>
      </c>
      <c r="U72" s="59">
        <f t="shared" si="10"/>
        <v>40.1</v>
      </c>
      <c r="V72" s="59">
        <f t="shared" si="10"/>
        <v>0</v>
      </c>
      <c r="W72" s="59">
        <f t="shared" si="10"/>
        <v>0</v>
      </c>
      <c r="X72" s="59">
        <f t="shared" si="10"/>
        <v>0</v>
      </c>
      <c r="Y72" s="59">
        <f t="shared" si="10"/>
        <v>0</v>
      </c>
      <c r="Z72" s="59">
        <f t="shared" si="10"/>
        <v>0</v>
      </c>
      <c r="AA72" s="59">
        <f>SUM(AA69:AA71)</f>
        <v>0</v>
      </c>
      <c r="AB72" s="59">
        <f t="shared" si="10"/>
        <v>49.699999999999996</v>
      </c>
      <c r="AC72" s="59">
        <f t="shared" si="10"/>
        <v>23</v>
      </c>
      <c r="AD72" s="59">
        <f t="shared" si="10"/>
        <v>23</v>
      </c>
      <c r="AE72" s="59">
        <f t="shared" si="10"/>
        <v>23</v>
      </c>
      <c r="AF72" s="59">
        <f t="shared" si="10"/>
        <v>0</v>
      </c>
      <c r="AG72" s="60">
        <f>SUM(AG69:AG71)</f>
        <v>106</v>
      </c>
      <c r="AH72" s="47">
        <f t="shared" si="2"/>
        <v>89.4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27</v>
      </c>
      <c r="C73" s="45">
        <v>18</v>
      </c>
      <c r="D73" s="45">
        <v>26</v>
      </c>
      <c r="E73" s="45">
        <v>18</v>
      </c>
      <c r="F73" s="45">
        <v>25</v>
      </c>
      <c r="G73" s="45">
        <v>33</v>
      </c>
      <c r="H73" s="45">
        <v>41</v>
      </c>
      <c r="I73" s="45">
        <v>38</v>
      </c>
      <c r="J73" s="45">
        <v>45</v>
      </c>
      <c r="K73" s="45">
        <v>29</v>
      </c>
      <c r="L73" s="45">
        <v>31.6</v>
      </c>
      <c r="M73" s="45">
        <v>25.5</v>
      </c>
      <c r="N73" s="45">
        <v>36.5</v>
      </c>
      <c r="O73" s="45">
        <v>38.4</v>
      </c>
      <c r="P73" s="45">
        <v>32</v>
      </c>
      <c r="Q73" s="45">
        <v>32</v>
      </c>
      <c r="R73" s="45">
        <v>29.6</v>
      </c>
      <c r="S73" s="45">
        <v>24.2</v>
      </c>
      <c r="T73" s="45">
        <v>18.899999999999999</v>
      </c>
      <c r="U73" s="45">
        <v>10.9</v>
      </c>
      <c r="V73" s="45">
        <v>3.8</v>
      </c>
      <c r="W73" s="45">
        <v>-2.5</v>
      </c>
      <c r="X73" s="45">
        <v>-6.7</v>
      </c>
      <c r="Y73" s="45">
        <v>-12.4</v>
      </c>
      <c r="Z73" s="45">
        <v>-11.5</v>
      </c>
      <c r="AA73" s="45">
        <v>32.700000000000003</v>
      </c>
      <c r="AB73" s="45">
        <v>54.9</v>
      </c>
      <c r="AC73" s="45">
        <v>52.2</v>
      </c>
      <c r="AD73" s="45">
        <v>21</v>
      </c>
      <c r="AE73" s="45">
        <v>36.799999999999997</v>
      </c>
      <c r="AF73" s="45">
        <v>23.4</v>
      </c>
      <c r="AG73" s="51"/>
      <c r="AH73" s="47">
        <f t="shared" si="2"/>
        <v>54.9</v>
      </c>
      <c r="AI73" s="48">
        <f t="shared" si="3"/>
        <v>-12.4</v>
      </c>
      <c r="AK73" s="74"/>
    </row>
    <row r="74" spans="1:40" x14ac:dyDescent="0.25">
      <c r="A74" s="53" t="s">
        <v>90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-308</v>
      </c>
      <c r="C75" s="64">
        <v>-320</v>
      </c>
      <c r="D75" s="64">
        <v>-330</v>
      </c>
      <c r="E75" s="64">
        <v>-348</v>
      </c>
      <c r="F75" s="64">
        <v>-362</v>
      </c>
      <c r="G75" s="64">
        <v>-330</v>
      </c>
      <c r="H75" s="64">
        <v>-384</v>
      </c>
      <c r="I75" s="64">
        <v>-400.5</v>
      </c>
      <c r="J75" s="64">
        <v>-406</v>
      </c>
      <c r="K75" s="64">
        <v>-370</v>
      </c>
      <c r="L75" s="64">
        <v>-360</v>
      </c>
      <c r="M75" s="64">
        <v>-361</v>
      </c>
      <c r="N75" s="64">
        <v>-287</v>
      </c>
      <c r="O75" s="64">
        <v>-280</v>
      </c>
      <c r="P75" s="64">
        <v>-313</v>
      </c>
      <c r="Q75" s="64">
        <v>-385</v>
      </c>
      <c r="R75" s="64">
        <v>-340</v>
      </c>
      <c r="S75" s="64">
        <v>-354</v>
      </c>
      <c r="T75" s="64">
        <v>-333.6</v>
      </c>
      <c r="U75" s="64">
        <v>-351.7</v>
      </c>
      <c r="V75" s="64">
        <v>-404.6</v>
      </c>
      <c r="W75" s="64">
        <v>-402</v>
      </c>
      <c r="X75" s="64">
        <v>-419.7</v>
      </c>
      <c r="Y75" s="64">
        <v>-378.3</v>
      </c>
      <c r="Z75" s="64">
        <v>-330</v>
      </c>
      <c r="AA75" s="64">
        <v>-270</v>
      </c>
      <c r="AB75" s="64">
        <v>-302</v>
      </c>
      <c r="AC75" s="64">
        <v>-317</v>
      </c>
      <c r="AD75" s="64">
        <v>-300</v>
      </c>
      <c r="AE75" s="64">
        <v>-326</v>
      </c>
      <c r="AF75" s="64">
        <v>-339</v>
      </c>
      <c r="AG75" s="75"/>
      <c r="AH75" s="47">
        <f t="shared" si="2"/>
        <v>-270</v>
      </c>
      <c r="AI75" s="48">
        <f t="shared" si="3"/>
        <v>-419.7</v>
      </c>
      <c r="AK75" s="74"/>
    </row>
    <row r="76" spans="1:40" x14ac:dyDescent="0.25">
      <c r="A76" s="53" t="s">
        <v>92</v>
      </c>
      <c r="B76" s="64"/>
      <c r="C76" s="64"/>
      <c r="D76" s="64"/>
      <c r="E76" s="76"/>
      <c r="F76" s="76"/>
      <c r="G76" s="76"/>
      <c r="H76" s="76"/>
      <c r="I76" s="76"/>
      <c r="J76" s="76"/>
      <c r="K76" s="76"/>
      <c r="L76" s="76"/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75"/>
      <c r="AH76" s="47">
        <f t="shared" si="2"/>
        <v>0</v>
      </c>
      <c r="AI76" s="48">
        <f t="shared" si="3"/>
        <v>0</v>
      </c>
      <c r="AK76" s="74"/>
    </row>
    <row r="77" spans="1:40" x14ac:dyDescent="0.25">
      <c r="A77" s="53" t="s">
        <v>93</v>
      </c>
      <c r="B77" s="45"/>
      <c r="C77" s="45"/>
      <c r="D77" s="64"/>
      <c r="E77" s="45"/>
      <c r="F77" s="45"/>
      <c r="G77" s="45"/>
      <c r="H77" s="45"/>
      <c r="I77" s="45"/>
      <c r="J77" s="45"/>
      <c r="K77" s="45"/>
      <c r="L77" s="45"/>
      <c r="M77" s="76">
        <v>0</v>
      </c>
      <c r="N77" s="76">
        <v>0</v>
      </c>
      <c r="O77" s="76">
        <v>0</v>
      </c>
      <c r="P77" s="76">
        <v>0</v>
      </c>
      <c r="Q77" s="76">
        <v>0</v>
      </c>
      <c r="R77" s="76">
        <v>0</v>
      </c>
      <c r="S77" s="76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11">MAX(B77:AF77)</f>
        <v>0</v>
      </c>
      <c r="AI77" s="48">
        <f t="shared" ref="AI77:AI120" si="12">MIN(B77:AF77)</f>
        <v>0</v>
      </c>
      <c r="AK77" s="74"/>
    </row>
    <row r="78" spans="1:40" x14ac:dyDescent="0.25">
      <c r="A78" s="53" t="s">
        <v>94</v>
      </c>
      <c r="B78" s="45"/>
      <c r="C78" s="77"/>
      <c r="D78" s="64"/>
      <c r="E78" s="77"/>
      <c r="F78" s="77"/>
      <c r="G78" s="77"/>
      <c r="H78" s="77"/>
      <c r="I78" s="77"/>
      <c r="J78" s="77"/>
      <c r="K78" s="77"/>
      <c r="L78" s="77"/>
      <c r="M78" s="76">
        <v>6</v>
      </c>
      <c r="N78" s="76">
        <v>6</v>
      </c>
      <c r="O78" s="76">
        <v>6</v>
      </c>
      <c r="P78" s="76">
        <v>6</v>
      </c>
      <c r="Q78" s="76">
        <v>6</v>
      </c>
      <c r="R78" s="76">
        <v>6</v>
      </c>
      <c r="S78" s="76">
        <v>6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1"/>
        <v>6</v>
      </c>
      <c r="AI78" s="48">
        <f t="shared" si="12"/>
        <v>0</v>
      </c>
      <c r="AK78" s="74"/>
    </row>
    <row r="79" spans="1:40" ht="15.75" thickBot="1" x14ac:dyDescent="0.3">
      <c r="A79" s="53" t="s">
        <v>95</v>
      </c>
      <c r="B79" s="45"/>
      <c r="C79" s="77"/>
      <c r="D79" s="64"/>
      <c r="E79" s="77"/>
      <c r="F79" s="77"/>
      <c r="G79" s="77"/>
      <c r="H79" s="77"/>
      <c r="I79" s="77"/>
      <c r="J79" s="77"/>
      <c r="K79" s="77"/>
      <c r="L79" s="77"/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1"/>
        <v>0</v>
      </c>
      <c r="AI79" s="48">
        <f t="shared" si="12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/>
      <c r="C80" s="77"/>
      <c r="D80" s="64"/>
      <c r="E80" s="77"/>
      <c r="F80" s="77"/>
      <c r="G80" s="77"/>
      <c r="H80" s="77"/>
      <c r="I80" s="77"/>
      <c r="J80" s="77"/>
      <c r="K80" s="77"/>
      <c r="L80" s="77"/>
      <c r="M80" s="76">
        <v>0</v>
      </c>
      <c r="N80" s="76">
        <v>0</v>
      </c>
      <c r="O80" s="76">
        <v>0</v>
      </c>
      <c r="P80" s="76">
        <v>0</v>
      </c>
      <c r="Q80" s="76">
        <v>0</v>
      </c>
      <c r="R80" s="76">
        <v>0</v>
      </c>
      <c r="S80" s="76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11"/>
        <v>0</v>
      </c>
      <c r="AI80" s="48">
        <f t="shared" si="12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/>
      <c r="C81" s="77"/>
      <c r="D81" s="64"/>
      <c r="E81" s="77"/>
      <c r="F81" s="77"/>
      <c r="G81" s="77"/>
      <c r="H81" s="77"/>
      <c r="I81" s="77"/>
      <c r="J81" s="77"/>
      <c r="K81" s="77"/>
      <c r="L81" s="77"/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1"/>
        <v>0</v>
      </c>
      <c r="AI81" s="48">
        <f t="shared" si="12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/>
      <c r="C82" s="77"/>
      <c r="D82" s="64"/>
      <c r="E82" s="77"/>
      <c r="F82" s="77"/>
      <c r="G82" s="77"/>
      <c r="H82" s="77"/>
      <c r="I82" s="77"/>
      <c r="J82" s="77"/>
      <c r="K82" s="77"/>
      <c r="L82" s="77"/>
      <c r="M82" s="76">
        <v>0</v>
      </c>
      <c r="N82" s="76">
        <v>0</v>
      </c>
      <c r="O82" s="76">
        <v>0</v>
      </c>
      <c r="P82" s="76">
        <v>0</v>
      </c>
      <c r="Q82" s="76">
        <v>0</v>
      </c>
      <c r="R82" s="76">
        <v>0</v>
      </c>
      <c r="S82" s="76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1"/>
        <v>0</v>
      </c>
      <c r="AI82" s="48">
        <f t="shared" si="12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/>
      <c r="C83" s="77"/>
      <c r="D83" s="64"/>
      <c r="E83" s="77"/>
      <c r="F83" s="77"/>
      <c r="G83" s="77"/>
      <c r="H83" s="77"/>
      <c r="I83" s="77"/>
      <c r="J83" s="77"/>
      <c r="K83" s="77"/>
      <c r="L83" s="77"/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1"/>
        <v>0</v>
      </c>
      <c r="AI83" s="48">
        <f t="shared" si="12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3">SUMIF(B73:B83,"&gt;0")</f>
        <v>27</v>
      </c>
      <c r="C84" s="59">
        <f t="shared" si="13"/>
        <v>18</v>
      </c>
      <c r="D84" s="59">
        <f t="shared" si="13"/>
        <v>26</v>
      </c>
      <c r="E84" s="59">
        <f t="shared" si="13"/>
        <v>18</v>
      </c>
      <c r="F84" s="59">
        <f t="shared" si="13"/>
        <v>25</v>
      </c>
      <c r="G84" s="59">
        <f t="shared" si="13"/>
        <v>33</v>
      </c>
      <c r="H84" s="59">
        <f t="shared" si="13"/>
        <v>41</v>
      </c>
      <c r="I84" s="59">
        <f t="shared" si="13"/>
        <v>38</v>
      </c>
      <c r="J84" s="59">
        <f t="shared" si="13"/>
        <v>45</v>
      </c>
      <c r="K84" s="59">
        <f t="shared" si="13"/>
        <v>29</v>
      </c>
      <c r="L84" s="59">
        <f t="shared" si="13"/>
        <v>31.6</v>
      </c>
      <c r="M84" s="59">
        <f t="shared" si="13"/>
        <v>31.5</v>
      </c>
      <c r="N84" s="59">
        <f t="shared" si="13"/>
        <v>42.5</v>
      </c>
      <c r="O84" s="59">
        <f t="shared" si="13"/>
        <v>44.4</v>
      </c>
      <c r="P84" s="59">
        <f t="shared" si="13"/>
        <v>38</v>
      </c>
      <c r="Q84" s="59">
        <f t="shared" si="13"/>
        <v>38</v>
      </c>
      <c r="R84" s="59">
        <f t="shared" si="13"/>
        <v>35.6</v>
      </c>
      <c r="S84" s="59">
        <f t="shared" si="13"/>
        <v>30.2</v>
      </c>
      <c r="T84" s="59">
        <f t="shared" si="13"/>
        <v>18.899999999999999</v>
      </c>
      <c r="U84" s="59">
        <f t="shared" si="13"/>
        <v>10.9</v>
      </c>
      <c r="V84" s="59">
        <f t="shared" si="13"/>
        <v>3.8</v>
      </c>
      <c r="W84" s="59">
        <f t="shared" si="13"/>
        <v>0</v>
      </c>
      <c r="X84" s="59">
        <f t="shared" si="13"/>
        <v>0</v>
      </c>
      <c r="Y84" s="59">
        <f t="shared" si="13"/>
        <v>0</v>
      </c>
      <c r="Z84" s="59">
        <f t="shared" si="13"/>
        <v>0</v>
      </c>
      <c r="AA84" s="59">
        <f>SUMIF(AA73:AA83,"&gt;0")</f>
        <v>32.700000000000003</v>
      </c>
      <c r="AB84" s="59">
        <f t="shared" si="13"/>
        <v>54.9</v>
      </c>
      <c r="AC84" s="59">
        <f t="shared" si="13"/>
        <v>52.2</v>
      </c>
      <c r="AD84" s="59">
        <f t="shared" si="13"/>
        <v>21</v>
      </c>
      <c r="AE84" s="59">
        <f t="shared" si="13"/>
        <v>36.799999999999997</v>
      </c>
      <c r="AF84" s="59">
        <f t="shared" si="13"/>
        <v>23.4</v>
      </c>
      <c r="AG84" s="88">
        <f>SUM(AG73:AG83)</f>
        <v>0</v>
      </c>
      <c r="AH84" s="47">
        <f t="shared" si="11"/>
        <v>54.9</v>
      </c>
      <c r="AI84" s="48">
        <f t="shared" si="12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1"/>
        <v>0</v>
      </c>
      <c r="AI85" s="48">
        <f t="shared" si="12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1"/>
        <v>0</v>
      </c>
      <c r="AI86" s="48">
        <f t="shared" si="12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1"/>
        <v>0</v>
      </c>
      <c r="AI87" s="48">
        <f t="shared" si="12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11"/>
        <v>0</v>
      </c>
      <c r="AI88" s="48">
        <f t="shared" si="12"/>
        <v>0</v>
      </c>
    </row>
    <row r="89" spans="1:40" ht="15.75" thickBot="1" x14ac:dyDescent="0.3">
      <c r="A89" s="73" t="s">
        <v>108</v>
      </c>
      <c r="B89" s="95">
        <f t="shared" ref="B89:AG89" si="14">B50+B54+B72+B68+B84+B88</f>
        <v>2023.64</v>
      </c>
      <c r="C89" s="95">
        <f t="shared" si="14"/>
        <v>2003.2400000000002</v>
      </c>
      <c r="D89" s="95">
        <f t="shared" si="14"/>
        <v>1976.74</v>
      </c>
      <c r="E89" s="95">
        <f t="shared" si="14"/>
        <v>1970.04</v>
      </c>
      <c r="F89" s="95">
        <f t="shared" si="14"/>
        <v>1969.0400000000002</v>
      </c>
      <c r="G89" s="95">
        <f t="shared" si="14"/>
        <v>1937.0400000000002</v>
      </c>
      <c r="H89" s="95">
        <f t="shared" si="14"/>
        <v>1983.5400000000002</v>
      </c>
      <c r="I89" s="95">
        <f t="shared" si="14"/>
        <v>1981.7400000000002</v>
      </c>
      <c r="J89" s="95">
        <f t="shared" si="14"/>
        <v>2014.1400000000003</v>
      </c>
      <c r="K89" s="95">
        <f t="shared" si="14"/>
        <v>2036.5400000000004</v>
      </c>
      <c r="L89" s="95">
        <f t="shared" si="14"/>
        <v>2028.44</v>
      </c>
      <c r="M89" s="95">
        <f t="shared" si="14"/>
        <v>2003.84</v>
      </c>
      <c r="N89" s="95">
        <f t="shared" si="14"/>
        <v>1992.84</v>
      </c>
      <c r="O89" s="95">
        <f t="shared" si="14"/>
        <v>2032.94</v>
      </c>
      <c r="P89" s="95">
        <f t="shared" si="14"/>
        <v>2012.5300000000002</v>
      </c>
      <c r="Q89" s="95">
        <f t="shared" si="14"/>
        <v>2061.9300000000003</v>
      </c>
      <c r="R89" s="95">
        <f t="shared" si="14"/>
        <v>2059.5300000000002</v>
      </c>
      <c r="S89" s="95">
        <f t="shared" si="14"/>
        <v>2093.04</v>
      </c>
      <c r="T89" s="95">
        <f t="shared" si="14"/>
        <v>2074.7400000000002</v>
      </c>
      <c r="U89" s="95">
        <f t="shared" si="14"/>
        <v>2050.08</v>
      </c>
      <c r="V89" s="95">
        <f t="shared" si="14"/>
        <v>2027.4799999999998</v>
      </c>
      <c r="W89" s="95">
        <f t="shared" si="14"/>
        <v>2022.08</v>
      </c>
      <c r="X89" s="95">
        <f t="shared" si="14"/>
        <v>2001.7400000000002</v>
      </c>
      <c r="Y89" s="95">
        <f t="shared" si="14"/>
        <v>1997.14</v>
      </c>
      <c r="Z89" s="95">
        <f t="shared" si="14"/>
        <v>2000.8400000000001</v>
      </c>
      <c r="AA89" s="95">
        <f>SUM(AA50,AA54,AA68,AA72,AA84,AA88)</f>
        <v>2059.94</v>
      </c>
      <c r="AB89" s="95">
        <f t="shared" si="14"/>
        <v>2129.2400000000002</v>
      </c>
      <c r="AC89" s="95">
        <f t="shared" si="14"/>
        <v>2099.8399999999997</v>
      </c>
      <c r="AD89" s="95">
        <f t="shared" si="14"/>
        <v>2068.64</v>
      </c>
      <c r="AE89" s="95">
        <f t="shared" si="14"/>
        <v>2043.74</v>
      </c>
      <c r="AF89" s="95">
        <f t="shared" si="14"/>
        <v>1994.14</v>
      </c>
      <c r="AG89" s="60">
        <f t="shared" si="14"/>
        <v>2111.5500000000002</v>
      </c>
      <c r="AH89" s="47">
        <f t="shared" si="11"/>
        <v>2129.2400000000002</v>
      </c>
      <c r="AI89" s="48">
        <f t="shared" si="12"/>
        <v>1937.0400000000002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>
        <v>0</v>
      </c>
      <c r="AB90" s="97"/>
      <c r="AC90" s="97"/>
      <c r="AD90" s="97"/>
      <c r="AE90" s="97"/>
      <c r="AF90" s="97"/>
      <c r="AG90" s="88"/>
      <c r="AH90" s="47">
        <f t="shared" si="11"/>
        <v>0</v>
      </c>
      <c r="AI90" s="48">
        <f t="shared" si="12"/>
        <v>0</v>
      </c>
    </row>
    <row r="91" spans="1:40" ht="15.75" thickBot="1" x14ac:dyDescent="0.3">
      <c r="A91" s="73" t="s">
        <v>110</v>
      </c>
      <c r="B91" s="95">
        <f t="shared" ref="B91:AF91" si="15">B89+B90</f>
        <v>2023.64</v>
      </c>
      <c r="C91" s="95">
        <f t="shared" si="15"/>
        <v>2003.2400000000002</v>
      </c>
      <c r="D91" s="95">
        <f t="shared" si="15"/>
        <v>1976.74</v>
      </c>
      <c r="E91" s="95">
        <f t="shared" si="15"/>
        <v>1970.04</v>
      </c>
      <c r="F91" s="95">
        <f t="shared" si="15"/>
        <v>1969.0400000000002</v>
      </c>
      <c r="G91" s="95">
        <f t="shared" si="15"/>
        <v>1937.0400000000002</v>
      </c>
      <c r="H91" s="95">
        <f t="shared" si="15"/>
        <v>1983.5400000000002</v>
      </c>
      <c r="I91" s="95">
        <f t="shared" si="15"/>
        <v>1981.7400000000002</v>
      </c>
      <c r="J91" s="95">
        <f t="shared" si="15"/>
        <v>2014.1400000000003</v>
      </c>
      <c r="K91" s="95">
        <f t="shared" si="15"/>
        <v>2036.5400000000004</v>
      </c>
      <c r="L91" s="95">
        <f t="shared" si="15"/>
        <v>2028.44</v>
      </c>
      <c r="M91" s="95">
        <f t="shared" si="15"/>
        <v>2003.84</v>
      </c>
      <c r="N91" s="95">
        <f t="shared" si="15"/>
        <v>1992.84</v>
      </c>
      <c r="O91" s="95">
        <f t="shared" si="15"/>
        <v>2032.94</v>
      </c>
      <c r="P91" s="95">
        <f t="shared" si="15"/>
        <v>2012.5300000000002</v>
      </c>
      <c r="Q91" s="95">
        <f t="shared" si="15"/>
        <v>2061.9300000000003</v>
      </c>
      <c r="R91" s="95">
        <f t="shared" si="15"/>
        <v>2059.5300000000002</v>
      </c>
      <c r="S91" s="95">
        <f t="shared" si="15"/>
        <v>2093.04</v>
      </c>
      <c r="T91" s="95">
        <f t="shared" si="15"/>
        <v>2074.7400000000002</v>
      </c>
      <c r="U91" s="95">
        <f t="shared" si="15"/>
        <v>2050.08</v>
      </c>
      <c r="V91" s="95">
        <f t="shared" si="15"/>
        <v>2027.4799999999998</v>
      </c>
      <c r="W91" s="95">
        <f t="shared" si="15"/>
        <v>2022.08</v>
      </c>
      <c r="X91" s="95">
        <f t="shared" si="15"/>
        <v>2001.7400000000002</v>
      </c>
      <c r="Y91" s="95">
        <f t="shared" si="15"/>
        <v>1997.14</v>
      </c>
      <c r="Z91" s="95">
        <f t="shared" si="15"/>
        <v>2000.8400000000001</v>
      </c>
      <c r="AA91" s="95">
        <f>SUM(AA89+AA90)</f>
        <v>2059.94</v>
      </c>
      <c r="AB91" s="95">
        <f t="shared" si="15"/>
        <v>2129.2400000000002</v>
      </c>
      <c r="AC91" s="95">
        <f t="shared" si="15"/>
        <v>2099.8399999999997</v>
      </c>
      <c r="AD91" s="95">
        <f t="shared" si="15"/>
        <v>2068.64</v>
      </c>
      <c r="AE91" s="95">
        <f t="shared" si="15"/>
        <v>2043.74</v>
      </c>
      <c r="AF91" s="95">
        <f t="shared" si="15"/>
        <v>1994.14</v>
      </c>
      <c r="AG91" s="88">
        <f>AG88+AG84+AG72+AG68+AG50+AG90</f>
        <v>1573.45</v>
      </c>
      <c r="AH91" s="47">
        <f t="shared" si="11"/>
        <v>2129.2400000000002</v>
      </c>
      <c r="AI91" s="48">
        <f t="shared" si="12"/>
        <v>1937.0400000000002</v>
      </c>
    </row>
    <row r="92" spans="1:40" ht="15.75" thickBot="1" x14ac:dyDescent="0.3">
      <c r="A92" s="73" t="s">
        <v>111</v>
      </c>
      <c r="B92" s="95">
        <f t="shared" ref="B92:AF92" si="16">B91-B99</f>
        <v>2023.64</v>
      </c>
      <c r="C92" s="95">
        <f t="shared" si="16"/>
        <v>2003.2400000000002</v>
      </c>
      <c r="D92" s="95">
        <f t="shared" si="16"/>
        <v>1976.74</v>
      </c>
      <c r="E92" s="95">
        <f t="shared" si="16"/>
        <v>1970.04</v>
      </c>
      <c r="F92" s="95">
        <f t="shared" si="16"/>
        <v>1969.0400000000002</v>
      </c>
      <c r="G92" s="95">
        <f t="shared" si="16"/>
        <v>1937.0400000000002</v>
      </c>
      <c r="H92" s="95">
        <f t="shared" si="16"/>
        <v>1983.5400000000002</v>
      </c>
      <c r="I92" s="95">
        <f t="shared" si="16"/>
        <v>1981.7400000000002</v>
      </c>
      <c r="J92" s="95">
        <f t="shared" si="16"/>
        <v>2014.1400000000003</v>
      </c>
      <c r="K92" s="95">
        <f t="shared" si="16"/>
        <v>2036.5400000000004</v>
      </c>
      <c r="L92" s="95">
        <f t="shared" si="16"/>
        <v>2028.44</v>
      </c>
      <c r="M92" s="95">
        <f t="shared" si="16"/>
        <v>2003.84</v>
      </c>
      <c r="N92" s="95">
        <f t="shared" si="16"/>
        <v>1992.84</v>
      </c>
      <c r="O92" s="95">
        <f t="shared" si="16"/>
        <v>2032.94</v>
      </c>
      <c r="P92" s="95">
        <f t="shared" si="16"/>
        <v>2012.5300000000002</v>
      </c>
      <c r="Q92" s="95">
        <f t="shared" si="16"/>
        <v>2061.9300000000003</v>
      </c>
      <c r="R92" s="95">
        <f t="shared" si="16"/>
        <v>2059.5300000000002</v>
      </c>
      <c r="S92" s="95">
        <f t="shared" si="16"/>
        <v>2093.04</v>
      </c>
      <c r="T92" s="95">
        <f t="shared" si="16"/>
        <v>2074.7400000000002</v>
      </c>
      <c r="U92" s="95">
        <f t="shared" si="16"/>
        <v>2050.08</v>
      </c>
      <c r="V92" s="95">
        <f t="shared" si="16"/>
        <v>2027.4799999999998</v>
      </c>
      <c r="W92" s="95">
        <f t="shared" si="16"/>
        <v>2022.08</v>
      </c>
      <c r="X92" s="95">
        <f t="shared" si="16"/>
        <v>2001.7400000000002</v>
      </c>
      <c r="Y92" s="95">
        <f t="shared" si="16"/>
        <v>1997.14</v>
      </c>
      <c r="Z92" s="95">
        <f t="shared" si="16"/>
        <v>2000.8400000000001</v>
      </c>
      <c r="AA92" s="95">
        <f>AA91-AA99</f>
        <v>2059.94</v>
      </c>
      <c r="AB92" s="95">
        <f t="shared" si="16"/>
        <v>2129.2400000000002</v>
      </c>
      <c r="AC92" s="95">
        <f t="shared" si="16"/>
        <v>2099.8399999999997</v>
      </c>
      <c r="AD92" s="95">
        <f t="shared" si="16"/>
        <v>2068.64</v>
      </c>
      <c r="AE92" s="95">
        <f t="shared" si="16"/>
        <v>2043.74</v>
      </c>
      <c r="AF92" s="95">
        <f t="shared" si="16"/>
        <v>1994.14</v>
      </c>
      <c r="AG92" s="88"/>
      <c r="AH92" s="47">
        <f t="shared" si="11"/>
        <v>2129.2400000000002</v>
      </c>
      <c r="AI92" s="48">
        <f t="shared" si="12"/>
        <v>1937.0400000000002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1"/>
        <v>0</v>
      </c>
      <c r="AI93" s="48">
        <f t="shared" si="12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1"/>
        <v>0</v>
      </c>
      <c r="AI94" s="48">
        <f t="shared" si="12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1"/>
        <v>0</v>
      </c>
      <c r="AI95" s="48">
        <f t="shared" si="12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1"/>
        <v>0</v>
      </c>
      <c r="AI96" s="48">
        <f t="shared" si="12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1"/>
        <v>0</v>
      </c>
      <c r="AI97" s="48">
        <f t="shared" si="12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1"/>
        <v>0</v>
      </c>
      <c r="AI98" s="48">
        <f t="shared" si="12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11"/>
        <v>0</v>
      </c>
      <c r="AI99" s="48">
        <f t="shared" si="12"/>
        <v>0</v>
      </c>
      <c r="AK99" s="74"/>
    </row>
    <row r="100" spans="1:37" ht="15.75" thickBot="1" x14ac:dyDescent="0.3">
      <c r="A100" s="73" t="s">
        <v>116</v>
      </c>
      <c r="B100" s="59">
        <f t="shared" ref="B100:AF100" si="17">B84-B99</f>
        <v>27</v>
      </c>
      <c r="C100" s="59">
        <f t="shared" si="17"/>
        <v>18</v>
      </c>
      <c r="D100" s="59">
        <f t="shared" si="17"/>
        <v>26</v>
      </c>
      <c r="E100" s="59">
        <f t="shared" si="17"/>
        <v>18</v>
      </c>
      <c r="F100" s="59">
        <f t="shared" si="17"/>
        <v>25</v>
      </c>
      <c r="G100" s="59">
        <f t="shared" si="17"/>
        <v>33</v>
      </c>
      <c r="H100" s="59">
        <f t="shared" si="17"/>
        <v>41</v>
      </c>
      <c r="I100" s="59">
        <f t="shared" si="17"/>
        <v>38</v>
      </c>
      <c r="J100" s="59">
        <f t="shared" si="17"/>
        <v>45</v>
      </c>
      <c r="K100" s="59">
        <f t="shared" si="17"/>
        <v>29</v>
      </c>
      <c r="L100" s="59">
        <f t="shared" si="17"/>
        <v>31.6</v>
      </c>
      <c r="M100" s="59">
        <f t="shared" si="17"/>
        <v>31.5</v>
      </c>
      <c r="N100" s="59">
        <f t="shared" si="17"/>
        <v>42.5</v>
      </c>
      <c r="O100" s="59">
        <f t="shared" si="17"/>
        <v>44.4</v>
      </c>
      <c r="P100" s="59">
        <f t="shared" si="17"/>
        <v>38</v>
      </c>
      <c r="Q100" s="59">
        <f t="shared" si="17"/>
        <v>38</v>
      </c>
      <c r="R100" s="59">
        <f t="shared" si="17"/>
        <v>35.6</v>
      </c>
      <c r="S100" s="59">
        <f t="shared" si="17"/>
        <v>30.2</v>
      </c>
      <c r="T100" s="59">
        <f t="shared" si="17"/>
        <v>18.899999999999999</v>
      </c>
      <c r="U100" s="59">
        <f t="shared" si="17"/>
        <v>10.9</v>
      </c>
      <c r="V100" s="59">
        <f t="shared" si="17"/>
        <v>3.8</v>
      </c>
      <c r="W100" s="59">
        <f t="shared" si="17"/>
        <v>0</v>
      </c>
      <c r="X100" s="59">
        <f t="shared" si="17"/>
        <v>0</v>
      </c>
      <c r="Y100" s="59">
        <f t="shared" si="17"/>
        <v>0</v>
      </c>
      <c r="Z100" s="59">
        <f t="shared" si="17"/>
        <v>0</v>
      </c>
      <c r="AA100" s="59">
        <f>AA84-AA99</f>
        <v>32.700000000000003</v>
      </c>
      <c r="AB100" s="59">
        <f t="shared" si="17"/>
        <v>54.9</v>
      </c>
      <c r="AC100" s="59">
        <f t="shared" si="17"/>
        <v>52.2</v>
      </c>
      <c r="AD100" s="59">
        <f t="shared" si="17"/>
        <v>21</v>
      </c>
      <c r="AE100" s="59">
        <f t="shared" si="17"/>
        <v>36.799999999999997</v>
      </c>
      <c r="AF100" s="59">
        <f t="shared" si="17"/>
        <v>23.4</v>
      </c>
      <c r="AG100" s="88"/>
      <c r="AH100" s="47">
        <f t="shared" si="11"/>
        <v>54.9</v>
      </c>
      <c r="AI100" s="48">
        <f t="shared" si="12"/>
        <v>0</v>
      </c>
    </row>
    <row r="101" spans="1:37" x14ac:dyDescent="0.25">
      <c r="A101" s="100" t="s">
        <v>117</v>
      </c>
      <c r="B101" s="101">
        <v>50.000999999999998</v>
      </c>
      <c r="C101" s="101">
        <v>50.055999999999997</v>
      </c>
      <c r="D101" s="101">
        <v>49.99</v>
      </c>
      <c r="E101" s="101">
        <v>50.045000000000002</v>
      </c>
      <c r="F101" s="101">
        <v>50.011000000000003</v>
      </c>
      <c r="G101" s="101">
        <v>49.976999999999997</v>
      </c>
      <c r="H101" s="101">
        <v>50.031999999999996</v>
      </c>
      <c r="I101" s="101">
        <v>49.972000000000001</v>
      </c>
      <c r="J101" s="101">
        <v>49.774999999999999</v>
      </c>
      <c r="K101" s="101">
        <v>50.027999999999999</v>
      </c>
      <c r="L101" s="101">
        <v>50.048999999999999</v>
      </c>
      <c r="M101" s="101">
        <v>49.884</v>
      </c>
      <c r="N101" s="101">
        <v>50.029000000000003</v>
      </c>
      <c r="O101" s="101">
        <v>50.029000000000003</v>
      </c>
      <c r="P101" s="101">
        <v>50.017000000000003</v>
      </c>
      <c r="Q101" s="101">
        <v>50.119</v>
      </c>
      <c r="R101" s="101">
        <v>50.07</v>
      </c>
      <c r="S101" s="101">
        <v>50.02</v>
      </c>
      <c r="T101" s="101">
        <v>50.048999999999999</v>
      </c>
      <c r="U101" s="101">
        <v>50.048999999999999</v>
      </c>
      <c r="V101" s="101">
        <v>49.81</v>
      </c>
      <c r="W101" s="101">
        <v>49.95</v>
      </c>
      <c r="X101" s="101">
        <v>49.96</v>
      </c>
      <c r="Y101" s="101">
        <v>50.031999999999996</v>
      </c>
      <c r="Z101" s="101">
        <v>50.06</v>
      </c>
      <c r="AA101" s="101">
        <v>49.98</v>
      </c>
      <c r="AB101" s="101">
        <v>49.988</v>
      </c>
      <c r="AC101" s="101">
        <v>49.954000000000001</v>
      </c>
      <c r="AD101" s="101">
        <v>50</v>
      </c>
      <c r="AE101" s="101">
        <v>50.014000000000003</v>
      </c>
      <c r="AF101" s="101">
        <v>50.061</v>
      </c>
      <c r="AG101" s="102"/>
      <c r="AH101" s="47">
        <f t="shared" si="11"/>
        <v>50.119</v>
      </c>
      <c r="AI101" s="48">
        <f t="shared" si="12"/>
        <v>49.774999999999999</v>
      </c>
    </row>
    <row r="102" spans="1:37" x14ac:dyDescent="0.25">
      <c r="A102" s="103" t="s">
        <v>118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4"/>
      <c r="AH102" s="47">
        <f t="shared" si="11"/>
        <v>0</v>
      </c>
      <c r="AI102" s="48">
        <f t="shared" si="12"/>
        <v>0</v>
      </c>
    </row>
    <row r="103" spans="1:37" x14ac:dyDescent="0.25">
      <c r="A103" s="103" t="s">
        <v>119</v>
      </c>
      <c r="B103" s="64">
        <v>127</v>
      </c>
      <c r="C103" s="64">
        <v>128.4</v>
      </c>
      <c r="D103" s="64">
        <v>128.30000000000001</v>
      </c>
      <c r="E103" s="64">
        <v>129.5</v>
      </c>
      <c r="F103" s="64">
        <v>130.4</v>
      </c>
      <c r="G103" s="64">
        <v>127.8</v>
      </c>
      <c r="H103" s="64">
        <v>129.1</v>
      </c>
      <c r="I103" s="64">
        <v>128.5</v>
      </c>
      <c r="J103" s="64">
        <v>128</v>
      </c>
      <c r="K103" s="64">
        <v>128.19999999999999</v>
      </c>
      <c r="L103" s="64">
        <v>127.8</v>
      </c>
      <c r="M103" s="64">
        <v>124.6</v>
      </c>
      <c r="N103" s="64">
        <v>121.3</v>
      </c>
      <c r="O103" s="64">
        <v>121.3</v>
      </c>
      <c r="P103" s="64">
        <v>123.8</v>
      </c>
      <c r="Q103" s="64">
        <v>125.5</v>
      </c>
      <c r="R103" s="64">
        <v>124.1</v>
      </c>
      <c r="S103" s="64">
        <v>125</v>
      </c>
      <c r="T103" s="64">
        <v>125.3</v>
      </c>
      <c r="U103" s="64">
        <v>125.7</v>
      </c>
      <c r="V103" s="64">
        <v>125.4</v>
      </c>
      <c r="W103" s="64">
        <v>125.4</v>
      </c>
      <c r="X103" s="64">
        <v>127.1</v>
      </c>
      <c r="Y103" s="64">
        <v>126.6</v>
      </c>
      <c r="Z103" s="64">
        <v>126.8</v>
      </c>
      <c r="AA103" s="64">
        <v>125.3</v>
      </c>
      <c r="AB103" s="64">
        <v>128</v>
      </c>
      <c r="AC103" s="64">
        <v>128</v>
      </c>
      <c r="AD103" s="64">
        <v>128</v>
      </c>
      <c r="AE103" s="64">
        <v>128</v>
      </c>
      <c r="AF103" s="64">
        <v>128.80000000000001</v>
      </c>
      <c r="AG103" s="104"/>
      <c r="AH103" s="47">
        <f t="shared" si="11"/>
        <v>130.4</v>
      </c>
      <c r="AI103" s="48">
        <f t="shared" si="12"/>
        <v>121.3</v>
      </c>
    </row>
    <row r="104" spans="1:37" x14ac:dyDescent="0.25">
      <c r="A104" s="103" t="s">
        <v>120</v>
      </c>
      <c r="B104" s="64">
        <v>128.1</v>
      </c>
      <c r="C104" s="64">
        <v>129.5</v>
      </c>
      <c r="D104" s="64">
        <v>130.4</v>
      </c>
      <c r="E104" s="64">
        <v>131.9</v>
      </c>
      <c r="F104" s="64">
        <v>131.4</v>
      </c>
      <c r="G104" s="64">
        <v>128.9</v>
      </c>
      <c r="H104" s="64">
        <v>129.6</v>
      </c>
      <c r="I104" s="64">
        <v>129.6</v>
      </c>
      <c r="J104" s="64">
        <v>126.1</v>
      </c>
      <c r="K104" s="64">
        <v>126.9</v>
      </c>
      <c r="L104" s="64">
        <v>126.1</v>
      </c>
      <c r="M104" s="64">
        <v>127.9</v>
      </c>
      <c r="N104" s="64">
        <v>125.8</v>
      </c>
      <c r="O104" s="64">
        <v>125.8</v>
      </c>
      <c r="P104" s="64">
        <v>129.1</v>
      </c>
      <c r="Q104" s="64">
        <v>129.30000000000001</v>
      </c>
      <c r="R104" s="64">
        <v>125.7</v>
      </c>
      <c r="S104" s="64">
        <v>124.6</v>
      </c>
      <c r="T104" s="64">
        <v>128.1</v>
      </c>
      <c r="U104" s="64">
        <v>129.69999999999999</v>
      </c>
      <c r="V104" s="64">
        <v>131.9</v>
      </c>
      <c r="W104" s="64">
        <v>131.9</v>
      </c>
      <c r="X104" s="64">
        <v>129.9</v>
      </c>
      <c r="Y104" s="64">
        <v>127.1</v>
      </c>
      <c r="Z104" s="64">
        <v>125.7</v>
      </c>
      <c r="AA104" s="64">
        <v>126.7</v>
      </c>
      <c r="AB104" s="64">
        <v>129.6</v>
      </c>
      <c r="AC104" s="64">
        <v>129.6</v>
      </c>
      <c r="AD104" s="64">
        <v>129.6</v>
      </c>
      <c r="AE104" s="64">
        <v>129.6</v>
      </c>
      <c r="AF104" s="64">
        <v>129.69999999999999</v>
      </c>
      <c r="AG104" s="104"/>
      <c r="AH104" s="47">
        <f t="shared" si="11"/>
        <v>131.9</v>
      </c>
      <c r="AI104" s="48">
        <f t="shared" si="12"/>
        <v>124.6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1"/>
        <v>0</v>
      </c>
      <c r="AI105" s="48">
        <f t="shared" si="12"/>
        <v>0</v>
      </c>
    </row>
    <row r="106" spans="1:37" x14ac:dyDescent="0.25">
      <c r="A106" s="105" t="s">
        <v>122</v>
      </c>
      <c r="B106" s="106">
        <v>127.6</v>
      </c>
      <c r="C106" s="106">
        <v>129.19999999999999</v>
      </c>
      <c r="D106" s="106">
        <v>126.6</v>
      </c>
      <c r="E106" s="106">
        <v>131.69999999999999</v>
      </c>
      <c r="F106" s="106">
        <v>132.5</v>
      </c>
      <c r="G106" s="106">
        <v>130.1</v>
      </c>
      <c r="H106" s="106">
        <v>130.9</v>
      </c>
      <c r="I106" s="106">
        <v>131</v>
      </c>
      <c r="J106" s="106">
        <v>130.69999999999999</v>
      </c>
      <c r="K106" s="106">
        <v>130.6</v>
      </c>
      <c r="L106" s="106">
        <v>130.30000000000001</v>
      </c>
      <c r="M106" s="106">
        <v>128.6</v>
      </c>
      <c r="N106" s="106">
        <v>129.80000000000001</v>
      </c>
      <c r="O106" s="106">
        <v>129.80000000000001</v>
      </c>
      <c r="P106" s="106">
        <v>131.19999999999999</v>
      </c>
      <c r="Q106" s="106">
        <v>132.80000000000001</v>
      </c>
      <c r="R106" s="106">
        <v>129.6</v>
      </c>
      <c r="S106" s="106">
        <v>127.8</v>
      </c>
      <c r="T106" s="106">
        <v>130</v>
      </c>
      <c r="U106" s="106">
        <v>130</v>
      </c>
      <c r="V106" s="106">
        <v>134.5</v>
      </c>
      <c r="W106" s="106">
        <v>134.5</v>
      </c>
      <c r="X106" s="106">
        <v>132.9</v>
      </c>
      <c r="Y106" s="106">
        <v>130.5</v>
      </c>
      <c r="Z106" s="106">
        <v>131.4</v>
      </c>
      <c r="AA106" s="106">
        <v>134.1</v>
      </c>
      <c r="AB106" s="106">
        <v>135</v>
      </c>
      <c r="AC106" s="106">
        <v>135</v>
      </c>
      <c r="AD106" s="106">
        <v>135</v>
      </c>
      <c r="AE106" s="106">
        <v>135</v>
      </c>
      <c r="AF106" s="106">
        <v>129.69999999999999</v>
      </c>
      <c r="AG106" s="107"/>
      <c r="AH106" s="47">
        <f t="shared" si="11"/>
        <v>135</v>
      </c>
      <c r="AI106" s="48">
        <f t="shared" si="12"/>
        <v>126.6</v>
      </c>
    </row>
    <row r="107" spans="1:37" x14ac:dyDescent="0.25">
      <c r="A107" s="103" t="s">
        <v>123</v>
      </c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>
        <v>131.69999999999999</v>
      </c>
      <c r="Q107" s="64">
        <v>130.1</v>
      </c>
      <c r="R107" s="64">
        <v>126.9</v>
      </c>
      <c r="S107" s="64">
        <v>126.5</v>
      </c>
      <c r="T107" s="64">
        <v>127.2</v>
      </c>
      <c r="U107" s="64">
        <v>124.5</v>
      </c>
      <c r="V107" s="64">
        <v>130.19999999999999</v>
      </c>
      <c r="W107" s="64">
        <v>130.19999999999999</v>
      </c>
      <c r="X107" s="64">
        <v>126.4</v>
      </c>
      <c r="Y107" s="64">
        <v>126.7</v>
      </c>
      <c r="Z107" s="64">
        <v>123.8</v>
      </c>
      <c r="AA107" s="64">
        <v>128.80000000000001</v>
      </c>
      <c r="AB107" s="64">
        <v>125</v>
      </c>
      <c r="AC107" s="64">
        <v>125</v>
      </c>
      <c r="AD107" s="64">
        <v>125</v>
      </c>
      <c r="AE107" s="64">
        <v>125</v>
      </c>
      <c r="AF107" s="64">
        <v>128.80000000000001</v>
      </c>
      <c r="AG107" s="104"/>
      <c r="AH107" s="47">
        <f t="shared" si="11"/>
        <v>131.69999999999999</v>
      </c>
      <c r="AI107" s="48">
        <f t="shared" si="12"/>
        <v>123.8</v>
      </c>
    </row>
    <row r="108" spans="1:37" ht="15.75" thickBot="1" x14ac:dyDescent="0.3">
      <c r="A108" s="103" t="s">
        <v>124</v>
      </c>
      <c r="B108" s="92">
        <v>63.9</v>
      </c>
      <c r="C108" s="92">
        <v>64.900000000000006</v>
      </c>
      <c r="D108" s="92">
        <v>64.599999999999994</v>
      </c>
      <c r="E108" s="92">
        <v>65.3</v>
      </c>
      <c r="F108" s="92">
        <v>65.5</v>
      </c>
      <c r="G108" s="92">
        <v>64.7</v>
      </c>
      <c r="H108" s="92">
        <v>65.099999999999994</v>
      </c>
      <c r="I108" s="92">
        <v>64.7</v>
      </c>
      <c r="J108" s="92">
        <v>64.3</v>
      </c>
      <c r="K108" s="92">
        <v>64.400000000000006</v>
      </c>
      <c r="L108" s="92">
        <v>64.400000000000006</v>
      </c>
      <c r="M108" s="92">
        <v>62.5</v>
      </c>
      <c r="N108" s="92">
        <v>60.4</v>
      </c>
      <c r="O108" s="92">
        <v>60.4</v>
      </c>
      <c r="P108" s="92">
        <v>61.8</v>
      </c>
      <c r="Q108" s="92">
        <v>62.6</v>
      </c>
      <c r="R108" s="92">
        <v>61.9</v>
      </c>
      <c r="S108" s="92">
        <v>62.3</v>
      </c>
      <c r="T108" s="92">
        <v>62.7</v>
      </c>
      <c r="U108" s="92">
        <v>62.9</v>
      </c>
      <c r="V108" s="92">
        <v>62.6</v>
      </c>
      <c r="W108" s="92">
        <v>62.6</v>
      </c>
      <c r="X108" s="92">
        <v>63.8</v>
      </c>
      <c r="Y108" s="92">
        <v>63.4</v>
      </c>
      <c r="Z108" s="92">
        <v>63</v>
      </c>
      <c r="AA108" s="92">
        <v>62.7</v>
      </c>
      <c r="AB108" s="92">
        <v>64.3</v>
      </c>
      <c r="AC108" s="92">
        <v>64.3</v>
      </c>
      <c r="AD108" s="92">
        <v>64.3</v>
      </c>
      <c r="AE108" s="92">
        <v>64.3</v>
      </c>
      <c r="AF108" s="92">
        <v>64.7</v>
      </c>
      <c r="AG108" s="108"/>
      <c r="AH108" s="47">
        <f t="shared" si="11"/>
        <v>65.5</v>
      </c>
      <c r="AI108" s="48">
        <f t="shared" si="12"/>
        <v>60.4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1"/>
        <v>0</v>
      </c>
      <c r="AI109" s="48">
        <f t="shared" si="12"/>
        <v>0</v>
      </c>
    </row>
    <row r="110" spans="1:37" ht="15.75" thickBot="1" x14ac:dyDescent="0.3">
      <c r="A110" s="110" t="s">
        <v>126</v>
      </c>
      <c r="B110" s="111">
        <f t="shared" ref="B110:O110" si="18">SUM(B20,B26,B29:B30,B58,B60:B61,B63,B65,B111:B115,B138,B144,B150,B159,B161,B173,B180,B183:B184,B191,B193,B195,B199:B201,B203:B205,B210,B216:B217,B219:B221,B229,B234)</f>
        <v>103.30000000000001</v>
      </c>
      <c r="C110" s="111">
        <f t="shared" si="18"/>
        <v>61.839999999999975</v>
      </c>
      <c r="D110" s="111">
        <f t="shared" si="18"/>
        <v>66.44</v>
      </c>
      <c r="E110" s="111">
        <f t="shared" si="18"/>
        <v>63.339999999999975</v>
      </c>
      <c r="F110" s="111">
        <f t="shared" si="18"/>
        <v>70.939999999999984</v>
      </c>
      <c r="G110" s="111">
        <f t="shared" si="18"/>
        <v>98.639999999999972</v>
      </c>
      <c r="H110" s="111">
        <f t="shared" si="18"/>
        <v>104.83999999999996</v>
      </c>
      <c r="I110" s="111">
        <f t="shared" si="18"/>
        <v>126.93999999999997</v>
      </c>
      <c r="J110" s="111">
        <f t="shared" si="18"/>
        <v>147.83999999999997</v>
      </c>
      <c r="K110" s="111">
        <f t="shared" si="18"/>
        <v>187.34</v>
      </c>
      <c r="L110" s="111">
        <f t="shared" si="18"/>
        <v>188.44</v>
      </c>
      <c r="M110" s="111">
        <f t="shared" si="18"/>
        <v>190.33999999999997</v>
      </c>
      <c r="N110" s="111">
        <f t="shared" si="18"/>
        <v>247.64000000000001</v>
      </c>
      <c r="O110" s="111">
        <f t="shared" si="18"/>
        <v>247.64000000000001</v>
      </c>
      <c r="P110" s="111">
        <v>42</v>
      </c>
      <c r="Q110" s="111">
        <f t="shared" ref="Q110:AF110" si="19">SUM(Q20,Q26,Q29:Q30,Q58,Q60:Q61,Q63,Q65,Q111:Q115,Q138,Q144,Q150,Q159,Q161,Q173,Q180,Q183:Q184,Q191,Q193,Q195,Q199:Q201,Q203:Q205,Q210,Q216:Q217,Q219:Q221,Q229,Q234)</f>
        <v>188.10000000000002</v>
      </c>
      <c r="R110" s="111">
        <f t="shared" si="19"/>
        <v>210.40000000000003</v>
      </c>
      <c r="S110" s="111">
        <f t="shared" si="19"/>
        <v>199.3</v>
      </c>
      <c r="T110" s="111">
        <f t="shared" si="19"/>
        <v>436.7</v>
      </c>
      <c r="U110" s="111">
        <f t="shared" si="19"/>
        <v>469.8</v>
      </c>
      <c r="V110" s="111">
        <f t="shared" si="19"/>
        <v>460.20000000000005</v>
      </c>
      <c r="W110" s="111">
        <f t="shared" si="19"/>
        <v>450</v>
      </c>
      <c r="X110" s="111">
        <f t="shared" si="19"/>
        <v>483</v>
      </c>
      <c r="Y110" s="111">
        <f t="shared" si="19"/>
        <v>468.2</v>
      </c>
      <c r="Z110" s="111">
        <f t="shared" si="19"/>
        <v>202.70000000000002</v>
      </c>
      <c r="AA110" s="111">
        <f>SUM(AA155,AA111:AA115,AA14,AA23,AA29,AA37,AA40,AA58,AA60:AA61,AA63,AA65)</f>
        <v>275.5</v>
      </c>
      <c r="AB110" s="111">
        <f t="shared" si="19"/>
        <v>217.20000000000002</v>
      </c>
      <c r="AC110" s="111">
        <f t="shared" si="19"/>
        <v>199.70000000000002</v>
      </c>
      <c r="AD110" s="111"/>
      <c r="AE110" s="111">
        <f t="shared" si="19"/>
        <v>123.79999999999998</v>
      </c>
      <c r="AF110" s="111">
        <f t="shared" si="19"/>
        <v>53.499999999999986</v>
      </c>
      <c r="AG110" s="112"/>
      <c r="AH110" s="47">
        <f t="shared" si="11"/>
        <v>483</v>
      </c>
      <c r="AI110" s="48">
        <f t="shared" si="12"/>
        <v>42</v>
      </c>
    </row>
    <row r="111" spans="1:37" x14ac:dyDescent="0.25">
      <c r="A111" s="100" t="s">
        <v>127</v>
      </c>
      <c r="B111" s="113">
        <v>40.4</v>
      </c>
      <c r="C111" s="113">
        <v>34.4</v>
      </c>
      <c r="D111" s="113">
        <v>22.6</v>
      </c>
      <c r="E111" s="113">
        <v>22</v>
      </c>
      <c r="F111" s="113">
        <v>22.4</v>
      </c>
      <c r="G111" s="113">
        <v>22.7</v>
      </c>
      <c r="H111" s="113">
        <v>26.7</v>
      </c>
      <c r="I111" s="113">
        <v>30.9</v>
      </c>
      <c r="J111" s="113">
        <v>30.5</v>
      </c>
      <c r="K111" s="113">
        <v>18.3</v>
      </c>
      <c r="L111" s="113">
        <v>25</v>
      </c>
      <c r="M111" s="113">
        <v>53.7</v>
      </c>
      <c r="N111" s="113">
        <v>62.6</v>
      </c>
      <c r="O111" s="113">
        <v>62.6</v>
      </c>
      <c r="P111" s="113">
        <v>61.2</v>
      </c>
      <c r="Q111" s="113">
        <v>50.9</v>
      </c>
      <c r="R111" s="113">
        <v>49</v>
      </c>
      <c r="S111" s="113">
        <v>43.7</v>
      </c>
      <c r="T111" s="113">
        <v>41.3</v>
      </c>
      <c r="U111" s="113">
        <v>51.2</v>
      </c>
      <c r="V111" s="113">
        <v>60.5</v>
      </c>
      <c r="W111" s="113">
        <v>60.2</v>
      </c>
      <c r="X111" s="113">
        <v>63.2</v>
      </c>
      <c r="Y111" s="113">
        <v>61</v>
      </c>
      <c r="Z111" s="113">
        <v>60</v>
      </c>
      <c r="AA111" s="113">
        <v>71</v>
      </c>
      <c r="AB111" s="113">
        <v>63.5</v>
      </c>
      <c r="AC111" s="113">
        <v>66.2</v>
      </c>
      <c r="AD111" s="113">
        <v>58.2</v>
      </c>
      <c r="AE111" s="113">
        <v>52</v>
      </c>
      <c r="AF111" s="113">
        <v>23.3</v>
      </c>
      <c r="AG111" s="114">
        <v>75</v>
      </c>
      <c r="AH111" s="47">
        <f t="shared" si="11"/>
        <v>71</v>
      </c>
      <c r="AI111" s="48">
        <f t="shared" si="12"/>
        <v>18.3</v>
      </c>
    </row>
    <row r="112" spans="1:37" x14ac:dyDescent="0.25">
      <c r="A112" s="103" t="s">
        <v>128</v>
      </c>
      <c r="B112" s="115">
        <v>67</v>
      </c>
      <c r="C112" s="115">
        <v>59.2</v>
      </c>
      <c r="D112" s="115">
        <v>47.4</v>
      </c>
      <c r="E112" s="115">
        <v>46.8</v>
      </c>
      <c r="F112" s="115">
        <v>48.7</v>
      </c>
      <c r="G112" s="115">
        <v>47.9</v>
      </c>
      <c r="H112" s="115">
        <v>52.8</v>
      </c>
      <c r="I112" s="115">
        <v>60.7</v>
      </c>
      <c r="J112" s="115">
        <v>57.8</v>
      </c>
      <c r="K112" s="115">
        <v>39.4</v>
      </c>
      <c r="L112" s="115">
        <v>44.9</v>
      </c>
      <c r="M112" s="115">
        <v>77.5</v>
      </c>
      <c r="N112" s="115">
        <v>91.2</v>
      </c>
      <c r="O112" s="115">
        <v>91.2</v>
      </c>
      <c r="P112" s="115">
        <v>90.6</v>
      </c>
      <c r="Q112" s="115">
        <v>80.5</v>
      </c>
      <c r="R112" s="115">
        <v>76.3</v>
      </c>
      <c r="S112" s="115">
        <v>70</v>
      </c>
      <c r="T112" s="115">
        <v>64.8</v>
      </c>
      <c r="U112" s="115">
        <v>81</v>
      </c>
      <c r="V112" s="115">
        <v>59.6</v>
      </c>
      <c r="W112" s="115">
        <v>58.4</v>
      </c>
      <c r="X112" s="115">
        <v>91.7</v>
      </c>
      <c r="Y112" s="115">
        <v>90</v>
      </c>
      <c r="Z112" s="115">
        <v>88.4</v>
      </c>
      <c r="AA112" s="115">
        <v>102.2</v>
      </c>
      <c r="AB112" s="115">
        <v>94.2</v>
      </c>
      <c r="AC112" s="115">
        <v>99.5</v>
      </c>
      <c r="AD112" s="115">
        <v>88.2</v>
      </c>
      <c r="AE112" s="115">
        <v>83</v>
      </c>
      <c r="AF112" s="115">
        <v>43.2</v>
      </c>
      <c r="AG112" s="114">
        <v>240</v>
      </c>
      <c r="AH112" s="47">
        <f t="shared" si="11"/>
        <v>102.2</v>
      </c>
      <c r="AI112" s="48">
        <f t="shared" si="12"/>
        <v>39.4</v>
      </c>
    </row>
    <row r="113" spans="1:37" x14ac:dyDescent="0.25">
      <c r="A113" s="103" t="s">
        <v>129</v>
      </c>
      <c r="B113" s="115">
        <v>-197</v>
      </c>
      <c r="C113" s="115">
        <v>-196</v>
      </c>
      <c r="D113" s="115">
        <v>-178</v>
      </c>
      <c r="E113" s="115">
        <f>-89-94</f>
        <v>-183</v>
      </c>
      <c r="F113" s="115">
        <f>-88.6-92.5</f>
        <v>-181.1</v>
      </c>
      <c r="G113" s="115">
        <f>-76.2-80.3</f>
        <v>-156.5</v>
      </c>
      <c r="H113" s="115">
        <f>-81.1-88.6</f>
        <v>-169.7</v>
      </c>
      <c r="I113" s="115">
        <f>-78.8-85.2</f>
        <v>-164</v>
      </c>
      <c r="J113" s="115">
        <f>-70.2-78.5</f>
        <v>-148.69999999999999</v>
      </c>
      <c r="K113" s="115">
        <f>-46.4-56.4</f>
        <v>-102.8</v>
      </c>
      <c r="L113" s="115">
        <f>-47.1-56.3</f>
        <v>-103.4</v>
      </c>
      <c r="M113" s="115">
        <v>-150</v>
      </c>
      <c r="N113" s="115">
        <v>-150</v>
      </c>
      <c r="O113" s="115">
        <v>-150</v>
      </c>
      <c r="P113" s="115">
        <v>-160.5</v>
      </c>
      <c r="Q113" s="115">
        <v>-160</v>
      </c>
      <c r="R113" s="115">
        <v>-140</v>
      </c>
      <c r="S113" s="115">
        <f>-84.3-73.9</f>
        <v>-158.19999999999999</v>
      </c>
      <c r="T113" s="115">
        <v>111.1</v>
      </c>
      <c r="U113" s="115">
        <v>128.5</v>
      </c>
      <c r="V113" s="115">
        <v>146.4</v>
      </c>
      <c r="W113" s="115">
        <v>142.30000000000001</v>
      </c>
      <c r="X113" s="115">
        <v>149.80000000000001</v>
      </c>
      <c r="Y113" s="115">
        <v>135.69999999999999</v>
      </c>
      <c r="Z113" s="115">
        <f>-62.6-67.5</f>
        <v>-130.1</v>
      </c>
      <c r="AA113" s="115">
        <f>-59.5-64.4</f>
        <v>-123.9</v>
      </c>
      <c r="AB113" s="115">
        <v>-152</v>
      </c>
      <c r="AC113" s="115">
        <v>-169</v>
      </c>
      <c r="AD113" s="115">
        <v>-180</v>
      </c>
      <c r="AE113" s="115">
        <v>-163</v>
      </c>
      <c r="AF113" s="115">
        <v>-170</v>
      </c>
      <c r="AG113" s="114">
        <v>240</v>
      </c>
      <c r="AH113" s="47">
        <f t="shared" si="11"/>
        <v>149.80000000000001</v>
      </c>
      <c r="AI113" s="48">
        <f t="shared" si="12"/>
        <v>-197</v>
      </c>
    </row>
    <row r="114" spans="1:37" x14ac:dyDescent="0.25">
      <c r="A114" s="103" t="s">
        <v>130</v>
      </c>
      <c r="B114" s="115">
        <v>17</v>
      </c>
      <c r="C114" s="115">
        <v>-19</v>
      </c>
      <c r="D114" s="115">
        <v>-17</v>
      </c>
      <c r="E114" s="115">
        <v>-16</v>
      </c>
      <c r="F114" s="115">
        <v>-16.5</v>
      </c>
      <c r="G114" s="115">
        <v>-12.7</v>
      </c>
      <c r="H114" s="115">
        <v>-2</v>
      </c>
      <c r="I114" s="115">
        <v>2.5</v>
      </c>
      <c r="J114" s="115">
        <v>13</v>
      </c>
      <c r="K114" s="115">
        <v>37.299999999999997</v>
      </c>
      <c r="L114" s="115">
        <v>26.8</v>
      </c>
      <c r="M114" s="115">
        <v>-4.4000000000000004</v>
      </c>
      <c r="N114" s="115">
        <v>-4</v>
      </c>
      <c r="O114" s="115">
        <v>-4</v>
      </c>
      <c r="P114" s="115">
        <v>7.1</v>
      </c>
      <c r="Q114" s="115">
        <v>9.1999999999999993</v>
      </c>
      <c r="R114" s="115">
        <v>7.8</v>
      </c>
      <c r="S114" s="115">
        <v>20.5</v>
      </c>
      <c r="T114" s="115">
        <v>20.7</v>
      </c>
      <c r="U114" s="115">
        <v>11.7</v>
      </c>
      <c r="V114" s="115">
        <v>-2.6</v>
      </c>
      <c r="W114" s="115">
        <v>-2.8</v>
      </c>
      <c r="X114" s="115">
        <v>-2.2000000000000002</v>
      </c>
      <c r="Y114" s="115">
        <v>1.8</v>
      </c>
      <c r="Z114" s="115">
        <v>5.5</v>
      </c>
      <c r="AA114" s="115">
        <v>8.4</v>
      </c>
      <c r="AB114" s="115">
        <v>16</v>
      </c>
      <c r="AC114" s="115">
        <v>7.4</v>
      </c>
      <c r="AD114" s="115">
        <v>3.6</v>
      </c>
      <c r="AE114" s="115">
        <v>-4.3</v>
      </c>
      <c r="AF114" s="115">
        <v>-20.2</v>
      </c>
      <c r="AG114" s="114">
        <v>60</v>
      </c>
      <c r="AH114" s="47">
        <f t="shared" si="11"/>
        <v>37.299999999999997</v>
      </c>
      <c r="AI114" s="48">
        <f t="shared" si="12"/>
        <v>-20.2</v>
      </c>
    </row>
    <row r="115" spans="1:37" x14ac:dyDescent="0.25">
      <c r="A115" s="116" t="s">
        <v>131</v>
      </c>
      <c r="B115" s="117">
        <v>15</v>
      </c>
      <c r="C115" s="117">
        <v>24.5</v>
      </c>
      <c r="D115" s="117">
        <v>18</v>
      </c>
      <c r="E115" s="117">
        <v>24.5</v>
      </c>
      <c r="F115" s="117">
        <v>24.2</v>
      </c>
      <c r="G115" s="117">
        <v>24</v>
      </c>
      <c r="H115" s="117">
        <v>23.8</v>
      </c>
      <c r="I115" s="117">
        <v>23.6</v>
      </c>
      <c r="J115" s="117">
        <v>23.7</v>
      </c>
      <c r="K115" s="117">
        <v>23.6</v>
      </c>
      <c r="L115" s="117">
        <v>23.6</v>
      </c>
      <c r="M115" s="117">
        <v>55.8</v>
      </c>
      <c r="N115" s="117">
        <v>82.1</v>
      </c>
      <c r="O115" s="117">
        <v>82.1</v>
      </c>
      <c r="P115" s="117">
        <v>74.099999999999994</v>
      </c>
      <c r="Q115" s="117">
        <v>36.700000000000003</v>
      </c>
      <c r="R115" s="117">
        <v>46.5</v>
      </c>
      <c r="S115" s="117">
        <v>38.299999999999997</v>
      </c>
      <c r="T115" s="117">
        <v>21.5</v>
      </c>
      <c r="U115" s="117">
        <v>21.5</v>
      </c>
      <c r="V115" s="117">
        <v>24.1</v>
      </c>
      <c r="W115" s="117">
        <v>21.3</v>
      </c>
      <c r="X115" s="117">
        <v>24.3</v>
      </c>
      <c r="Y115" s="117">
        <v>23.8</v>
      </c>
      <c r="Z115" s="117">
        <v>23.7</v>
      </c>
      <c r="AA115" s="117">
        <v>22.9</v>
      </c>
      <c r="AB115" s="117">
        <v>22.4</v>
      </c>
      <c r="AC115" s="117">
        <v>22.5</v>
      </c>
      <c r="AD115" s="117">
        <v>22.6</v>
      </c>
      <c r="AE115" s="117">
        <v>23.7</v>
      </c>
      <c r="AF115" s="117">
        <v>24</v>
      </c>
      <c r="AG115" s="118">
        <v>120</v>
      </c>
      <c r="AH115" s="47">
        <f t="shared" si="11"/>
        <v>82.1</v>
      </c>
      <c r="AI115" s="48">
        <f t="shared" si="12"/>
        <v>15</v>
      </c>
    </row>
    <row r="116" spans="1:37" x14ac:dyDescent="0.25">
      <c r="A116" s="116" t="s">
        <v>132</v>
      </c>
      <c r="B116" s="117">
        <v>48</v>
      </c>
      <c r="C116" s="117">
        <v>40</v>
      </c>
      <c r="D116" s="117">
        <v>53</v>
      </c>
      <c r="E116" s="117">
        <v>47.1</v>
      </c>
      <c r="F116" s="117">
        <v>38.200000000000003</v>
      </c>
      <c r="G116" s="117">
        <v>60</v>
      </c>
      <c r="H116" s="117">
        <v>37.9</v>
      </c>
      <c r="I116" s="117">
        <v>43.4</v>
      </c>
      <c r="J116" s="117">
        <v>36.299999999999997</v>
      </c>
      <c r="K116" s="117">
        <v>63.9</v>
      </c>
      <c r="L116" s="117">
        <v>67.5</v>
      </c>
      <c r="M116" s="117">
        <v>54.2</v>
      </c>
      <c r="N116" s="117">
        <v>80.5</v>
      </c>
      <c r="O116" s="117">
        <v>80.5</v>
      </c>
      <c r="P116" s="117">
        <v>67.400000000000006</v>
      </c>
      <c r="Q116" s="117">
        <v>45.1</v>
      </c>
      <c r="R116" s="117">
        <v>21.7</v>
      </c>
      <c r="S116" s="117">
        <v>45.1</v>
      </c>
      <c r="T116" s="117">
        <v>60.3</v>
      </c>
      <c r="U116" s="117">
        <v>42.5</v>
      </c>
      <c r="V116" s="117">
        <v>39.6</v>
      </c>
      <c r="W116" s="117">
        <v>38.6</v>
      </c>
      <c r="X116" s="117">
        <v>33.299999999999997</v>
      </c>
      <c r="Y116" s="117">
        <v>49.1</v>
      </c>
      <c r="Z116" s="117">
        <v>60.1</v>
      </c>
      <c r="AA116" s="117">
        <v>61.2</v>
      </c>
      <c r="AB116" s="117">
        <v>40.9</v>
      </c>
      <c r="AC116" s="117">
        <v>36.9</v>
      </c>
      <c r="AD116" s="117">
        <v>45.1</v>
      </c>
      <c r="AE116" s="117">
        <v>31.7</v>
      </c>
      <c r="AF116" s="117">
        <v>45.5</v>
      </c>
      <c r="AG116" s="118"/>
      <c r="AH116" s="47">
        <f t="shared" si="11"/>
        <v>80.5</v>
      </c>
      <c r="AI116" s="48">
        <f t="shared" si="12"/>
        <v>21.7</v>
      </c>
    </row>
    <row r="117" spans="1:37" x14ac:dyDescent="0.25">
      <c r="A117" s="116" t="s">
        <v>133</v>
      </c>
      <c r="B117" s="117">
        <v>-16</v>
      </c>
      <c r="C117" s="117">
        <v>-16</v>
      </c>
      <c r="D117" s="117">
        <v>-13.5</v>
      </c>
      <c r="E117" s="117">
        <v>-16</v>
      </c>
      <c r="F117" s="117">
        <v>-15.6</v>
      </c>
      <c r="G117" s="117">
        <v>-15.9</v>
      </c>
      <c r="H117" s="117">
        <v>-10.3</v>
      </c>
      <c r="I117" s="117">
        <v>-6.5</v>
      </c>
      <c r="J117" s="117">
        <v>-5.2</v>
      </c>
      <c r="K117" s="117">
        <v>-6.3</v>
      </c>
      <c r="L117" s="117">
        <v>-6.1</v>
      </c>
      <c r="M117" s="117">
        <v>0</v>
      </c>
      <c r="N117" s="117">
        <v>-2.7</v>
      </c>
      <c r="O117" s="117">
        <v>-2.7</v>
      </c>
      <c r="P117" s="117">
        <v>7.4</v>
      </c>
      <c r="Q117" s="117">
        <v>2.2999999999999998</v>
      </c>
      <c r="R117" s="117">
        <v>0</v>
      </c>
      <c r="S117" s="117">
        <v>-5.8</v>
      </c>
      <c r="T117" s="117">
        <v>-8.4</v>
      </c>
      <c r="U117" s="117">
        <v>-8.8000000000000007</v>
      </c>
      <c r="V117" s="117">
        <v>6.2</v>
      </c>
      <c r="W117" s="117">
        <v>6.8</v>
      </c>
      <c r="X117" s="117">
        <v>7.4</v>
      </c>
      <c r="Y117" s="117">
        <v>2.6</v>
      </c>
      <c r="Z117" s="117">
        <v>-2.6</v>
      </c>
      <c r="AA117" s="117">
        <v>8.1</v>
      </c>
      <c r="AB117" s="117">
        <v>1.6</v>
      </c>
      <c r="AC117" s="117">
        <v>7.6</v>
      </c>
      <c r="AD117" s="117">
        <v>3.3</v>
      </c>
      <c r="AE117" s="117">
        <v>-3</v>
      </c>
      <c r="AF117" s="117">
        <v>-17.8</v>
      </c>
      <c r="AG117" s="119"/>
      <c r="AH117" s="47">
        <f t="shared" si="11"/>
        <v>8.1</v>
      </c>
      <c r="AI117" s="48">
        <f t="shared" si="12"/>
        <v>-17.8</v>
      </c>
    </row>
    <row r="118" spans="1:37" x14ac:dyDescent="0.25">
      <c r="A118" s="120" t="s">
        <v>134</v>
      </c>
      <c r="B118" s="106">
        <v>30</v>
      </c>
      <c r="C118" s="106">
        <v>35</v>
      </c>
      <c r="D118" s="106">
        <v>37</v>
      </c>
      <c r="E118" s="106">
        <v>37.700000000000003</v>
      </c>
      <c r="F118" s="106">
        <v>40.6</v>
      </c>
      <c r="G118" s="106">
        <v>42</v>
      </c>
      <c r="H118" s="106">
        <v>40.5</v>
      </c>
      <c r="I118" s="106">
        <v>39.4</v>
      </c>
      <c r="J118" s="106">
        <v>38.299999999999997</v>
      </c>
      <c r="K118" s="106">
        <v>33.9</v>
      </c>
      <c r="L118" s="106">
        <v>31.2</v>
      </c>
      <c r="M118" s="106">
        <v>30</v>
      </c>
      <c r="N118" s="106">
        <v>24.5</v>
      </c>
      <c r="O118" s="106">
        <v>24.5</v>
      </c>
      <c r="P118" s="106">
        <v>27.6</v>
      </c>
      <c r="Q118" s="106">
        <v>30.8</v>
      </c>
      <c r="R118" s="106">
        <v>21.7</v>
      </c>
      <c r="S118" s="106">
        <v>25.1</v>
      </c>
      <c r="T118" s="106">
        <v>27.3</v>
      </c>
      <c r="U118" s="106">
        <v>26.2</v>
      </c>
      <c r="V118" s="106">
        <v>29.9</v>
      </c>
      <c r="W118" s="106">
        <v>26.8</v>
      </c>
      <c r="X118" s="106">
        <v>68.5</v>
      </c>
      <c r="Y118" s="106">
        <v>19.2</v>
      </c>
      <c r="Z118" s="106">
        <v>17.600000000000001</v>
      </c>
      <c r="AA118" s="106">
        <v>14.6</v>
      </c>
      <c r="AB118" s="106">
        <v>14.6</v>
      </c>
      <c r="AC118" s="106">
        <v>17.399999999999999</v>
      </c>
      <c r="AD118" s="106">
        <v>19</v>
      </c>
      <c r="AE118" s="106">
        <v>20.9</v>
      </c>
      <c r="AF118" s="106">
        <v>29.5</v>
      </c>
      <c r="AG118" s="119"/>
      <c r="AH118" s="47">
        <f t="shared" si="11"/>
        <v>68.5</v>
      </c>
      <c r="AI118" s="48">
        <f t="shared" si="12"/>
        <v>14.6</v>
      </c>
    </row>
    <row r="119" spans="1:37" x14ac:dyDescent="0.25">
      <c r="A119" s="121" t="s">
        <v>135</v>
      </c>
      <c r="B119" s="106">
        <v>96</v>
      </c>
      <c r="C119" s="106">
        <v>100</v>
      </c>
      <c r="D119" s="106">
        <v>93</v>
      </c>
      <c r="E119" s="106">
        <v>94.6</v>
      </c>
      <c r="F119" s="106">
        <v>90.2</v>
      </c>
      <c r="G119" s="106">
        <v>79.400000000000006</v>
      </c>
      <c r="H119" s="106">
        <v>98.8</v>
      </c>
      <c r="I119" s="106">
        <v>91.2</v>
      </c>
      <c r="J119" s="106">
        <v>86.8</v>
      </c>
      <c r="K119" s="106">
        <v>73</v>
      </c>
      <c r="L119" s="106">
        <v>71.5</v>
      </c>
      <c r="M119" s="106">
        <v>75.599999999999994</v>
      </c>
      <c r="N119" s="106">
        <v>68.8</v>
      </c>
      <c r="O119" s="106">
        <v>68.8</v>
      </c>
      <c r="P119" s="106">
        <v>74</v>
      </c>
      <c r="Q119" s="106">
        <v>75.400000000000006</v>
      </c>
      <c r="R119" s="106">
        <v>67.2</v>
      </c>
      <c r="S119" s="106">
        <v>77</v>
      </c>
      <c r="T119" s="106">
        <v>64.7</v>
      </c>
      <c r="U119" s="106">
        <v>68.7</v>
      </c>
      <c r="V119" s="106">
        <v>69.8</v>
      </c>
      <c r="W119" s="106">
        <v>28.9</v>
      </c>
      <c r="X119" s="106">
        <v>68.5</v>
      </c>
      <c r="Y119" s="106">
        <v>61.9</v>
      </c>
      <c r="Z119" s="106">
        <v>58.4</v>
      </c>
      <c r="AA119" s="106">
        <v>53.9</v>
      </c>
      <c r="AB119" s="106">
        <v>69.2</v>
      </c>
      <c r="AC119" s="106">
        <v>82.6</v>
      </c>
      <c r="AD119" s="106">
        <v>85.5</v>
      </c>
      <c r="AE119" s="106">
        <v>84.8</v>
      </c>
      <c r="AF119" s="106">
        <v>82.9</v>
      </c>
      <c r="AG119" s="119"/>
      <c r="AH119" s="47">
        <f t="shared" si="11"/>
        <v>100</v>
      </c>
      <c r="AI119" s="48">
        <f t="shared" si="12"/>
        <v>28.9</v>
      </c>
    </row>
    <row r="120" spans="1:37" ht="15.75" thickBot="1" x14ac:dyDescent="0.3">
      <c r="A120" s="120" t="s">
        <v>136</v>
      </c>
      <c r="B120" s="106">
        <v>38</v>
      </c>
      <c r="C120" s="106">
        <v>38</v>
      </c>
      <c r="D120" s="106">
        <v>27</v>
      </c>
      <c r="E120" s="106">
        <v>25.1</v>
      </c>
      <c r="F120" s="106">
        <v>29.1</v>
      </c>
      <c r="G120" s="106">
        <v>19.7</v>
      </c>
      <c r="H120" s="106">
        <v>12.9</v>
      </c>
      <c r="I120" s="106">
        <v>10</v>
      </c>
      <c r="J120" s="106">
        <v>13.3</v>
      </c>
      <c r="K120" s="106">
        <v>19.100000000000001</v>
      </c>
      <c r="L120" s="106">
        <v>21.8</v>
      </c>
      <c r="M120" s="106">
        <v>17.100000000000001</v>
      </c>
      <c r="N120" s="106">
        <v>25</v>
      </c>
      <c r="O120" s="106">
        <v>25</v>
      </c>
      <c r="P120" s="106">
        <v>25.6</v>
      </c>
      <c r="Q120" s="106">
        <v>23.9</v>
      </c>
      <c r="R120" s="106">
        <v>26.9</v>
      </c>
      <c r="S120" s="106">
        <v>28.5</v>
      </c>
      <c r="T120" s="106">
        <v>22.6</v>
      </c>
      <c r="U120" s="106">
        <v>22</v>
      </c>
      <c r="V120" s="106">
        <v>10</v>
      </c>
      <c r="W120" s="106">
        <v>9.8000000000000007</v>
      </c>
      <c r="X120" s="106">
        <v>14.8</v>
      </c>
      <c r="Y120" s="106">
        <v>22</v>
      </c>
      <c r="Z120" s="106">
        <v>34.200000000000003</v>
      </c>
      <c r="AA120" s="106">
        <v>46.1</v>
      </c>
      <c r="AB120" s="106">
        <v>43.4</v>
      </c>
      <c r="AC120" s="106">
        <v>50.9</v>
      </c>
      <c r="AD120" s="106">
        <v>49.1</v>
      </c>
      <c r="AE120" s="106">
        <v>51.9</v>
      </c>
      <c r="AF120" s="106">
        <v>29.5</v>
      </c>
      <c r="AG120" s="119"/>
      <c r="AH120" s="47">
        <f t="shared" si="11"/>
        <v>51.9</v>
      </c>
      <c r="AI120" s="48">
        <f t="shared" si="12"/>
        <v>9.8000000000000007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20">SUM(B122:B226)</f>
        <v>0</v>
      </c>
      <c r="C227" s="137">
        <f t="shared" si="20"/>
        <v>0</v>
      </c>
      <c r="D227" s="137">
        <f t="shared" si="20"/>
        <v>0</v>
      </c>
      <c r="E227" s="137">
        <f t="shared" si="20"/>
        <v>0</v>
      </c>
      <c r="F227" s="137">
        <f t="shared" si="20"/>
        <v>0</v>
      </c>
      <c r="G227" s="137">
        <f t="shared" si="20"/>
        <v>0</v>
      </c>
      <c r="H227" s="137">
        <f t="shared" si="20"/>
        <v>0</v>
      </c>
      <c r="I227" s="137">
        <f t="shared" si="20"/>
        <v>0</v>
      </c>
      <c r="J227" s="137">
        <f t="shared" si="20"/>
        <v>0</v>
      </c>
      <c r="K227" s="137">
        <f t="shared" si="20"/>
        <v>0</v>
      </c>
      <c r="L227" s="137">
        <f t="shared" si="20"/>
        <v>0</v>
      </c>
      <c r="M227" s="137">
        <f t="shared" si="20"/>
        <v>0</v>
      </c>
      <c r="N227" s="137">
        <f t="shared" si="20"/>
        <v>0</v>
      </c>
      <c r="O227" s="137">
        <f t="shared" si="20"/>
        <v>0</v>
      </c>
      <c r="P227" s="137">
        <f t="shared" si="20"/>
        <v>0</v>
      </c>
      <c r="Q227" s="137">
        <f t="shared" si="20"/>
        <v>0</v>
      </c>
      <c r="R227" s="137">
        <f t="shared" si="20"/>
        <v>0</v>
      </c>
      <c r="S227" s="137">
        <f t="shared" si="20"/>
        <v>0</v>
      </c>
      <c r="T227" s="137">
        <f t="shared" si="20"/>
        <v>0</v>
      </c>
      <c r="U227" s="137">
        <f t="shared" si="20"/>
        <v>0</v>
      </c>
      <c r="V227" s="137">
        <f t="shared" si="20"/>
        <v>0</v>
      </c>
      <c r="W227" s="137">
        <f t="shared" si="20"/>
        <v>0</v>
      </c>
      <c r="X227" s="137">
        <f t="shared" si="20"/>
        <v>0</v>
      </c>
      <c r="Y227" s="137">
        <f t="shared" si="20"/>
        <v>0</v>
      </c>
      <c r="Z227" s="137">
        <f t="shared" si="20"/>
        <v>0</v>
      </c>
      <c r="AA227" s="137">
        <f t="shared" si="20"/>
        <v>0</v>
      </c>
      <c r="AB227" s="137">
        <f t="shared" si="20"/>
        <v>0</v>
      </c>
      <c r="AC227" s="137">
        <f t="shared" si="20"/>
        <v>0</v>
      </c>
      <c r="AD227" s="137">
        <f t="shared" si="20"/>
        <v>0</v>
      </c>
      <c r="AE227" s="137">
        <f t="shared" si="20"/>
        <v>0</v>
      </c>
      <c r="AF227" s="138">
        <f t="shared" si="20"/>
        <v>0</v>
      </c>
      <c r="AG227" s="139">
        <f t="shared" si="20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21">AF229</f>
        <v>0</v>
      </c>
      <c r="C229" s="141">
        <v>0.3</v>
      </c>
      <c r="D229" s="141">
        <f t="shared" ref="D229:P234" si="22">C229</f>
        <v>0.3</v>
      </c>
      <c r="E229" s="141">
        <f t="shared" si="22"/>
        <v>0.3</v>
      </c>
      <c r="F229" s="141">
        <f t="shared" si="22"/>
        <v>0.3</v>
      </c>
      <c r="G229" s="141">
        <f t="shared" si="22"/>
        <v>0.3</v>
      </c>
      <c r="H229" s="141">
        <f t="shared" si="22"/>
        <v>0.3</v>
      </c>
      <c r="I229" s="141">
        <f t="shared" si="22"/>
        <v>0.3</v>
      </c>
      <c r="J229" s="141">
        <f t="shared" si="22"/>
        <v>0.3</v>
      </c>
      <c r="K229" s="141">
        <f t="shared" si="22"/>
        <v>0.3</v>
      </c>
      <c r="L229" s="141">
        <f t="shared" si="22"/>
        <v>0.3</v>
      </c>
      <c r="M229" s="141">
        <f t="shared" si="22"/>
        <v>0.3</v>
      </c>
      <c r="N229" s="141">
        <f t="shared" si="22"/>
        <v>0.3</v>
      </c>
      <c r="O229" s="141">
        <f t="shared" si="22"/>
        <v>0.3</v>
      </c>
      <c r="P229" s="141">
        <f t="shared" si="22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21"/>
        <v>0</v>
      </c>
      <c r="C230" s="129">
        <v>0.4</v>
      </c>
      <c r="D230" s="129">
        <f t="shared" si="22"/>
        <v>0.4</v>
      </c>
      <c r="E230" s="129">
        <f t="shared" si="22"/>
        <v>0.4</v>
      </c>
      <c r="F230" s="129">
        <f t="shared" si="22"/>
        <v>0.4</v>
      </c>
      <c r="G230" s="129">
        <f t="shared" si="22"/>
        <v>0.4</v>
      </c>
      <c r="H230" s="129">
        <f t="shared" si="22"/>
        <v>0.4</v>
      </c>
      <c r="I230" s="129">
        <f t="shared" si="22"/>
        <v>0.4</v>
      </c>
      <c r="J230" s="129">
        <f t="shared" si="22"/>
        <v>0.4</v>
      </c>
      <c r="K230" s="129">
        <f t="shared" si="22"/>
        <v>0.4</v>
      </c>
      <c r="L230" s="129">
        <f t="shared" si="22"/>
        <v>0.4</v>
      </c>
      <c r="M230" s="129">
        <f t="shared" si="22"/>
        <v>0.4</v>
      </c>
      <c r="N230" s="129">
        <f t="shared" si="22"/>
        <v>0.4</v>
      </c>
      <c r="O230" s="129">
        <f t="shared" si="22"/>
        <v>0.4</v>
      </c>
      <c r="P230" s="129">
        <f t="shared" si="22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21"/>
        <v>0</v>
      </c>
      <c r="C231" s="129">
        <v>1.5</v>
      </c>
      <c r="D231" s="129">
        <f t="shared" si="22"/>
        <v>1.5</v>
      </c>
      <c r="E231" s="129">
        <f t="shared" si="22"/>
        <v>1.5</v>
      </c>
      <c r="F231" s="129">
        <f t="shared" si="22"/>
        <v>1.5</v>
      </c>
      <c r="G231" s="129">
        <f t="shared" si="22"/>
        <v>1.5</v>
      </c>
      <c r="H231" s="129">
        <f t="shared" si="22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22"/>
        <v>123.21900000000009</v>
      </c>
      <c r="K231" s="129">
        <f t="shared" ca="1" si="22"/>
        <v>123.21900000000009</v>
      </c>
      <c r="L231" s="129">
        <f t="shared" ca="1" si="22"/>
        <v>123.21900000000009</v>
      </c>
      <c r="M231" s="129">
        <f t="shared" ca="1" si="22"/>
        <v>119.19900000000008</v>
      </c>
      <c r="N231" s="129">
        <f t="shared" ca="1" si="22"/>
        <v>119.19900000000008</v>
      </c>
      <c r="O231" s="129">
        <f t="shared" ca="1" si="22"/>
        <v>119.19900000000008</v>
      </c>
      <c r="P231" s="129">
        <f t="shared" ca="1" si="22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21"/>
        <v>0</v>
      </c>
      <c r="C232" s="129">
        <v>0.3</v>
      </c>
      <c r="D232" s="129">
        <f t="shared" si="22"/>
        <v>0.3</v>
      </c>
      <c r="E232" s="129">
        <f t="shared" si="22"/>
        <v>0.3</v>
      </c>
      <c r="F232" s="129">
        <f t="shared" si="22"/>
        <v>0.3</v>
      </c>
      <c r="G232" s="129">
        <f t="shared" si="22"/>
        <v>0.3</v>
      </c>
      <c r="H232" s="129">
        <f t="shared" si="22"/>
        <v>0.3</v>
      </c>
      <c r="I232" s="129">
        <f t="shared" si="22"/>
        <v>0.3</v>
      </c>
      <c r="J232" s="129">
        <f t="shared" si="22"/>
        <v>0.3</v>
      </c>
      <c r="K232" s="129">
        <f t="shared" si="22"/>
        <v>0.3</v>
      </c>
      <c r="L232" s="129">
        <f t="shared" si="22"/>
        <v>0.3</v>
      </c>
      <c r="M232" s="129">
        <f t="shared" si="22"/>
        <v>0.3</v>
      </c>
      <c r="N232" s="129">
        <f t="shared" si="22"/>
        <v>0.3</v>
      </c>
      <c r="O232" s="129">
        <f t="shared" si="22"/>
        <v>0.3</v>
      </c>
      <c r="P232" s="129">
        <f t="shared" si="22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21"/>
        <v>0</v>
      </c>
      <c r="C233" s="129">
        <v>0.4</v>
      </c>
      <c r="D233" s="129">
        <f t="shared" si="22"/>
        <v>0.4</v>
      </c>
      <c r="E233" s="129">
        <f t="shared" si="22"/>
        <v>0.4</v>
      </c>
      <c r="F233" s="129">
        <f t="shared" si="22"/>
        <v>0.4</v>
      </c>
      <c r="G233" s="129">
        <f t="shared" si="22"/>
        <v>0.4</v>
      </c>
      <c r="H233" s="129">
        <f t="shared" si="22"/>
        <v>0.4</v>
      </c>
      <c r="I233" s="129">
        <f t="shared" si="22"/>
        <v>0.4</v>
      </c>
      <c r="J233" s="129">
        <f t="shared" si="22"/>
        <v>0.4</v>
      </c>
      <c r="K233" s="129">
        <f t="shared" si="22"/>
        <v>0.4</v>
      </c>
      <c r="L233" s="129">
        <f t="shared" si="22"/>
        <v>0.4</v>
      </c>
      <c r="M233" s="129">
        <f t="shared" si="22"/>
        <v>0.4</v>
      </c>
      <c r="N233" s="129">
        <f t="shared" si="22"/>
        <v>0.4</v>
      </c>
      <c r="O233" s="129">
        <f t="shared" si="22"/>
        <v>0.4</v>
      </c>
      <c r="P233" s="129">
        <f t="shared" si="22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21"/>
        <v>0</v>
      </c>
      <c r="C234" s="133">
        <v>0.64</v>
      </c>
      <c r="D234" s="133">
        <f t="shared" si="22"/>
        <v>0.64</v>
      </c>
      <c r="E234" s="133">
        <f t="shared" si="22"/>
        <v>0.64</v>
      </c>
      <c r="F234" s="133">
        <f t="shared" si="22"/>
        <v>0.64</v>
      </c>
      <c r="G234" s="133">
        <f t="shared" si="22"/>
        <v>0.64</v>
      </c>
      <c r="H234" s="133">
        <f t="shared" si="22"/>
        <v>0.64</v>
      </c>
      <c r="I234" s="133">
        <f t="shared" si="22"/>
        <v>0.64</v>
      </c>
      <c r="J234" s="133">
        <f t="shared" si="22"/>
        <v>0.64</v>
      </c>
      <c r="K234" s="133">
        <f t="shared" si="22"/>
        <v>0.64</v>
      </c>
      <c r="L234" s="133">
        <f t="shared" si="22"/>
        <v>0.64</v>
      </c>
      <c r="M234" s="133">
        <f t="shared" si="22"/>
        <v>0.64</v>
      </c>
      <c r="N234" s="133">
        <f t="shared" si="22"/>
        <v>0.64</v>
      </c>
      <c r="O234" s="133">
        <f t="shared" si="22"/>
        <v>0.64</v>
      </c>
      <c r="P234" s="133">
        <f t="shared" si="22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3">SUM(B229:B234)</f>
        <v>0</v>
      </c>
      <c r="C235" s="137">
        <f t="shared" si="23"/>
        <v>3.54</v>
      </c>
      <c r="D235" s="137">
        <f t="shared" si="23"/>
        <v>3.54</v>
      </c>
      <c r="E235" s="137">
        <f t="shared" si="23"/>
        <v>3.54</v>
      </c>
      <c r="F235" s="137">
        <f t="shared" si="23"/>
        <v>3.54</v>
      </c>
      <c r="G235" s="137">
        <f t="shared" si="23"/>
        <v>3.54</v>
      </c>
      <c r="H235" s="137">
        <f t="shared" si="23"/>
        <v>3.54</v>
      </c>
      <c r="I235" s="137">
        <f t="shared" ca="1" si="23"/>
        <v>121.23900000000009</v>
      </c>
      <c r="J235" s="137">
        <f t="shared" ca="1" si="23"/>
        <v>121.23900000000009</v>
      </c>
      <c r="K235" s="137">
        <f t="shared" ca="1" si="23"/>
        <v>121.23900000000009</v>
      </c>
      <c r="L235" s="137">
        <f t="shared" ca="1" si="23"/>
        <v>125.2590000000001</v>
      </c>
      <c r="M235" s="137">
        <f t="shared" ca="1" si="23"/>
        <v>121.23900000000009</v>
      </c>
      <c r="N235" s="137">
        <f t="shared" ca="1" si="23"/>
        <v>121.23900000000009</v>
      </c>
      <c r="O235" s="137">
        <f t="shared" ca="1" si="23"/>
        <v>121.23900000000009</v>
      </c>
      <c r="P235" s="137">
        <f t="shared" ca="1" si="23"/>
        <v>121.23900000000009</v>
      </c>
      <c r="Q235" s="137">
        <f t="shared" si="23"/>
        <v>0</v>
      </c>
      <c r="R235" s="137">
        <f t="shared" si="23"/>
        <v>0</v>
      </c>
      <c r="S235" s="137">
        <f t="shared" si="23"/>
        <v>0</v>
      </c>
      <c r="T235" s="137">
        <f t="shared" si="23"/>
        <v>0</v>
      </c>
      <c r="U235" s="137">
        <f t="shared" si="23"/>
        <v>0</v>
      </c>
      <c r="V235" s="137">
        <f t="shared" si="23"/>
        <v>0</v>
      </c>
      <c r="W235" s="137">
        <f t="shared" si="23"/>
        <v>0</v>
      </c>
      <c r="X235" s="137">
        <f t="shared" si="23"/>
        <v>0</v>
      </c>
      <c r="Y235" s="137">
        <f t="shared" si="23"/>
        <v>0</v>
      </c>
      <c r="Z235" s="137">
        <f t="shared" si="23"/>
        <v>0</v>
      </c>
      <c r="AA235" s="137">
        <f t="shared" si="23"/>
        <v>0</v>
      </c>
      <c r="AB235" s="137">
        <f t="shared" si="23"/>
        <v>0</v>
      </c>
      <c r="AC235" s="137">
        <f t="shared" si="23"/>
        <v>0</v>
      </c>
      <c r="AD235" s="137">
        <f t="shared" si="23"/>
        <v>0</v>
      </c>
      <c r="AE235" s="137">
        <f t="shared" si="23"/>
        <v>0</v>
      </c>
      <c r="AF235" s="137">
        <f t="shared" si="23"/>
        <v>0</v>
      </c>
      <c r="AG235" s="146">
        <f t="shared" si="23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2036.5400000000004</v>
      </c>
      <c r="C244" s="162">
        <f>INDEX(G9:N9,1,MATCH(MAX(G91:N91),G91:N91,0))</f>
        <v>0.29166666666666669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26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2080/03/26)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2080/03/26)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4">B91</f>
        <v>2023.64</v>
      </c>
      <c r="U249" s="171">
        <f t="shared" si="24"/>
        <v>2003.2400000000002</v>
      </c>
      <c r="V249" s="171">
        <f t="shared" si="24"/>
        <v>1976.74</v>
      </c>
      <c r="W249" s="171">
        <f t="shared" si="24"/>
        <v>1970.04</v>
      </c>
      <c r="X249" s="171">
        <f t="shared" si="24"/>
        <v>1969.0400000000002</v>
      </c>
      <c r="Y249" s="171">
        <f t="shared" si="24"/>
        <v>1937.0400000000002</v>
      </c>
      <c r="Z249" s="171">
        <f t="shared" si="24"/>
        <v>1983.5400000000002</v>
      </c>
      <c r="AA249" s="171">
        <f t="shared" si="24"/>
        <v>1981.7400000000002</v>
      </c>
      <c r="AB249" s="171">
        <f t="shared" si="24"/>
        <v>2014.1400000000003</v>
      </c>
      <c r="AC249" s="171">
        <f t="shared" si="24"/>
        <v>2036.5400000000004</v>
      </c>
      <c r="AD249" s="171">
        <f t="shared" si="24"/>
        <v>2028.44</v>
      </c>
      <c r="AE249" s="171">
        <f t="shared" si="24"/>
        <v>2003.84</v>
      </c>
      <c r="AF249" s="171">
        <f t="shared" si="24"/>
        <v>1992.84</v>
      </c>
      <c r="AG249" s="171">
        <f t="shared" si="24"/>
        <v>2032.94</v>
      </c>
      <c r="AH249" s="171">
        <f t="shared" si="24"/>
        <v>2012.5300000000002</v>
      </c>
      <c r="AI249" s="171">
        <f t="shared" si="24"/>
        <v>2061.9300000000003</v>
      </c>
      <c r="AJ249" s="171">
        <f t="shared" si="24"/>
        <v>2059.5300000000002</v>
      </c>
      <c r="AK249" s="171">
        <f t="shared" si="24"/>
        <v>2093.04</v>
      </c>
      <c r="AL249" s="171">
        <f t="shared" si="24"/>
        <v>2074.7400000000002</v>
      </c>
      <c r="AM249" s="171">
        <f t="shared" si="24"/>
        <v>2050.08</v>
      </c>
      <c r="AN249" s="171">
        <f t="shared" si="24"/>
        <v>2027.4799999999998</v>
      </c>
      <c r="AO249" s="171">
        <f t="shared" si="24"/>
        <v>2022.08</v>
      </c>
      <c r="AP249" s="171">
        <f t="shared" si="24"/>
        <v>2001.7400000000002</v>
      </c>
      <c r="AQ249" s="171">
        <f t="shared" si="24"/>
        <v>1997.14</v>
      </c>
      <c r="AR249" s="171">
        <f t="shared" si="24"/>
        <v>2000.8400000000001</v>
      </c>
      <c r="AS249" s="171">
        <f t="shared" si="24"/>
        <v>2059.94</v>
      </c>
      <c r="AT249" s="171">
        <f t="shared" si="24"/>
        <v>2129.2400000000002</v>
      </c>
      <c r="AU249" s="171">
        <f t="shared" si="24"/>
        <v>2099.8399999999997</v>
      </c>
      <c r="AV249" s="171">
        <f t="shared" si="24"/>
        <v>2068.64</v>
      </c>
      <c r="AW249" s="171">
        <f t="shared" si="24"/>
        <v>2043.74</v>
      </c>
      <c r="AX249" s="171">
        <f t="shared" si="24"/>
        <v>1994.14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25">C234</f>
        <v>0.64</v>
      </c>
      <c r="C270" s="174">
        <f t="shared" si="25"/>
        <v>0.64</v>
      </c>
      <c r="D270" s="174">
        <f t="shared" si="25"/>
        <v>0.64</v>
      </c>
      <c r="E270" s="174">
        <f t="shared" si="25"/>
        <v>0.64</v>
      </c>
      <c r="F270" s="174">
        <f t="shared" si="25"/>
        <v>0.64</v>
      </c>
      <c r="G270" s="174">
        <f t="shared" si="25"/>
        <v>0.64</v>
      </c>
      <c r="H270" s="174">
        <f t="shared" si="25"/>
        <v>0.64</v>
      </c>
      <c r="I270" s="174">
        <f t="shared" si="25"/>
        <v>0.64</v>
      </c>
      <c r="J270" s="174">
        <f t="shared" si="25"/>
        <v>0.64</v>
      </c>
      <c r="K270" s="174">
        <f t="shared" si="25"/>
        <v>0.64</v>
      </c>
      <c r="L270" s="174">
        <f t="shared" si="25"/>
        <v>0.64</v>
      </c>
      <c r="M270" s="174">
        <f t="shared" si="25"/>
        <v>0.64</v>
      </c>
      <c r="N270" s="174">
        <f t="shared" si="25"/>
        <v>0.64</v>
      </c>
      <c r="O270" s="174">
        <f t="shared" si="25"/>
        <v>0.64</v>
      </c>
      <c r="P270" s="174">
        <f t="shared" si="25"/>
        <v>0</v>
      </c>
      <c r="Q270" s="174">
        <f t="shared" si="25"/>
        <v>0</v>
      </c>
      <c r="R270" s="174">
        <f t="shared" si="25"/>
        <v>0</v>
      </c>
      <c r="S270" s="174">
        <f t="shared" si="25"/>
        <v>0</v>
      </c>
      <c r="T270" s="174">
        <f t="shared" si="25"/>
        <v>0</v>
      </c>
      <c r="U270" s="174">
        <f t="shared" si="25"/>
        <v>0</v>
      </c>
      <c r="V270" s="174">
        <f t="shared" si="25"/>
        <v>0</v>
      </c>
      <c r="W270" s="174">
        <f t="shared" si="25"/>
        <v>0</v>
      </c>
      <c r="X270" s="174">
        <f t="shared" si="25"/>
        <v>0</v>
      </c>
      <c r="Y270" s="174">
        <f t="shared" si="25"/>
        <v>0</v>
      </c>
      <c r="Z270" s="174">
        <f t="shared" si="25"/>
        <v>0</v>
      </c>
      <c r="AA270" s="174">
        <f t="shared" si="25"/>
        <v>0</v>
      </c>
      <c r="AB270" s="174">
        <f t="shared" si="25"/>
        <v>0</v>
      </c>
      <c r="AC270" s="174">
        <f t="shared" si="25"/>
        <v>0</v>
      </c>
      <c r="AD270" s="174">
        <f t="shared" si="25"/>
        <v>0</v>
      </c>
      <c r="AE270" s="174">
        <f t="shared" si="25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26">IF(B238&lt;100,"",B238-520)</f>
        <v/>
      </c>
      <c r="C271" s="175" t="str">
        <f t="shared" si="26"/>
        <v/>
      </c>
      <c r="D271" s="175" t="str">
        <f t="shared" si="26"/>
        <v/>
      </c>
      <c r="E271" s="175" t="str">
        <f t="shared" si="26"/>
        <v/>
      </c>
      <c r="F271" s="175" t="str">
        <f t="shared" si="26"/>
        <v/>
      </c>
      <c r="G271" s="175" t="str">
        <f t="shared" si="26"/>
        <v/>
      </c>
      <c r="H271" s="175" t="str">
        <f t="shared" si="26"/>
        <v/>
      </c>
      <c r="I271" s="175" t="str">
        <f t="shared" si="26"/>
        <v/>
      </c>
      <c r="J271" s="175" t="str">
        <f t="shared" si="26"/>
        <v/>
      </c>
      <c r="K271" s="175" t="str">
        <f t="shared" si="26"/>
        <v/>
      </c>
      <c r="L271" s="175" t="str">
        <f t="shared" si="26"/>
        <v/>
      </c>
      <c r="M271" s="175" t="str">
        <f t="shared" si="26"/>
        <v/>
      </c>
      <c r="N271" s="175" t="str">
        <f t="shared" si="26"/>
        <v/>
      </c>
      <c r="O271" s="175" t="str">
        <f t="shared" si="26"/>
        <v/>
      </c>
      <c r="P271" s="175" t="str">
        <f t="shared" si="26"/>
        <v/>
      </c>
      <c r="Q271" s="175" t="str">
        <f t="shared" si="26"/>
        <v/>
      </c>
      <c r="R271" s="175" t="str">
        <f t="shared" si="26"/>
        <v/>
      </c>
      <c r="S271" s="175" t="str">
        <f t="shared" si="26"/>
        <v/>
      </c>
      <c r="T271" s="175" t="str">
        <f t="shared" si="26"/>
        <v/>
      </c>
      <c r="U271" s="175" t="str">
        <f t="shared" si="26"/>
        <v/>
      </c>
      <c r="V271" s="175" t="str">
        <f t="shared" si="26"/>
        <v/>
      </c>
      <c r="W271" s="175" t="str">
        <f t="shared" si="26"/>
        <v/>
      </c>
      <c r="X271" s="175" t="str">
        <f t="shared" si="26"/>
        <v/>
      </c>
      <c r="Y271" s="175" t="str">
        <f t="shared" si="26"/>
        <v/>
      </c>
      <c r="Z271" s="175" t="str">
        <f t="shared" si="26"/>
        <v/>
      </c>
      <c r="AA271" s="175" t="str">
        <f t="shared" si="26"/>
        <v/>
      </c>
      <c r="AB271" s="175" t="str">
        <f t="shared" si="26"/>
        <v/>
      </c>
      <c r="AC271" s="175" t="str">
        <f t="shared" si="26"/>
        <v/>
      </c>
      <c r="AD271" s="175" t="str">
        <f t="shared" si="26"/>
        <v/>
      </c>
      <c r="AE271" s="175" t="str">
        <f t="shared" si="26"/>
        <v/>
      </c>
      <c r="AF271" s="175" t="str">
        <f t="shared" si="26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27">IF(B239&lt;100,"",B239-620)</f>
        <v/>
      </c>
      <c r="C272" s="175" t="str">
        <f t="shared" si="27"/>
        <v/>
      </c>
      <c r="D272" s="175" t="str">
        <f t="shared" si="27"/>
        <v/>
      </c>
      <c r="E272" s="175" t="str">
        <f t="shared" si="27"/>
        <v/>
      </c>
      <c r="F272" s="175" t="str">
        <f t="shared" si="27"/>
        <v/>
      </c>
      <c r="G272" s="175" t="str">
        <f t="shared" si="27"/>
        <v/>
      </c>
      <c r="H272" s="175" t="str">
        <f t="shared" si="27"/>
        <v/>
      </c>
      <c r="I272" s="175" t="str">
        <f t="shared" si="27"/>
        <v/>
      </c>
      <c r="J272" s="175" t="str">
        <f t="shared" si="27"/>
        <v/>
      </c>
      <c r="K272" s="175" t="str">
        <f t="shared" si="27"/>
        <v/>
      </c>
      <c r="L272" s="175" t="str">
        <f t="shared" si="27"/>
        <v/>
      </c>
      <c r="M272" s="175" t="str">
        <f t="shared" si="27"/>
        <v/>
      </c>
      <c r="N272" s="175" t="str">
        <f t="shared" si="27"/>
        <v/>
      </c>
      <c r="O272" s="175" t="str">
        <f t="shared" si="27"/>
        <v/>
      </c>
      <c r="P272" s="175" t="str">
        <f t="shared" si="27"/>
        <v/>
      </c>
      <c r="Q272" s="175" t="str">
        <f t="shared" si="27"/>
        <v/>
      </c>
      <c r="R272" s="175" t="str">
        <f t="shared" si="27"/>
        <v/>
      </c>
      <c r="S272" s="175" t="str">
        <f t="shared" si="27"/>
        <v/>
      </c>
      <c r="T272" s="175" t="str">
        <f t="shared" si="27"/>
        <v/>
      </c>
      <c r="U272" s="175" t="str">
        <f t="shared" si="27"/>
        <v/>
      </c>
      <c r="V272" s="175" t="str">
        <f t="shared" si="27"/>
        <v/>
      </c>
      <c r="W272" s="175" t="str">
        <f t="shared" si="27"/>
        <v/>
      </c>
      <c r="X272" s="175" t="str">
        <f t="shared" si="27"/>
        <v/>
      </c>
      <c r="Y272" s="175" t="str">
        <f t="shared" si="27"/>
        <v/>
      </c>
      <c r="Z272" s="175" t="str">
        <f t="shared" si="27"/>
        <v/>
      </c>
      <c r="AA272" s="175" t="str">
        <f t="shared" si="27"/>
        <v/>
      </c>
      <c r="AB272" s="175" t="str">
        <f t="shared" si="27"/>
        <v/>
      </c>
      <c r="AC272" s="175" t="str">
        <f t="shared" si="27"/>
        <v/>
      </c>
      <c r="AD272" s="175" t="str">
        <f t="shared" si="27"/>
        <v/>
      </c>
      <c r="AE272" s="175" t="str">
        <f t="shared" si="27"/>
        <v/>
      </c>
      <c r="AF272" s="175" t="str">
        <f t="shared" si="27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28">IF(B240&lt;100,"",B240-330)</f>
        <v/>
      </c>
      <c r="C273" s="175" t="str">
        <f t="shared" si="28"/>
        <v/>
      </c>
      <c r="D273" s="175" t="str">
        <f t="shared" si="28"/>
        <v/>
      </c>
      <c r="E273" s="175" t="str">
        <f t="shared" si="28"/>
        <v/>
      </c>
      <c r="F273" s="175" t="str">
        <f t="shared" si="28"/>
        <v/>
      </c>
      <c r="G273" s="175" t="str">
        <f t="shared" si="28"/>
        <v/>
      </c>
      <c r="H273" s="175" t="str">
        <f t="shared" si="28"/>
        <v/>
      </c>
      <c r="I273" s="175" t="str">
        <f t="shared" si="28"/>
        <v/>
      </c>
      <c r="J273" s="175" t="str">
        <f t="shared" si="28"/>
        <v/>
      </c>
      <c r="K273" s="175" t="str">
        <f t="shared" si="28"/>
        <v/>
      </c>
      <c r="L273" s="175" t="str">
        <f t="shared" si="28"/>
        <v/>
      </c>
      <c r="M273" s="175" t="str">
        <f t="shared" si="28"/>
        <v/>
      </c>
      <c r="N273" s="175" t="str">
        <f t="shared" si="28"/>
        <v/>
      </c>
      <c r="O273" s="175" t="str">
        <f t="shared" si="28"/>
        <v/>
      </c>
      <c r="P273" s="175" t="str">
        <f t="shared" si="28"/>
        <v/>
      </c>
      <c r="Q273" s="175" t="str">
        <f t="shared" si="28"/>
        <v/>
      </c>
      <c r="R273" s="175" t="str">
        <f t="shared" si="28"/>
        <v/>
      </c>
      <c r="S273" s="175" t="str">
        <f t="shared" si="28"/>
        <v/>
      </c>
      <c r="T273" s="175" t="str">
        <f t="shared" si="28"/>
        <v/>
      </c>
      <c r="U273" s="175" t="str">
        <f t="shared" si="28"/>
        <v/>
      </c>
      <c r="V273" s="175" t="str">
        <f t="shared" si="28"/>
        <v/>
      </c>
      <c r="W273" s="175" t="str">
        <f t="shared" si="28"/>
        <v/>
      </c>
      <c r="X273" s="175" t="str">
        <f t="shared" si="28"/>
        <v/>
      </c>
      <c r="Y273" s="175" t="str">
        <f t="shared" si="28"/>
        <v/>
      </c>
      <c r="Z273" s="175" t="str">
        <f t="shared" si="28"/>
        <v/>
      </c>
      <c r="AA273" s="175" t="str">
        <f t="shared" si="28"/>
        <v/>
      </c>
      <c r="AB273" s="175" t="str">
        <f t="shared" si="28"/>
        <v/>
      </c>
      <c r="AC273" s="175" t="str">
        <f t="shared" si="28"/>
        <v/>
      </c>
      <c r="AD273" s="175" t="str">
        <f t="shared" si="28"/>
        <v/>
      </c>
      <c r="AE273" s="175" t="str">
        <f t="shared" si="28"/>
        <v/>
      </c>
      <c r="AF273" s="175" t="str">
        <f t="shared" si="28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29">IF(B241&lt;100,"",B241-1500)</f>
        <v/>
      </c>
      <c r="C274" s="175" t="str">
        <f t="shared" si="29"/>
        <v/>
      </c>
      <c r="D274" s="175" t="str">
        <f t="shared" si="29"/>
        <v/>
      </c>
      <c r="E274" s="175" t="str">
        <f t="shared" si="29"/>
        <v/>
      </c>
      <c r="F274" s="175" t="str">
        <f t="shared" si="29"/>
        <v/>
      </c>
      <c r="G274" s="175" t="str">
        <f t="shared" si="29"/>
        <v/>
      </c>
      <c r="H274" s="175" t="str">
        <f t="shared" si="29"/>
        <v/>
      </c>
      <c r="I274" s="175" t="str">
        <f t="shared" si="29"/>
        <v/>
      </c>
      <c r="J274" s="175" t="str">
        <f t="shared" si="29"/>
        <v/>
      </c>
      <c r="K274" s="175" t="str">
        <f t="shared" si="29"/>
        <v/>
      </c>
      <c r="L274" s="175" t="str">
        <f t="shared" si="29"/>
        <v/>
      </c>
      <c r="M274" s="175" t="str">
        <f t="shared" si="29"/>
        <v/>
      </c>
      <c r="N274" s="175" t="str">
        <f t="shared" si="29"/>
        <v/>
      </c>
      <c r="O274" s="175" t="str">
        <f t="shared" si="29"/>
        <v/>
      </c>
      <c r="P274" s="175" t="str">
        <f t="shared" si="29"/>
        <v/>
      </c>
      <c r="Q274" s="175" t="str">
        <f t="shared" si="29"/>
        <v/>
      </c>
      <c r="R274" s="175" t="str">
        <f t="shared" si="29"/>
        <v/>
      </c>
      <c r="S274" s="175" t="str">
        <f t="shared" si="29"/>
        <v/>
      </c>
      <c r="T274" s="175" t="str">
        <f t="shared" si="29"/>
        <v/>
      </c>
      <c r="U274" s="175" t="str">
        <f t="shared" si="29"/>
        <v/>
      </c>
      <c r="V274" s="175" t="str">
        <f t="shared" si="29"/>
        <v/>
      </c>
      <c r="W274" s="175" t="str">
        <f t="shared" si="29"/>
        <v/>
      </c>
      <c r="X274" s="175" t="str">
        <f t="shared" si="29"/>
        <v/>
      </c>
      <c r="Y274" s="175" t="str">
        <f t="shared" si="29"/>
        <v/>
      </c>
      <c r="Z274" s="175" t="str">
        <f t="shared" si="29"/>
        <v/>
      </c>
      <c r="AA274" s="175" t="str">
        <f t="shared" si="29"/>
        <v/>
      </c>
      <c r="AB274" s="175" t="str">
        <f t="shared" si="29"/>
        <v/>
      </c>
      <c r="AC274" s="175" t="str">
        <f t="shared" si="29"/>
        <v/>
      </c>
      <c r="AD274" s="175" t="str">
        <f t="shared" si="29"/>
        <v/>
      </c>
      <c r="AE274" s="175" t="str">
        <f t="shared" si="29"/>
        <v/>
      </c>
      <c r="AF274" s="175" t="str">
        <f t="shared" si="29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B12:AF12 B14:AF17">
    <cfRule type="expression" dxfId="6247" priority="401">
      <formula>B$9&gt;=20/24</formula>
    </cfRule>
    <cfRule type="expression" dxfId="6246" priority="402">
      <formula>AND(B$9&gt;=14/24,B$9&lt;20/24)</formula>
    </cfRule>
    <cfRule type="expression" dxfId="6245" priority="403">
      <formula>AND(B$9&gt;=8/24,B$9&lt;14/24)</formula>
    </cfRule>
    <cfRule type="expression" dxfId="6244" priority="404">
      <formula>B$9&lt;8/24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G67 B12:AF12 B14:AF17">
    <cfRule type="expression" dxfId="6243" priority="399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6242" priority="398">
      <formula>$AH12=0</formula>
    </cfRule>
  </conditionalFormatting>
  <conditionalFormatting sqref="A116">
    <cfRule type="expression" dxfId="6241" priority="397">
      <formula>$AH116=0</formula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6240" priority="395">
      <formula>$AH47=0</formula>
    </cfRule>
  </conditionalFormatting>
  <conditionalFormatting sqref="A100">
    <cfRule type="expression" dxfId="6239" priority="394">
      <formula>$AH100=0</formula>
    </cfRule>
  </conditionalFormatting>
  <conditionalFormatting sqref="A20">
    <cfRule type="expression" dxfId="6238" priority="393">
      <formula>$AH20=0</formula>
    </cfRule>
  </conditionalFormatting>
  <conditionalFormatting sqref="A199:A204">
    <cfRule type="expression" dxfId="6237" priority="392">
      <formula>$AH199=0</formula>
    </cfRule>
  </conditionalFormatting>
  <conditionalFormatting sqref="A193:A198">
    <cfRule type="expression" dxfId="6236" priority="391">
      <formula>$AH193=0</formula>
    </cfRule>
  </conditionalFormatting>
  <conditionalFormatting sqref="A60">
    <cfRule type="expression" dxfId="6235" priority="390">
      <formula>$AH60=0</formula>
    </cfRule>
  </conditionalFormatting>
  <conditionalFormatting sqref="A96">
    <cfRule type="expression" dxfId="6234" priority="389">
      <formula>$AH96=0</formula>
    </cfRule>
  </conditionalFormatting>
  <conditionalFormatting sqref="E101:Y101 AD101:AF101">
    <cfRule type="expression" dxfId="6233" priority="385">
      <formula>E$9&gt;=20/24</formula>
    </cfRule>
    <cfRule type="expression" dxfId="6232" priority="386">
      <formula>AND(E$9&gt;=14/24,E$9&lt;20/24)</formula>
    </cfRule>
    <cfRule type="expression" dxfId="6231" priority="387">
      <formula>AND(E$9&gt;=8/24,E$9&lt;14/24)</formula>
    </cfRule>
    <cfRule type="expression" dxfId="6230" priority="388">
      <formula>E$9&lt;8/24</formula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229" priority="407">
      <formula>C$9&gt;=20/24</formula>
    </cfRule>
    <cfRule type="expression" dxfId="6228" priority="408">
      <formula>AND(C$9&gt;=14/24,C$9&lt;20/24)</formula>
    </cfRule>
    <cfRule type="expression" dxfId="6227" priority="409">
      <formula>AND(C$9&gt;=8/24,C$9&lt;14/24)</formula>
    </cfRule>
    <cfRule type="expression" dxfId="6226" priority="410">
      <formula>C$9&lt;8/24</formula>
    </cfRule>
  </conditionalFormatting>
  <conditionalFormatting sqref="A236">
    <cfRule type="expression" dxfId="6225" priority="411">
      <formula>$AH236=0</formula>
    </cfRule>
  </conditionalFormatting>
  <conditionalFormatting sqref="AG248">
    <cfRule type="expression" dxfId="6224" priority="412">
      <formula>B$9&gt;=20/24</formula>
    </cfRule>
    <cfRule type="expression" dxfId="6223" priority="413">
      <formula>AND(B$9&gt;=14/24,B$9&lt;20/24)</formula>
    </cfRule>
    <cfRule type="expression" dxfId="6222" priority="414">
      <formula>AND(B$9&gt;=8/24,B$9&lt;14/24)</formula>
    </cfRule>
    <cfRule type="expression" dxfId="6221" priority="415">
      <formula>B$9&lt;8/24</formula>
    </cfRule>
  </conditionalFormatting>
  <conditionalFormatting sqref="S8">
    <cfRule type="expression" dxfId="6220" priority="380">
      <formula>U$9&gt;=20/24</formula>
    </cfRule>
    <cfRule type="expression" dxfId="6219" priority="381">
      <formula>AND(U$9&gt;=14/24,U$9&lt;20/24)</formula>
    </cfRule>
    <cfRule type="expression" dxfId="6218" priority="382">
      <formula>AND(U$9&gt;=8/24,U$9&lt;14/24)</formula>
    </cfRule>
    <cfRule type="expression" dxfId="6217" priority="383">
      <formula>U$9&lt;8/24</formula>
    </cfRule>
  </conditionalFormatting>
  <conditionalFormatting sqref="AB8">
    <cfRule type="expression" dxfId="6216" priority="376">
      <formula>AD$9&gt;=20/24</formula>
    </cfRule>
    <cfRule type="expression" dxfId="6215" priority="377">
      <formula>AND(AD$9&gt;=14/24,AD$9&lt;20/24)</formula>
    </cfRule>
    <cfRule type="expression" dxfId="6214" priority="378">
      <formula>AND(AD$9&gt;=8/24,AD$9&lt;14/24)</formula>
    </cfRule>
    <cfRule type="expression" dxfId="6213" priority="379">
      <formula>AD$9&lt;8/24</formula>
    </cfRule>
  </conditionalFormatting>
  <conditionalFormatting sqref="AH248:AX248">
    <cfRule type="expression" dxfId="6212" priority="416">
      <formula>AG$9&gt;=20/24</formula>
    </cfRule>
    <cfRule type="expression" dxfId="6211" priority="417">
      <formula>AND(AG$9&gt;=14/24,AG$9&lt;20/24)</formula>
    </cfRule>
    <cfRule type="expression" dxfId="6210" priority="418">
      <formula>AND(AG$9&gt;=8/24,AG$9&lt;14/24)</formula>
    </cfRule>
    <cfRule type="expression" dxfId="6209" priority="419">
      <formula>AG$9&lt;8/24</formula>
    </cfRule>
  </conditionalFormatting>
  <conditionalFormatting sqref="T248">
    <cfRule type="expression" dxfId="6208" priority="420">
      <formula>AX$9&gt;=20/24</formula>
    </cfRule>
    <cfRule type="expression" dxfId="6207" priority="421">
      <formula>AND(AX$9&gt;=14/24,AX$9&lt;20/24)</formula>
    </cfRule>
    <cfRule type="expression" dxfId="6206" priority="422">
      <formula>AND(AX$9&gt;=8/24,AX$9&lt;14/24)</formula>
    </cfRule>
    <cfRule type="expression" dxfId="6205" priority="423">
      <formula>AX$9&lt;8/24</formula>
    </cfRule>
  </conditionalFormatting>
  <conditionalFormatting sqref="A117:A119">
    <cfRule type="expression" dxfId="6204" priority="375">
      <formula>$AH117=0</formula>
    </cfRule>
  </conditionalFormatting>
  <conditionalFormatting sqref="AF73 E73:AD73">
    <cfRule type="expression" dxfId="6203" priority="371">
      <formula>E$9&gt;=20/24</formula>
    </cfRule>
    <cfRule type="expression" dxfId="6202" priority="372">
      <formula>AND(E$9&gt;=14/24,E$9&lt;20/24)</formula>
    </cfRule>
    <cfRule type="expression" dxfId="6201" priority="373">
      <formula>AND(E$9&gt;=8/24,E$9&lt;14/24)</formula>
    </cfRule>
    <cfRule type="expression" dxfId="6200" priority="374">
      <formula>E$9&lt;8/24</formula>
    </cfRule>
  </conditionalFormatting>
  <conditionalFormatting sqref="D88:AF88 X98:AF98 AF102:AF108 X49:AF49 AF74:AF75 M102:Y108 E74:AD75 AA69:AF71">
    <cfRule type="expression" dxfId="6199" priority="362">
      <formula>D$9&gt;=20/24</formula>
    </cfRule>
    <cfRule type="expression" dxfId="6198" priority="363">
      <formula>AND(D$9&gt;=14/24,D$9&lt;20/24)</formula>
    </cfRule>
    <cfRule type="expression" dxfId="6197" priority="364">
      <formula>AND(D$9&gt;=8/24,D$9&lt;14/24)</formula>
    </cfRule>
    <cfRule type="expression" dxfId="6196" priority="365">
      <formula>D$9&lt;8/24</formula>
    </cfRule>
  </conditionalFormatting>
  <conditionalFormatting sqref="X49:AF49 AA69:AF71">
    <cfRule type="expression" dxfId="6195" priority="361">
      <formula>X49&gt;$AG49</formula>
    </cfRule>
  </conditionalFormatting>
  <conditionalFormatting sqref="S55:AF60">
    <cfRule type="expression" dxfId="6194" priority="357">
      <formula>S$9&gt;=20/24</formula>
    </cfRule>
    <cfRule type="expression" dxfId="6193" priority="358">
      <formula>AND(S$9&gt;=14/24,S$9&lt;20/24)</formula>
    </cfRule>
    <cfRule type="expression" dxfId="6192" priority="359">
      <formula>AND(S$9&gt;=8/24,S$9&lt;14/24)</formula>
    </cfRule>
    <cfRule type="expression" dxfId="6191" priority="360">
      <formula>S$9&lt;8/24</formula>
    </cfRule>
  </conditionalFormatting>
  <conditionalFormatting sqref="S55:AF60">
    <cfRule type="expression" dxfId="6190" priority="356">
      <formula>S55&gt;$AG55</formula>
    </cfRule>
  </conditionalFormatting>
  <conditionalFormatting sqref="C99:AF99 D90:AF90">
    <cfRule type="expression" dxfId="6189" priority="352">
      <formula>C$9&gt;=20/24</formula>
    </cfRule>
    <cfRule type="expression" dxfId="6188" priority="353">
      <formula>AND(C$9&gt;=14/24,C$9&lt;20/24)</formula>
    </cfRule>
    <cfRule type="expression" dxfId="6187" priority="354">
      <formula>AND(C$9&gt;=8/24,C$9&lt;14/24)</formula>
    </cfRule>
    <cfRule type="expression" dxfId="6186" priority="355">
      <formula>C$9&lt;8/24</formula>
    </cfRule>
  </conditionalFormatting>
  <conditionalFormatting sqref="T49:W49">
    <cfRule type="expression" dxfId="6185" priority="348">
      <formula>T$9&gt;=20/24</formula>
    </cfRule>
    <cfRule type="expression" dxfId="6184" priority="349">
      <formula>AND(T$9&gt;=14/24,T$9&lt;20/24)</formula>
    </cfRule>
    <cfRule type="expression" dxfId="6183" priority="350">
      <formula>AND(T$9&gt;=8/24,T$9&lt;14/24)</formula>
    </cfRule>
    <cfRule type="expression" dxfId="6182" priority="351">
      <formula>T$9&lt;8/24</formula>
    </cfRule>
  </conditionalFormatting>
  <conditionalFormatting sqref="T49:W49">
    <cfRule type="expression" dxfId="6181" priority="347">
      <formula>T49&gt;$AG49</formula>
    </cfRule>
  </conditionalFormatting>
  <conditionalFormatting sqref="E56:R57">
    <cfRule type="expression" dxfId="6180" priority="343">
      <formula>E$9&gt;=20/24</formula>
    </cfRule>
    <cfRule type="expression" dxfId="6179" priority="344">
      <formula>AND(E$9&gt;=14/24,E$9&lt;20/24)</formula>
    </cfRule>
    <cfRule type="expression" dxfId="6178" priority="345">
      <formula>AND(E$9&gt;=8/24,E$9&lt;14/24)</formula>
    </cfRule>
    <cfRule type="expression" dxfId="6177" priority="346">
      <formula>E$9&lt;8/24</formula>
    </cfRule>
  </conditionalFormatting>
  <conditionalFormatting sqref="E55:R55">
    <cfRule type="expression" dxfId="6176" priority="339">
      <formula>E$9&gt;=20/24</formula>
    </cfRule>
    <cfRule type="expression" dxfId="6175" priority="340">
      <formula>AND(E$9&gt;=14/24,E$9&lt;20/24)</formula>
    </cfRule>
    <cfRule type="expression" dxfId="6174" priority="341">
      <formula>AND(E$9&gt;=8/24,E$9&lt;14/24)</formula>
    </cfRule>
    <cfRule type="expression" dxfId="6173" priority="342">
      <formula>E$9&lt;8/24</formula>
    </cfRule>
  </conditionalFormatting>
  <conditionalFormatting sqref="E55:R57">
    <cfRule type="expression" dxfId="6172" priority="338">
      <formula>E55&gt;$AG55</formula>
    </cfRule>
  </conditionalFormatting>
  <conditionalFormatting sqref="AG72 AG89 E102:L108">
    <cfRule type="expression" dxfId="6171" priority="334">
      <formula>E$9&gt;=20/24</formula>
    </cfRule>
    <cfRule type="expression" dxfId="6170" priority="335">
      <formula>AND(E$9&gt;=14/24,E$9&lt;20/24)</formula>
    </cfRule>
    <cfRule type="expression" dxfId="6169" priority="336">
      <formula>AND(E$9&gt;=8/24,E$9&lt;14/24)</formula>
    </cfRule>
    <cfRule type="expression" dxfId="6168" priority="337">
      <formula>E$9&lt;8/24</formula>
    </cfRule>
  </conditionalFormatting>
  <conditionalFormatting sqref="AG50 AG68 AG72">
    <cfRule type="expression" dxfId="6167" priority="333">
      <formula>AG50&gt;$AG50</formula>
    </cfRule>
  </conditionalFormatting>
  <conditionalFormatting sqref="A45">
    <cfRule type="expression" dxfId="6166" priority="327">
      <formula>$AH45=0</formula>
    </cfRule>
  </conditionalFormatting>
  <conditionalFormatting sqref="X93:AF97">
    <cfRule type="expression" dxfId="6165" priority="323">
      <formula>X$9&gt;=20/24</formula>
    </cfRule>
    <cfRule type="expression" dxfId="6164" priority="324">
      <formula>AND(X$9&gt;=14/24,X$9&lt;20/24)</formula>
    </cfRule>
    <cfRule type="expression" dxfId="6163" priority="325">
      <formula>AND(X$9&gt;=8/24,X$9&lt;14/24)</formula>
    </cfRule>
    <cfRule type="expression" dxfId="6162" priority="326">
      <formula>X$9&lt;8/24</formula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T51:AF53">
    <cfRule type="expression" dxfId="6161" priority="319">
      <formula>T$9&gt;=20/24</formula>
    </cfRule>
    <cfRule type="expression" dxfId="6160" priority="320">
      <formula>AND(T$9&gt;=14/24,T$9&lt;20/24)</formula>
    </cfRule>
    <cfRule type="expression" dxfId="6159" priority="321">
      <formula>AND(T$9&gt;=8/24,T$9&lt;14/24)</formula>
    </cfRule>
    <cfRule type="expression" dxfId="6158" priority="322">
      <formula>T$9&lt;8/24</formula>
    </cfRule>
  </conditionalFormatting>
  <conditionalFormatting sqref="T51:AF53">
    <cfRule type="expression" dxfId="6157" priority="318">
      <formula>T51&gt;$AG51</formula>
    </cfRule>
  </conditionalFormatting>
  <conditionalFormatting sqref="AG54">
    <cfRule type="expression" dxfId="6156" priority="314">
      <formula>AG$9&gt;=20/24</formula>
    </cfRule>
    <cfRule type="expression" dxfId="6155" priority="315">
      <formula>AND(AG$9&gt;=14/24,AG$9&lt;20/24)</formula>
    </cfRule>
    <cfRule type="expression" dxfId="6154" priority="316">
      <formula>AND(AG$9&gt;=8/24,AG$9&lt;14/24)</formula>
    </cfRule>
    <cfRule type="expression" dxfId="6153" priority="317">
      <formula>AG$9&lt;8/24</formula>
    </cfRule>
  </conditionalFormatting>
  <conditionalFormatting sqref="AG54">
    <cfRule type="expression" dxfId="6152" priority="313">
      <formula>AG54&gt;$AG54</formula>
    </cfRule>
  </conditionalFormatting>
  <conditionalFormatting sqref="C109:AF109">
    <cfRule type="expression" dxfId="6151" priority="309">
      <formula>C$9&gt;=20/24</formula>
    </cfRule>
    <cfRule type="expression" dxfId="6150" priority="310">
      <formula>AND(C$9&gt;=14/24,C$9&lt;20/24)</formula>
    </cfRule>
    <cfRule type="expression" dxfId="6149" priority="311">
      <formula>AND(C$9&gt;=8/24,C$9&lt;14/24)</formula>
    </cfRule>
    <cfRule type="expression" dxfId="6148" priority="312">
      <formula>C$9&lt;8/24</formula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6147" priority="307">
      <formula>$AH42=0</formula>
    </cfRule>
  </conditionalFormatting>
  <conditionalFormatting sqref="A92">
    <cfRule type="expression" dxfId="6146" priority="305">
      <formula>$AH92=0</formula>
    </cfRule>
  </conditionalFormatting>
  <conditionalFormatting sqref="A89">
    <cfRule type="expression" dxfId="6145" priority="306">
      <formula>$AH89=0</formula>
    </cfRule>
  </conditionalFormatting>
  <conditionalFormatting sqref="D112:AF112">
    <cfRule type="expression" dxfId="6144" priority="301">
      <formula>D$9&gt;=20/24</formula>
    </cfRule>
    <cfRule type="expression" dxfId="6143" priority="302">
      <formula>AND(D$9&gt;=14/24,D$9&lt;20/24)</formula>
    </cfRule>
    <cfRule type="expression" dxfId="6142" priority="303">
      <formula>AND(D$9&gt;=8/24,D$9&lt;14/24)</formula>
    </cfRule>
    <cfRule type="expression" dxfId="6141" priority="304">
      <formula>D$9&lt;8/24</formula>
    </cfRule>
  </conditionalFormatting>
  <conditionalFormatting sqref="A112">
    <cfRule type="expression" dxfId="6140" priority="300">
      <formula>$AH112=0</formula>
    </cfRule>
  </conditionalFormatting>
  <conditionalFormatting sqref="A23">
    <cfRule type="expression" dxfId="6139" priority="298">
      <formula>$AH23=0</formula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6138" priority="296">
      <formula>$AH39=0</formula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6137" priority="292">
      <formula>Z$9&gt;=20/24</formula>
    </cfRule>
    <cfRule type="expression" dxfId="6136" priority="293">
      <formula>AND(Z$9&gt;=14/24,Z$9&lt;20/24)</formula>
    </cfRule>
    <cfRule type="expression" dxfId="6135" priority="294">
      <formula>AND(Z$9&gt;=8/24,Z$9&lt;14/24)</formula>
    </cfRule>
    <cfRule type="expression" dxfId="6134" priority="295">
      <formula>Z$9&lt;8/24</formula>
    </cfRule>
  </conditionalFormatting>
  <conditionalFormatting sqref="Z102:AE108">
    <cfRule type="expression" dxfId="6133" priority="288">
      <formula>Z$9&gt;=20/24</formula>
    </cfRule>
    <cfRule type="expression" dxfId="6132" priority="289">
      <formula>AND(Z$9&gt;=14/24,Z$9&lt;20/24)</formula>
    </cfRule>
    <cfRule type="expression" dxfId="6131" priority="290">
      <formula>AND(Z$9&gt;=8/24,Z$9&lt;14/24)</formula>
    </cfRule>
    <cfRule type="expression" dxfId="6130" priority="291">
      <formula>Z$9&lt;8/24</formula>
    </cfRule>
  </conditionalFormatting>
  <conditionalFormatting sqref="C111 C113:C119 AA19:AF28 AA36:AF45 AA32:AF34 AA30:AF30">
    <cfRule type="expression" dxfId="6129" priority="284">
      <formula>C$9&gt;=20/24</formula>
    </cfRule>
    <cfRule type="expression" dxfId="6128" priority="285">
      <formula>AND(C$9&gt;=14/24,C$9&lt;20/24)</formula>
    </cfRule>
    <cfRule type="expression" dxfId="6127" priority="286">
      <formula>AND(C$9&gt;=8/24,C$9&lt;14/24)</formula>
    </cfRule>
    <cfRule type="expression" dxfId="6126" priority="287">
      <formula>C$9&lt;8/24</formula>
    </cfRule>
  </conditionalFormatting>
  <conditionalFormatting sqref="E49:S49">
    <cfRule type="expression" dxfId="6125" priority="280">
      <formula>E$9&gt;=20/24</formula>
    </cfRule>
    <cfRule type="expression" dxfId="6124" priority="281">
      <formula>AND(E$9&gt;=14/24,E$9&lt;20/24)</formula>
    </cfRule>
    <cfRule type="expression" dxfId="6123" priority="282">
      <formula>AND(E$9&gt;=8/24,E$9&lt;14/24)</formula>
    </cfRule>
    <cfRule type="expression" dxfId="6122" priority="283">
      <formula>E$9&lt;8/24</formula>
    </cfRule>
  </conditionalFormatting>
  <conditionalFormatting sqref="E49:S49 AA19:AF28 AA36:AF45 AA32:AF34 AA30:AF30">
    <cfRule type="expression" dxfId="6121" priority="279">
      <formula>E19&gt;$AG19</formula>
    </cfRule>
  </conditionalFormatting>
  <conditionalFormatting sqref="C101:D101">
    <cfRule type="expression" dxfId="6120" priority="275">
      <formula>C$9&gt;=20/24</formula>
    </cfRule>
    <cfRule type="expression" dxfId="6119" priority="276">
      <formula>AND(C$9&gt;=14/24,C$9&lt;20/24)</formula>
    </cfRule>
    <cfRule type="expression" dxfId="6118" priority="277">
      <formula>AND(C$9&gt;=8/24,C$9&lt;14/24)</formula>
    </cfRule>
    <cfRule type="expression" dxfId="6117" priority="278">
      <formula>C$9&lt;8/24</formula>
    </cfRule>
  </conditionalFormatting>
  <conditionalFormatting sqref="C88 C98:W98 C85:AF87 D102:D108 E76:M76 E77:L78 M77:M83 T77:V78 S76:V76 N76:R83 S77:S83 E69:Z71 W76:AF78">
    <cfRule type="expression" dxfId="6116" priority="271">
      <formula>C$9&gt;=20/24</formula>
    </cfRule>
    <cfRule type="expression" dxfId="6115" priority="272">
      <formula>AND(C$9&gt;=14/24,C$9&lt;20/24)</formula>
    </cfRule>
    <cfRule type="expression" dxfId="6114" priority="273">
      <formula>AND(C$9&gt;=8/24,C$9&lt;14/24)</formula>
    </cfRule>
    <cfRule type="expression" dxfId="6113" priority="274">
      <formula>C$9&lt;8/24</formula>
    </cfRule>
  </conditionalFormatting>
  <conditionalFormatting sqref="E58:R59 E69:Z71">
    <cfRule type="expression" dxfId="6112" priority="270">
      <formula>E58&gt;$AG58</formula>
    </cfRule>
  </conditionalFormatting>
  <conditionalFormatting sqref="C73:D73">
    <cfRule type="expression" dxfId="6111" priority="216">
      <formula>C$9&gt;=20/24</formula>
    </cfRule>
    <cfRule type="expression" dxfId="6110" priority="217">
      <formula>AND(C$9&gt;=14/24,C$9&lt;20/24)</formula>
    </cfRule>
    <cfRule type="expression" dxfId="6109" priority="218">
      <formula>AND(C$9&gt;=8/24,C$9&lt;14/24)</formula>
    </cfRule>
    <cfRule type="expression" dxfId="6108" priority="219">
      <formula>C$9&lt;8/24</formula>
    </cfRule>
  </conditionalFormatting>
  <conditionalFormatting sqref="C89:AF89 C91:AF91 C100:AF100 C72:AF72">
    <cfRule type="expression" dxfId="6107" priority="266">
      <formula>C$9&gt;=20/24</formula>
    </cfRule>
    <cfRule type="expression" dxfId="6106" priority="267">
      <formula>AND(C$9&gt;=14/24,C$9&lt;20/24)</formula>
    </cfRule>
    <cfRule type="expression" dxfId="6105" priority="268">
      <formula>AND(C$9&gt;=8/24,C$9&lt;14/24)</formula>
    </cfRule>
    <cfRule type="expression" dxfId="6104" priority="269">
      <formula>C$9&lt;8/24</formula>
    </cfRule>
  </conditionalFormatting>
  <conditionalFormatting sqref="D67:AF68 C72:AF72">
    <cfRule type="expression" dxfId="6103" priority="265">
      <formula>C67&gt;$AG67</formula>
    </cfRule>
  </conditionalFormatting>
  <conditionalFormatting sqref="C84:AF84">
    <cfRule type="expression" dxfId="6102" priority="261">
      <formula>C$9&gt;=20/24</formula>
    </cfRule>
    <cfRule type="expression" dxfId="6101" priority="262">
      <formula>AND(C$9&gt;=14/24,C$9&lt;20/24)</formula>
    </cfRule>
    <cfRule type="expression" dxfId="6100" priority="263">
      <formula>AND(C$9&gt;=8/24,C$9&lt;14/24)</formula>
    </cfRule>
    <cfRule type="expression" dxfId="6099" priority="264">
      <formula>C$9&lt;8/24</formula>
    </cfRule>
  </conditionalFormatting>
  <conditionalFormatting sqref="C93:W97">
    <cfRule type="expression" dxfId="6098" priority="257">
      <formula>C$9&gt;=20/24</formula>
    </cfRule>
    <cfRule type="expression" dxfId="6097" priority="258">
      <formula>AND(C$9&gt;=14/24,C$9&lt;20/24)</formula>
    </cfRule>
    <cfRule type="expression" dxfId="6096" priority="259">
      <formula>AND(C$9&gt;=8/24,C$9&lt;14/24)</formula>
    </cfRule>
    <cfRule type="expression" dxfId="6095" priority="260">
      <formula>C$9&lt;8/24</formula>
    </cfRule>
  </conditionalFormatting>
  <conditionalFormatting sqref="D54:AF54">
    <cfRule type="expression" dxfId="6094" priority="253">
      <formula>D$9&gt;=20/24</formula>
    </cfRule>
    <cfRule type="expression" dxfId="6093" priority="254">
      <formula>AND(D$9&gt;=14/24,D$9&lt;20/24)</formula>
    </cfRule>
    <cfRule type="expression" dxfId="6092" priority="255">
      <formula>AND(D$9&gt;=8/24,D$9&lt;14/24)</formula>
    </cfRule>
    <cfRule type="expression" dxfId="6091" priority="256">
      <formula>D$9&lt;8/24</formula>
    </cfRule>
  </conditionalFormatting>
  <conditionalFormatting sqref="D54:AF54">
    <cfRule type="expression" dxfId="6090" priority="252">
      <formula>D54&gt;$AG54</formula>
    </cfRule>
  </conditionalFormatting>
  <conditionalFormatting sqref="C112">
    <cfRule type="expression" dxfId="6089" priority="248">
      <formula>C$9&gt;=20/24</formula>
    </cfRule>
    <cfRule type="expression" dxfId="6088" priority="249">
      <formula>AND(C$9&gt;=14/24,C$9&lt;20/24)</formula>
    </cfRule>
    <cfRule type="expression" dxfId="6087" priority="250">
      <formula>AND(C$9&gt;=8/24,C$9&lt;14/24)</formula>
    </cfRule>
    <cfRule type="expression" dxfId="6086" priority="251">
      <formula>C$9&lt;8/24</formula>
    </cfRule>
  </conditionalFormatting>
  <conditionalFormatting sqref="AA61:AF66">
    <cfRule type="expression" dxfId="6085" priority="244">
      <formula>AA$9&gt;=20/24</formula>
    </cfRule>
    <cfRule type="expression" dxfId="6084" priority="245">
      <formula>AND(AA$9&gt;=14/24,AA$9&lt;20/24)</formula>
    </cfRule>
    <cfRule type="expression" dxfId="6083" priority="246">
      <formula>AND(AA$9&gt;=8/24,AA$9&lt;14/24)</formula>
    </cfRule>
    <cfRule type="expression" dxfId="6082" priority="247">
      <formula>AA$9&lt;8/24</formula>
    </cfRule>
  </conditionalFormatting>
  <conditionalFormatting sqref="AA61:AF66">
    <cfRule type="expression" dxfId="6081" priority="243">
      <formula>AA61&gt;$AG61</formula>
    </cfRule>
  </conditionalFormatting>
  <conditionalFormatting sqref="AA47:AF47">
    <cfRule type="expression" dxfId="6080" priority="242">
      <formula>AA47&gt;$AG47</formula>
    </cfRule>
  </conditionalFormatting>
  <conditionalFormatting sqref="U13:AF13">
    <cfRule type="expression" dxfId="6079" priority="238">
      <formula>U$9&gt;=20/24</formula>
    </cfRule>
    <cfRule type="expression" dxfId="6078" priority="239">
      <formula>AND(U$9&gt;=14/24,U$9&lt;20/24)</formula>
    </cfRule>
    <cfRule type="expression" dxfId="6077" priority="240">
      <formula>AND(U$9&gt;=8/24,U$9&lt;14/24)</formula>
    </cfRule>
    <cfRule type="expression" dxfId="6076" priority="241">
      <formula>U$9&lt;8/24</formula>
    </cfRule>
  </conditionalFormatting>
  <conditionalFormatting sqref="U13:AF13">
    <cfRule type="expression" dxfId="6075" priority="237">
      <formula>U13&gt;$AG13</formula>
    </cfRule>
  </conditionalFormatting>
  <conditionalFormatting sqref="AA47:AF47">
    <cfRule type="expression" dxfId="6074" priority="233">
      <formula>AA$9&gt;=20/24</formula>
    </cfRule>
    <cfRule type="expression" dxfId="6073" priority="234">
      <formula>AND(AA$9&gt;=14/24,AA$9&lt;20/24)</formula>
    </cfRule>
    <cfRule type="expression" dxfId="6072" priority="235">
      <formula>AND(AA$9&gt;=8/24,AA$9&lt;14/24)</formula>
    </cfRule>
    <cfRule type="expression" dxfId="6071" priority="236">
      <formula>AA$9&lt;8/24</formula>
    </cfRule>
  </conditionalFormatting>
  <conditionalFormatting sqref="E79:L83 T79:AF83">
    <cfRule type="expression" dxfId="6070" priority="229">
      <formula>E$9&gt;=20/24</formula>
    </cfRule>
    <cfRule type="expression" dxfId="6069" priority="230">
      <formula>AND(E$9&gt;=14/24,E$9&lt;20/24)</formula>
    </cfRule>
    <cfRule type="expression" dxfId="6068" priority="231">
      <formula>AND(E$9&gt;=8/24,E$9&lt;14/24)</formula>
    </cfRule>
    <cfRule type="expression" dxfId="6067" priority="232">
      <formula>E$9&lt;8/24</formula>
    </cfRule>
  </conditionalFormatting>
  <conditionalFormatting sqref="AL80:AN80 AL86:AN86 AN81:AN82">
    <cfRule type="expression" dxfId="6066" priority="225">
      <formula>AL$9&gt;=20/24</formula>
    </cfRule>
    <cfRule type="expression" dxfId="6065" priority="226">
      <formula>AND(AL$9&gt;=14/24,AL$9&lt;20/24)</formula>
    </cfRule>
    <cfRule type="expression" dxfId="6064" priority="227">
      <formula>AND(AL$9&gt;=8/24,AL$9&lt;14/24)</formula>
    </cfRule>
    <cfRule type="expression" dxfId="6063" priority="228">
      <formula>AL$9&lt;8/24</formula>
    </cfRule>
  </conditionalFormatting>
  <conditionalFormatting sqref="AN83:AN84">
    <cfRule type="expression" dxfId="6062" priority="221">
      <formula>AN$9&gt;=20/24</formula>
    </cfRule>
    <cfRule type="expression" dxfId="6061" priority="222">
      <formula>AND(AN$9&gt;=14/24,AN$9&lt;20/24)</formula>
    </cfRule>
    <cfRule type="expression" dxfId="6060" priority="223">
      <formula>AND(AN$9&gt;=8/24,AN$9&lt;14/24)</formula>
    </cfRule>
    <cfRule type="expression" dxfId="6059" priority="224">
      <formula>AN$9&lt;8/24</formula>
    </cfRule>
  </conditionalFormatting>
  <conditionalFormatting sqref="AL81:AM85">
    <cfRule type="expression" dxfId="6058" priority="425">
      <formula>AJ$9&gt;=20/24</formula>
    </cfRule>
    <cfRule type="expression" dxfId="6057" priority="426">
      <formula>AND(AJ$9&gt;=14/24,AJ$9&lt;20/24)</formula>
    </cfRule>
    <cfRule type="expression" dxfId="6056" priority="427">
      <formula>AND(AJ$9&gt;=8/24,AJ$9&lt;14/24)</formula>
    </cfRule>
    <cfRule type="expression" dxfId="6055" priority="428">
      <formula>AJ$9&lt;8/24</formula>
    </cfRule>
  </conditionalFormatting>
  <conditionalFormatting sqref="A120">
    <cfRule type="expression" dxfId="6054" priority="220">
      <formula>$AH120=0</formula>
    </cfRule>
  </conditionalFormatting>
  <conditionalFormatting sqref="C74:D76 C102:C108 D69:D71 D77:D83">
    <cfRule type="expression" dxfId="6053" priority="207">
      <formula>C$9&gt;=20/24</formula>
    </cfRule>
    <cfRule type="expression" dxfId="6052" priority="208">
      <formula>AND(C$9&gt;=14/24,C$9&lt;20/24)</formula>
    </cfRule>
    <cfRule type="expression" dxfId="6051" priority="209">
      <formula>AND(C$9&gt;=8/24,C$9&lt;14/24)</formula>
    </cfRule>
    <cfRule type="expression" dxfId="6050" priority="210">
      <formula>C$9&lt;8/24</formula>
    </cfRule>
  </conditionalFormatting>
  <conditionalFormatting sqref="D69:D71">
    <cfRule type="expression" dxfId="6049" priority="206">
      <formula>D69&gt;$AG69</formula>
    </cfRule>
  </conditionalFormatting>
  <conditionalFormatting sqref="C90">
    <cfRule type="expression" dxfId="6048" priority="202">
      <formula>C$9&gt;=20/24</formula>
    </cfRule>
    <cfRule type="expression" dxfId="6047" priority="203">
      <formula>AND(C$9&gt;=14/24,C$9&lt;20/24)</formula>
    </cfRule>
    <cfRule type="expression" dxfId="6046" priority="204">
      <formula>AND(C$9&gt;=8/24,C$9&lt;14/24)</formula>
    </cfRule>
    <cfRule type="expression" dxfId="6045" priority="205">
      <formula>C$9&lt;8/24</formula>
    </cfRule>
  </conditionalFormatting>
  <conditionalFormatting sqref="AA48:AF48">
    <cfRule type="expression" dxfId="6044" priority="198">
      <formula>AA$9&gt;=20/24</formula>
    </cfRule>
    <cfRule type="expression" dxfId="6043" priority="199">
      <formula>AND(AA$9&gt;=14/24,AA$9&lt;20/24)</formula>
    </cfRule>
    <cfRule type="expression" dxfId="6042" priority="200">
      <formula>AND(AA$9&gt;=8/24,AA$9&lt;14/24)</formula>
    </cfRule>
    <cfRule type="expression" dxfId="6041" priority="201">
      <formula>AA$9&lt;8/24</formula>
    </cfRule>
  </conditionalFormatting>
  <conditionalFormatting sqref="AA48:AF48">
    <cfRule type="expression" dxfId="6040" priority="197">
      <formula>AA48&gt;$AG48</formula>
    </cfRule>
  </conditionalFormatting>
  <conditionalFormatting sqref="F60:R60">
    <cfRule type="expression" dxfId="6039" priority="193">
      <formula>F$9&gt;=20/24</formula>
    </cfRule>
    <cfRule type="expression" dxfId="6038" priority="194">
      <formula>AND(F$9&gt;=14/24,F$9&lt;20/24)</formula>
    </cfRule>
    <cfRule type="expression" dxfId="6037" priority="195">
      <formula>AND(F$9&gt;=8/24,F$9&lt;14/24)</formula>
    </cfRule>
    <cfRule type="expression" dxfId="6036" priority="196">
      <formula>F$9&lt;8/24</formula>
    </cfRule>
  </conditionalFormatting>
  <conditionalFormatting sqref="F60:R60">
    <cfRule type="expression" dxfId="6035" priority="192">
      <formula>F60&gt;$AG60</formula>
    </cfRule>
  </conditionalFormatting>
  <conditionalFormatting sqref="B88 B98 B102:B108 B74:B76 B69:C71 B49:D49">
    <cfRule type="expression" dxfId="6034" priority="122">
      <formula>B$9&gt;=20/24</formula>
    </cfRule>
    <cfRule type="expression" dxfId="6033" priority="123">
      <formula>AND(B$9&gt;=14/24,B$9&lt;20/24)</formula>
    </cfRule>
    <cfRule type="expression" dxfId="6032" priority="124">
      <formula>AND(B$9&gt;=8/24,B$9&lt;14/24)</formula>
    </cfRule>
    <cfRule type="expression" dxfId="6031" priority="125">
      <formula>B$9&lt;8/24</formula>
    </cfRule>
  </conditionalFormatting>
  <conditionalFormatting sqref="B60:E60">
    <cfRule type="expression" dxfId="6030" priority="113">
      <formula>B$9&gt;=20/24</formula>
    </cfRule>
    <cfRule type="expression" dxfId="6029" priority="114">
      <formula>AND(B$9&gt;=14/24,B$9&lt;20/24)</formula>
    </cfRule>
    <cfRule type="expression" dxfId="6028" priority="115">
      <formula>AND(B$9&gt;=8/24,B$9&lt;14/24)</formula>
    </cfRule>
    <cfRule type="expression" dxfId="6027" priority="116">
      <formula>B$9&lt;8/24</formula>
    </cfRule>
  </conditionalFormatting>
  <conditionalFormatting sqref="C77:C78">
    <cfRule type="expression" dxfId="6026" priority="188">
      <formula>C$9&gt;=20/24</formula>
    </cfRule>
    <cfRule type="expression" dxfId="6025" priority="189">
      <formula>AND(C$9&gt;=14/24,C$9&lt;20/24)</formula>
    </cfRule>
    <cfRule type="expression" dxfId="6024" priority="190">
      <formula>AND(C$9&gt;=8/24,C$9&lt;14/24)</formula>
    </cfRule>
    <cfRule type="expression" dxfId="6023" priority="191">
      <formula>C$9&lt;8/24</formula>
    </cfRule>
  </conditionalFormatting>
  <conditionalFormatting sqref="E50:AF50">
    <cfRule type="expression" dxfId="6022" priority="187">
      <formula>E50&gt;$AG50</formula>
    </cfRule>
  </conditionalFormatting>
  <conditionalFormatting sqref="J61:Z66">
    <cfRule type="expression" dxfId="6021" priority="183">
      <formula>J$9&gt;=20/24</formula>
    </cfRule>
    <cfRule type="expression" dxfId="6020" priority="184">
      <formula>AND(J$9&gt;=14/24,J$9&lt;20/24)</formula>
    </cfRule>
    <cfRule type="expression" dxfId="6019" priority="185">
      <formula>AND(J$9&gt;=8/24,J$9&lt;14/24)</formula>
    </cfRule>
    <cfRule type="expression" dxfId="6018" priority="186">
      <formula>J$9&lt;8/24</formula>
    </cfRule>
  </conditionalFormatting>
  <conditionalFormatting sqref="J61:Z66">
    <cfRule type="expression" dxfId="6017" priority="182">
      <formula>J61&gt;$AG61</formula>
    </cfRule>
  </conditionalFormatting>
  <conditionalFormatting sqref="C79:C83">
    <cfRule type="expression" dxfId="6016" priority="178">
      <formula>C$9&gt;=20/24</formula>
    </cfRule>
    <cfRule type="expression" dxfId="6015" priority="179">
      <formula>AND(C$9&gt;=14/24,C$9&lt;20/24)</formula>
    </cfRule>
    <cfRule type="expression" dxfId="6014" priority="180">
      <formula>AND(C$9&gt;=8/24,C$9&lt;14/24)</formula>
    </cfRule>
    <cfRule type="expression" dxfId="6013" priority="181">
      <formula>C$9&lt;8/24</formula>
    </cfRule>
  </conditionalFormatting>
  <conditionalFormatting sqref="A11">
    <cfRule type="expression" dxfId="6012" priority="177">
      <formula>$AH11=0</formula>
    </cfRule>
  </conditionalFormatting>
  <conditionalFormatting sqref="U11:AF11">
    <cfRule type="expression" dxfId="6011" priority="173">
      <formula>U$9&gt;=20/24</formula>
    </cfRule>
    <cfRule type="expression" dxfId="6010" priority="174">
      <formula>AND(U$9&gt;=14/24,U$9&lt;20/24)</formula>
    </cfRule>
    <cfRule type="expression" dxfId="6009" priority="175">
      <formula>AND(U$9&gt;=8/24,U$9&lt;14/24)</formula>
    </cfRule>
    <cfRule type="expression" dxfId="6008" priority="176">
      <formula>U$9&lt;8/24</formula>
    </cfRule>
  </conditionalFormatting>
  <conditionalFormatting sqref="U11:AF11">
    <cfRule type="expression" dxfId="6007" priority="172">
      <formula>U11&gt;$AG11</formula>
    </cfRule>
  </conditionalFormatting>
  <conditionalFormatting sqref="A18">
    <cfRule type="expression" dxfId="6006" priority="170">
      <formula>$AH18=0</formula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A18:AF18">
    <cfRule type="expression" dxfId="6005" priority="166">
      <formula>AA$9&gt;=20/24</formula>
    </cfRule>
    <cfRule type="expression" dxfId="6004" priority="167">
      <formula>AND(AA$9&gt;=14/24,AA$9&lt;20/24)</formula>
    </cfRule>
    <cfRule type="expression" dxfId="6003" priority="168">
      <formula>AND(AA$9&gt;=8/24,AA$9&lt;14/24)</formula>
    </cfRule>
    <cfRule type="expression" dxfId="6002" priority="169">
      <formula>AA$9&lt;8/24</formula>
    </cfRule>
  </conditionalFormatting>
  <conditionalFormatting sqref="AA18:AF18">
    <cfRule type="expression" dxfId="6001" priority="165">
      <formula>AA18&gt;$AG18</formula>
    </cfRule>
  </conditionalFormatting>
  <conditionalFormatting sqref="A35">
    <cfRule type="expression" dxfId="6000" priority="163">
      <formula>$AH35=0</formula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5999" priority="159">
      <formula>AA$9&gt;=20/24</formula>
    </cfRule>
    <cfRule type="expression" dxfId="5998" priority="160">
      <formula>AND(AA$9&gt;=14/24,AA$9&lt;20/24)</formula>
    </cfRule>
    <cfRule type="expression" dxfId="5997" priority="161">
      <formula>AND(AA$9&gt;=8/24,AA$9&lt;14/24)</formula>
    </cfRule>
    <cfRule type="expression" dxfId="5996" priority="162">
      <formula>AA$9&lt;8/24</formula>
    </cfRule>
  </conditionalFormatting>
  <conditionalFormatting sqref="AA35:AF35">
    <cfRule type="expression" dxfId="5995" priority="158">
      <formula>AA35&gt;$AG35</formula>
    </cfRule>
  </conditionalFormatting>
  <conditionalFormatting sqref="A46">
    <cfRule type="expression" dxfId="5994" priority="156">
      <formula>$AH46=0</formula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5993" priority="155">
      <formula>AA46&gt;$AG46</formula>
    </cfRule>
  </conditionalFormatting>
  <conditionalFormatting sqref="AA46:AF46">
    <cfRule type="expression" dxfId="5992" priority="151">
      <formula>AA$9&gt;=20/24</formula>
    </cfRule>
    <cfRule type="expression" dxfId="5991" priority="152">
      <formula>AND(AA$9&gt;=14/24,AA$9&lt;20/24)</formula>
    </cfRule>
    <cfRule type="expression" dxfId="5990" priority="153">
      <formula>AND(AA$9&gt;=8/24,AA$9&lt;14/24)</formula>
    </cfRule>
    <cfRule type="expression" dxfId="5989" priority="154">
      <formula>AA$9&lt;8/24</formula>
    </cfRule>
  </conditionalFormatting>
  <conditionalFormatting sqref="B120">
    <cfRule type="expression" dxfId="5988" priority="27">
      <formula>B$9&gt;=20/24</formula>
    </cfRule>
    <cfRule type="expression" dxfId="5987" priority="28">
      <formula>AND(B$9&gt;=14/24,B$9&lt;20/24)</formula>
    </cfRule>
    <cfRule type="expression" dxfId="5986" priority="29">
      <formula>AND(B$9&gt;=8/24,B$9&lt;14/24)</formula>
    </cfRule>
    <cfRule type="expression" dxfId="5985" priority="30">
      <formula>B$9&lt;8/24</formula>
    </cfRule>
  </conditionalFormatting>
  <conditionalFormatting sqref="D120:AF120">
    <cfRule type="expression" dxfId="5984" priority="147">
      <formula>D$9&gt;=20/24</formula>
    </cfRule>
    <cfRule type="expression" dxfId="5983" priority="148">
      <formula>AND(D$9&gt;=14/24,D$9&lt;20/24)</formula>
    </cfRule>
    <cfRule type="expression" dxfId="5982" priority="149">
      <formula>AND(D$9&gt;=8/24,D$9&lt;14/24)</formula>
    </cfRule>
    <cfRule type="expression" dxfId="5981" priority="150">
      <formula>D$9&lt;8/24</formula>
    </cfRule>
  </conditionalFormatting>
  <conditionalFormatting sqref="C120">
    <cfRule type="expression" dxfId="5980" priority="143">
      <formula>C$9&gt;=20/24</formula>
    </cfRule>
    <cfRule type="expression" dxfId="5979" priority="144">
      <formula>AND(C$9&gt;=14/24,C$9&lt;20/24)</formula>
    </cfRule>
    <cfRule type="expression" dxfId="5978" priority="145">
      <formula>AND(C$9&gt;=8/24,C$9&lt;14/24)</formula>
    </cfRule>
    <cfRule type="expression" dxfId="5977" priority="146">
      <formula>C$9&lt;8/24</formula>
    </cfRule>
  </conditionalFormatting>
  <conditionalFormatting sqref="B111 B113:B119">
    <cfRule type="expression" dxfId="5976" priority="139">
      <formula>B$9&gt;=20/24</formula>
    </cfRule>
    <cfRule type="expression" dxfId="5975" priority="140">
      <formula>AND(B$9&gt;=14/24,B$9&lt;20/24)</formula>
    </cfRule>
    <cfRule type="expression" dxfId="5974" priority="141">
      <formula>AND(B$9&gt;=8/24,B$9&lt;14/24)</formula>
    </cfRule>
    <cfRule type="expression" dxfId="5973" priority="142">
      <formula>B$9&lt;8/24</formula>
    </cfRule>
  </conditionalFormatting>
  <conditionalFormatting sqref="B101">
    <cfRule type="expression" dxfId="5972" priority="135">
      <formula>B$9&gt;=20/24</formula>
    </cfRule>
    <cfRule type="expression" dxfId="5971" priority="136">
      <formula>AND(B$9&gt;=14/24,B$9&lt;20/24)</formula>
    </cfRule>
    <cfRule type="expression" dxfId="5970" priority="137">
      <formula>AND(B$9&gt;=8/24,B$9&lt;14/24)</formula>
    </cfRule>
    <cfRule type="expression" dxfId="5969" priority="138">
      <formula>B$9&lt;8/24</formula>
    </cfRule>
  </conditionalFormatting>
  <conditionalFormatting sqref="B73 B56:D59">
    <cfRule type="expression" dxfId="5968" priority="131">
      <formula>B$9&gt;=20/24</formula>
    </cfRule>
    <cfRule type="expression" dxfId="5967" priority="132">
      <formula>AND(B$9&gt;=14/24,B$9&lt;20/24)</formula>
    </cfRule>
    <cfRule type="expression" dxfId="5966" priority="133">
      <formula>AND(B$9&gt;=8/24,B$9&lt;14/24)</formula>
    </cfRule>
    <cfRule type="expression" dxfId="5965" priority="134">
      <formula>B$9&lt;8/24</formula>
    </cfRule>
  </conditionalFormatting>
  <conditionalFormatting sqref="B55:D55">
    <cfRule type="expression" dxfId="5964" priority="127">
      <formula>B$9&gt;=20/24</formula>
    </cfRule>
    <cfRule type="expression" dxfId="5963" priority="128">
      <formula>AND(B$9&gt;=14/24,B$9&lt;20/24)</formula>
    </cfRule>
    <cfRule type="expression" dxfId="5962" priority="129">
      <formula>AND(B$9&gt;=8/24,B$9&lt;14/24)</formula>
    </cfRule>
    <cfRule type="expression" dxfId="5961" priority="130">
      <formula>B$9&lt;8/24</formula>
    </cfRule>
  </conditionalFormatting>
  <conditionalFormatting sqref="B55:D59">
    <cfRule type="expression" dxfId="5960" priority="126">
      <formula>B55&gt;$AG55</formula>
    </cfRule>
  </conditionalFormatting>
  <conditionalFormatting sqref="B69:C71 B49:D49">
    <cfRule type="expression" dxfId="5959" priority="121">
      <formula>B49&gt;$AG49</formula>
    </cfRule>
  </conditionalFormatting>
  <conditionalFormatting sqref="B99 B90">
    <cfRule type="expression" dxfId="5958" priority="117">
      <formula>B$9&gt;=20/24</formula>
    </cfRule>
    <cfRule type="expression" dxfId="5957" priority="118">
      <formula>AND(B$9&gt;=14/24,B$9&lt;20/24)</formula>
    </cfRule>
    <cfRule type="expression" dxfId="5956" priority="119">
      <formula>AND(B$9&gt;=8/24,B$9&lt;14/24)</formula>
    </cfRule>
    <cfRule type="expression" dxfId="5955" priority="120">
      <formula>B$9&lt;8/24</formula>
    </cfRule>
  </conditionalFormatting>
  <conditionalFormatting sqref="B60:E60">
    <cfRule type="expression" dxfId="5954" priority="112">
      <formula>B60&gt;$AG60</formula>
    </cfRule>
  </conditionalFormatting>
  <conditionalFormatting sqref="B93:B97">
    <cfRule type="expression" dxfId="5953" priority="108">
      <formula>B$9&gt;=20/24</formula>
    </cfRule>
    <cfRule type="expression" dxfId="5952" priority="109">
      <formula>AND(B$9&gt;=14/24,B$9&lt;20/24)</formula>
    </cfRule>
    <cfRule type="expression" dxfId="5951" priority="110">
      <formula>AND(B$9&gt;=8/24,B$9&lt;14/24)</formula>
    </cfRule>
    <cfRule type="expression" dxfId="5950" priority="111">
      <formula>B$9&lt;8/24</formula>
    </cfRule>
  </conditionalFormatting>
  <conditionalFormatting sqref="B51:S53">
    <cfRule type="expression" dxfId="5949" priority="104">
      <formula>B$9&gt;=20/24</formula>
    </cfRule>
    <cfRule type="expression" dxfId="5948" priority="105">
      <formula>AND(B$9&gt;=14/24,B$9&lt;20/24)</formula>
    </cfRule>
    <cfRule type="expression" dxfId="5947" priority="106">
      <formula>AND(B$9&gt;=8/24,B$9&lt;14/24)</formula>
    </cfRule>
    <cfRule type="expression" dxfId="5946" priority="107">
      <formula>B$9&lt;8/24</formula>
    </cfRule>
  </conditionalFormatting>
  <conditionalFormatting sqref="B51:S53">
    <cfRule type="expression" dxfId="5945" priority="103">
      <formula>B51&gt;$AG51</formula>
    </cfRule>
  </conditionalFormatting>
  <conditionalFormatting sqref="B109">
    <cfRule type="expression" dxfId="5944" priority="99">
      <formula>B$9&gt;=20/24</formula>
    </cfRule>
    <cfRule type="expression" dxfId="5943" priority="100">
      <formula>AND(B$9&gt;=14/24,B$9&lt;20/24)</formula>
    </cfRule>
    <cfRule type="expression" dxfId="5942" priority="101">
      <formula>AND(B$9&gt;=8/24,B$9&lt;14/24)</formula>
    </cfRule>
    <cfRule type="expression" dxfId="5941" priority="102">
      <formula>B$9&lt;8/24</formula>
    </cfRule>
  </conditionalFormatting>
  <conditionalFormatting sqref="B112">
    <cfRule type="expression" dxfId="5940" priority="95">
      <formula>B$9&gt;=20/24</formula>
    </cfRule>
    <cfRule type="expression" dxfId="5939" priority="96">
      <formula>AND(B$9&gt;=14/24,B$9&lt;20/24)</formula>
    </cfRule>
    <cfRule type="expression" dxfId="5938" priority="97">
      <formula>AND(B$9&gt;=8/24,B$9&lt;14/24)</formula>
    </cfRule>
    <cfRule type="expression" dxfId="5937" priority="98">
      <formula>B$9&lt;8/24</formula>
    </cfRule>
  </conditionalFormatting>
  <conditionalFormatting sqref="B36:Z45 B19:Z28 AA31:AF31 B30:Z34 B29:AF29">
    <cfRule type="expression" dxfId="5936" priority="91">
      <formula>B$9&gt;=20/24</formula>
    </cfRule>
    <cfRule type="expression" dxfId="5935" priority="92">
      <formula>AND(B$9&gt;=14/24,B$9&lt;20/24)</formula>
    </cfRule>
    <cfRule type="expression" dxfId="5934" priority="93">
      <formula>AND(B$9&gt;=8/24,B$9&lt;14/24)</formula>
    </cfRule>
    <cfRule type="expression" dxfId="5933" priority="94">
      <formula>B$9&lt;8/24</formula>
    </cfRule>
  </conditionalFormatting>
  <conditionalFormatting sqref="B36:Z45 B19:Z28 AA31:AF31 B30:Z34 B29:AF29">
    <cfRule type="expression" dxfId="5932" priority="90">
      <formula>B19&gt;$AG19</formula>
    </cfRule>
  </conditionalFormatting>
  <conditionalFormatting sqref="B85:B87 B77:B83">
    <cfRule type="expression" dxfId="5931" priority="86">
      <formula>B$9&gt;=20/24</formula>
    </cfRule>
    <cfRule type="expression" dxfId="5930" priority="87">
      <formula>AND(B$9&gt;=14/24,B$9&lt;20/24)</formula>
    </cfRule>
    <cfRule type="expression" dxfId="5929" priority="88">
      <formula>AND(B$9&gt;=8/24,B$9&lt;14/24)</formula>
    </cfRule>
    <cfRule type="expression" dxfId="5928" priority="89">
      <formula>B$9&lt;8/24</formula>
    </cfRule>
  </conditionalFormatting>
  <conditionalFormatting sqref="B89 B91 B100 B72">
    <cfRule type="expression" dxfId="5927" priority="82">
      <formula>B$9&gt;=20/24</formula>
    </cfRule>
    <cfRule type="expression" dxfId="5926" priority="83">
      <formula>AND(B$9&gt;=14/24,B$9&lt;20/24)</formula>
    </cfRule>
    <cfRule type="expression" dxfId="5925" priority="84">
      <formula>AND(B$9&gt;=8/24,B$9&lt;14/24)</formula>
    </cfRule>
    <cfRule type="expression" dxfId="5924" priority="85">
      <formula>B$9&lt;8/24</formula>
    </cfRule>
  </conditionalFormatting>
  <conditionalFormatting sqref="B72 B67:C68">
    <cfRule type="expression" dxfId="5923" priority="81">
      <formula>B67&gt;$AG67</formula>
    </cfRule>
  </conditionalFormatting>
  <conditionalFormatting sqref="B84">
    <cfRule type="expression" dxfId="5922" priority="77">
      <formula>B$9&gt;=20/24</formula>
    </cfRule>
    <cfRule type="expression" dxfId="5921" priority="78">
      <formula>AND(B$9&gt;=14/24,B$9&lt;20/24)</formula>
    </cfRule>
    <cfRule type="expression" dxfId="5920" priority="79">
      <formula>AND(B$9&gt;=8/24,B$9&lt;14/24)</formula>
    </cfRule>
    <cfRule type="expression" dxfId="5919" priority="80">
      <formula>B$9&lt;8/24</formula>
    </cfRule>
  </conditionalFormatting>
  <conditionalFormatting sqref="B54:C54">
    <cfRule type="expression" dxfId="5918" priority="73">
      <formula>B$9&gt;=20/24</formula>
    </cfRule>
    <cfRule type="expression" dxfId="5917" priority="74">
      <formula>AND(B$9&gt;=14/24,B$9&lt;20/24)</formula>
    </cfRule>
    <cfRule type="expression" dxfId="5916" priority="75">
      <formula>AND(B$9&gt;=8/24,B$9&lt;14/24)</formula>
    </cfRule>
    <cfRule type="expression" dxfId="5915" priority="76">
      <formula>B$9&lt;8/24</formula>
    </cfRule>
  </conditionalFormatting>
  <conditionalFormatting sqref="B54:C54">
    <cfRule type="expression" dxfId="5914" priority="72">
      <formula>B54&gt;$AG54</formula>
    </cfRule>
  </conditionalFormatting>
  <conditionalFormatting sqref="B61:I66">
    <cfRule type="expression" dxfId="5913" priority="68">
      <formula>B$9&gt;=20/24</formula>
    </cfRule>
    <cfRule type="expression" dxfId="5912" priority="69">
      <formula>AND(B$9&gt;=14/24,B$9&lt;20/24)</formula>
    </cfRule>
    <cfRule type="expression" dxfId="5911" priority="70">
      <formula>AND(B$9&gt;=8/24,B$9&lt;14/24)</formula>
    </cfRule>
    <cfRule type="expression" dxfId="5910" priority="71">
      <formula>B$9&lt;8/24</formula>
    </cfRule>
  </conditionalFormatting>
  <conditionalFormatting sqref="B61:I66">
    <cfRule type="expression" dxfId="5909" priority="67">
      <formula>B61&gt;$AG61</formula>
    </cfRule>
  </conditionalFormatting>
  <conditionalFormatting sqref="B47:Z47">
    <cfRule type="expression" dxfId="5908" priority="66">
      <formula>B47&gt;$AG47</formula>
    </cfRule>
  </conditionalFormatting>
  <conditionalFormatting sqref="B13:T13">
    <cfRule type="expression" dxfId="5907" priority="62">
      <formula>B$9&gt;=20/24</formula>
    </cfRule>
    <cfRule type="expression" dxfId="5906" priority="63">
      <formula>AND(B$9&gt;=14/24,B$9&lt;20/24)</formula>
    </cfRule>
    <cfRule type="expression" dxfId="5905" priority="64">
      <formula>AND(B$9&gt;=8/24,B$9&lt;14/24)</formula>
    </cfRule>
    <cfRule type="expression" dxfId="5904" priority="65">
      <formula>B$9&lt;8/24</formula>
    </cfRule>
  </conditionalFormatting>
  <conditionalFormatting sqref="B13:T13">
    <cfRule type="expression" dxfId="5903" priority="61">
      <formula>B13&gt;$AG13</formula>
    </cfRule>
  </conditionalFormatting>
  <conditionalFormatting sqref="B47:Z47">
    <cfRule type="expression" dxfId="5902" priority="57">
      <formula>B$9&gt;=20/24</formula>
    </cfRule>
    <cfRule type="expression" dxfId="5901" priority="58">
      <formula>AND(B$9&gt;=14/24,B$9&lt;20/24)</formula>
    </cfRule>
    <cfRule type="expression" dxfId="5900" priority="59">
      <formula>AND(B$9&gt;=8/24,B$9&lt;14/24)</formula>
    </cfRule>
    <cfRule type="expression" dxfId="5899" priority="60">
      <formula>B$9&lt;8/24</formula>
    </cfRule>
  </conditionalFormatting>
  <conditionalFormatting sqref="B48:Z48">
    <cfRule type="expression" dxfId="5898" priority="53">
      <formula>B$9&gt;=20/24</formula>
    </cfRule>
    <cfRule type="expression" dxfId="5897" priority="54">
      <formula>AND(B$9&gt;=14/24,B$9&lt;20/24)</formula>
    </cfRule>
    <cfRule type="expression" dxfId="5896" priority="55">
      <formula>AND(B$9&gt;=8/24,B$9&lt;14/24)</formula>
    </cfRule>
    <cfRule type="expression" dxfId="5895" priority="56">
      <formula>B$9&lt;8/24</formula>
    </cfRule>
  </conditionalFormatting>
  <conditionalFormatting sqref="B48:Z48">
    <cfRule type="expression" dxfId="5894" priority="52">
      <formula>B48&gt;$AG48</formula>
    </cfRule>
  </conditionalFormatting>
  <conditionalFormatting sqref="B50:D50">
    <cfRule type="expression" dxfId="5893" priority="51">
      <formula>B50&gt;$AG50</formula>
    </cfRule>
  </conditionalFormatting>
  <conditionalFormatting sqref="B11:T11">
    <cfRule type="expression" dxfId="5892" priority="47">
      <formula>B$9&gt;=20/24</formula>
    </cfRule>
    <cfRule type="expression" dxfId="5891" priority="48">
      <formula>AND(B$9&gt;=14/24,B$9&lt;20/24)</formula>
    </cfRule>
    <cfRule type="expression" dxfId="5890" priority="49">
      <formula>AND(B$9&gt;=8/24,B$9&lt;14/24)</formula>
    </cfRule>
    <cfRule type="expression" dxfId="5889" priority="50">
      <formula>B$9&lt;8/24</formula>
    </cfRule>
  </conditionalFormatting>
  <conditionalFormatting sqref="B11:T11">
    <cfRule type="expression" dxfId="5888" priority="46">
      <formula>B11&gt;$AG11</formula>
    </cfRule>
  </conditionalFormatting>
  <conditionalFormatting sqref="B18:Z18">
    <cfRule type="expression" dxfId="5887" priority="42">
      <formula>B$9&gt;=20/24</formula>
    </cfRule>
    <cfRule type="expression" dxfId="5886" priority="43">
      <formula>AND(B$9&gt;=14/24,B$9&lt;20/24)</formula>
    </cfRule>
    <cfRule type="expression" dxfId="5885" priority="44">
      <formula>AND(B$9&gt;=8/24,B$9&lt;14/24)</formula>
    </cfRule>
    <cfRule type="expression" dxfId="5884" priority="45">
      <formula>B$9&lt;8/24</formula>
    </cfRule>
  </conditionalFormatting>
  <conditionalFormatting sqref="B18:Z18">
    <cfRule type="expression" dxfId="5883" priority="41">
      <formula>B18&gt;$AG18</formula>
    </cfRule>
  </conditionalFormatting>
  <conditionalFormatting sqref="B35:Z35">
    <cfRule type="expression" dxfId="5882" priority="37">
      <formula>B$9&gt;=20/24</formula>
    </cfRule>
    <cfRule type="expression" dxfId="5881" priority="38">
      <formula>AND(B$9&gt;=14/24,B$9&lt;20/24)</formula>
    </cfRule>
    <cfRule type="expression" dxfId="5880" priority="39">
      <formula>AND(B$9&gt;=8/24,B$9&lt;14/24)</formula>
    </cfRule>
    <cfRule type="expression" dxfId="5879" priority="40">
      <formula>B$9&lt;8/24</formula>
    </cfRule>
  </conditionalFormatting>
  <conditionalFormatting sqref="B35:Z35">
    <cfRule type="expression" dxfId="5878" priority="36">
      <formula>B35&gt;$AG35</formula>
    </cfRule>
  </conditionalFormatting>
  <conditionalFormatting sqref="B46:Z46">
    <cfRule type="expression" dxfId="5877" priority="35">
      <formula>B46&gt;$AG46</formula>
    </cfRule>
  </conditionalFormatting>
  <conditionalFormatting sqref="B46:Z46">
    <cfRule type="expression" dxfId="5876" priority="31">
      <formula>B$9&gt;=20/24</formula>
    </cfRule>
    <cfRule type="expression" dxfId="5875" priority="32">
      <formula>AND(B$9&gt;=14/24,B$9&lt;20/24)</formula>
    </cfRule>
    <cfRule type="expression" dxfId="5874" priority="33">
      <formula>AND(B$9&gt;=8/24,B$9&lt;14/24)</formula>
    </cfRule>
    <cfRule type="expression" dxfId="5873" priority="34">
      <formula>B$9&lt;8/24</formula>
    </cfRule>
  </conditionalFormatting>
  <conditionalFormatting sqref="AE73">
    <cfRule type="expression" dxfId="5872" priority="13">
      <formula>AE$9&gt;=20/24</formula>
    </cfRule>
    <cfRule type="expression" dxfId="5871" priority="14">
      <formula>AND(AE$9&gt;=14/24,AE$9&lt;20/24)</formula>
    </cfRule>
    <cfRule type="expression" dxfId="5870" priority="15">
      <formula>AND(AE$9&gt;=8/24,AE$9&lt;14/24)</formula>
    </cfRule>
    <cfRule type="expression" dxfId="5869" priority="16">
      <formula>AE$9&lt;8/24</formula>
    </cfRule>
  </conditionalFormatting>
  <conditionalFormatting sqref="AE74:AE75">
    <cfRule type="expression" dxfId="5868" priority="9">
      <formula>AE$9&gt;=20/24</formula>
    </cfRule>
    <cfRule type="expression" dxfId="5867" priority="10">
      <formula>AND(AE$9&gt;=14/24,AE$9&lt;20/24)</formula>
    </cfRule>
    <cfRule type="expression" dxfId="5866" priority="11">
      <formula>AND(AE$9&gt;=8/24,AE$9&lt;14/24)</formula>
    </cfRule>
    <cfRule type="expression" dxfId="5865" priority="12">
      <formula>AE$9&lt;8/24</formula>
    </cfRule>
  </conditionalFormatting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712E-629B-45D2-9356-C5064F1A7987}">
  <dimension ref="A1:CJ281"/>
  <sheetViews>
    <sheetView zoomScaleNormal="100" workbookViewId="0">
      <pane xSplit="1" ySplit="10" topLeftCell="B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I21" sqref="I2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7.8554687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2080/03/27</v>
      </c>
      <c r="C4" s="187"/>
      <c r="D4" s="187"/>
      <c r="E4" s="188" t="str">
        <f ca="1">"2079/"&amp;"12/"&amp;INT(MID(CELL("filename",G6),FIND("]",CELL("filename",G6))+1,200))</f>
        <v>2079/12/27</v>
      </c>
      <c r="F4" s="188"/>
      <c r="G4" s="188"/>
      <c r="H4" s="188" t="str">
        <f ca="1">TEXT(E4,"dddd")</f>
        <v>Wednesday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36.1</v>
      </c>
      <c r="C5" s="30">
        <f t="shared" si="0"/>
        <v>27.5</v>
      </c>
      <c r="D5" s="30">
        <f t="shared" si="0"/>
        <v>63.9</v>
      </c>
      <c r="E5" s="30">
        <f t="shared" si="0"/>
        <v>69.900000000000006</v>
      </c>
      <c r="F5" s="30">
        <f t="shared" si="0"/>
        <v>68.7</v>
      </c>
      <c r="G5" s="30">
        <f t="shared" si="0"/>
        <v>65.3</v>
      </c>
      <c r="H5" s="30">
        <f t="shared" si="0"/>
        <v>0</v>
      </c>
      <c r="I5" s="30">
        <f t="shared" si="0"/>
        <v>9.4</v>
      </c>
      <c r="J5" s="30">
        <f t="shared" si="0"/>
        <v>3.7</v>
      </c>
      <c r="K5" s="30">
        <f t="shared" si="0"/>
        <v>0</v>
      </c>
      <c r="L5" s="30">
        <f t="shared" si="0"/>
        <v>0</v>
      </c>
      <c r="M5" s="30">
        <f t="shared" si="0"/>
        <v>26.4</v>
      </c>
      <c r="N5" s="30">
        <f t="shared" si="0"/>
        <v>0</v>
      </c>
      <c r="O5" s="30">
        <f t="shared" si="0"/>
        <v>0</v>
      </c>
      <c r="P5" s="30">
        <f t="shared" si="0"/>
        <v>3</v>
      </c>
      <c r="Q5" s="30">
        <f t="shared" si="0"/>
        <v>5</v>
      </c>
      <c r="R5" s="30">
        <f t="shared" si="0"/>
        <v>35</v>
      </c>
      <c r="S5" s="30">
        <f t="shared" si="0"/>
        <v>42.8</v>
      </c>
      <c r="T5" s="30">
        <f t="shared" si="0"/>
        <v>40</v>
      </c>
      <c r="U5" s="30">
        <f t="shared" si="0"/>
        <v>36</v>
      </c>
      <c r="V5" s="30">
        <f t="shared" si="0"/>
        <v>27.4</v>
      </c>
      <c r="W5" s="30">
        <f t="shared" si="0"/>
        <v>25.7</v>
      </c>
      <c r="X5" s="30">
        <f t="shared" si="0"/>
        <v>21.4</v>
      </c>
      <c r="Y5" s="30">
        <f t="shared" si="0"/>
        <v>0</v>
      </c>
      <c r="Z5" s="30">
        <f t="shared" si="0"/>
        <v>25.9</v>
      </c>
      <c r="AA5" s="30">
        <f t="shared" si="0"/>
        <v>41</v>
      </c>
      <c r="AB5" s="30">
        <f t="shared" si="0"/>
        <v>0</v>
      </c>
      <c r="AC5" s="30">
        <f t="shared" si="0"/>
        <v>22.5</v>
      </c>
      <c r="AD5" s="30">
        <f t="shared" si="0"/>
        <v>19</v>
      </c>
      <c r="AE5" s="30">
        <f t="shared" si="0"/>
        <v>15</v>
      </c>
      <c r="AF5" s="30">
        <f>B84</f>
        <v>22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1953MW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Load=1862</v>
      </c>
      <c r="B7" s="35">
        <f t="shared" ref="B7:AF7" si="1">B91</f>
        <v>1992.74</v>
      </c>
      <c r="C7" s="35">
        <f t="shared" si="1"/>
        <v>1965.2399999999998</v>
      </c>
      <c r="D7" s="35">
        <f t="shared" si="1"/>
        <v>1892.6399999999999</v>
      </c>
      <c r="E7" s="35">
        <f t="shared" si="1"/>
        <v>1914.8400000000001</v>
      </c>
      <c r="F7" s="35">
        <f t="shared" si="1"/>
        <v>1885.74</v>
      </c>
      <c r="G7" s="35">
        <f t="shared" si="1"/>
        <v>1884.54</v>
      </c>
      <c r="H7" s="35">
        <f t="shared" si="1"/>
        <v>1886.84</v>
      </c>
      <c r="I7" s="35">
        <f t="shared" si="1"/>
        <v>1887.3400000000001</v>
      </c>
      <c r="J7" s="35">
        <f t="shared" si="1"/>
        <v>1915.64</v>
      </c>
      <c r="K7" s="35">
        <f t="shared" si="1"/>
        <v>1916.64</v>
      </c>
      <c r="L7" s="35">
        <f t="shared" si="1"/>
        <v>1914.94</v>
      </c>
      <c r="M7" s="35">
        <f t="shared" si="1"/>
        <v>1924.64</v>
      </c>
      <c r="N7" s="35">
        <f>N91</f>
        <v>1952.63</v>
      </c>
      <c r="O7" s="35">
        <f t="shared" si="1"/>
        <v>1928.74</v>
      </c>
      <c r="P7" s="35">
        <f t="shared" si="1"/>
        <v>1927.64</v>
      </c>
      <c r="Q7" s="35">
        <f t="shared" si="1"/>
        <v>1861.94</v>
      </c>
      <c r="R7" s="35">
        <f t="shared" si="1"/>
        <v>1906.64</v>
      </c>
      <c r="S7" s="35">
        <f t="shared" si="1"/>
        <v>1959.3400000000001</v>
      </c>
      <c r="T7" s="35">
        <f t="shared" si="1"/>
        <v>1984.4399999999998</v>
      </c>
      <c r="U7" s="35">
        <f t="shared" si="1"/>
        <v>1912.94</v>
      </c>
      <c r="V7" s="35">
        <f t="shared" si="1"/>
        <v>1994.94</v>
      </c>
      <c r="W7" s="35">
        <f t="shared" si="1"/>
        <v>1992.3400000000001</v>
      </c>
      <c r="X7" s="35">
        <f t="shared" si="1"/>
        <v>1978.24</v>
      </c>
      <c r="Y7" s="35">
        <f t="shared" si="1"/>
        <v>2003.8400000000001</v>
      </c>
      <c r="Z7" s="35">
        <f t="shared" si="1"/>
        <v>2009.14</v>
      </c>
      <c r="AA7" s="35">
        <f t="shared" si="1"/>
        <v>2038.6400000000003</v>
      </c>
      <c r="AB7" s="35">
        <f t="shared" si="1"/>
        <v>2052.94</v>
      </c>
      <c r="AC7" s="35">
        <f t="shared" si="1"/>
        <v>2011.7400000000002</v>
      </c>
      <c r="AD7" s="35">
        <f t="shared" si="1"/>
        <v>2018.3400000000001</v>
      </c>
      <c r="AE7" s="35">
        <f t="shared" si="1"/>
        <v>1989.6400000000003</v>
      </c>
      <c r="AF7" s="35">
        <f t="shared" si="1"/>
        <v>1981.6400000000003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86.6</v>
      </c>
      <c r="C11" s="45">
        <v>59</v>
      </c>
      <c r="D11" s="45">
        <v>0</v>
      </c>
      <c r="E11" s="45">
        <v>66</v>
      </c>
      <c r="F11" s="45">
        <v>61.9</v>
      </c>
      <c r="G11" s="45">
        <v>61.9</v>
      </c>
      <c r="H11" s="45">
        <v>61.9</v>
      </c>
      <c r="I11" s="45">
        <v>61.9</v>
      </c>
      <c r="J11" s="45">
        <v>61.9</v>
      </c>
      <c r="K11" s="45">
        <v>61.9</v>
      </c>
      <c r="L11" s="45">
        <v>61.9</v>
      </c>
      <c r="M11" s="45">
        <v>61.9</v>
      </c>
      <c r="N11" s="45">
        <v>61.9</v>
      </c>
      <c r="O11" s="45">
        <v>61.9</v>
      </c>
      <c r="P11" s="45">
        <v>61.9</v>
      </c>
      <c r="Q11" s="45">
        <v>0</v>
      </c>
      <c r="R11" s="45">
        <v>61.9</v>
      </c>
      <c r="S11" s="45">
        <v>0</v>
      </c>
      <c r="T11" s="45">
        <v>0</v>
      </c>
      <c r="U11" s="45">
        <v>0</v>
      </c>
      <c r="V11" s="45">
        <v>86</v>
      </c>
      <c r="W11" s="45">
        <v>86</v>
      </c>
      <c r="X11" s="45">
        <v>86.6</v>
      </c>
      <c r="Y11" s="45">
        <v>86.6</v>
      </c>
      <c r="Z11" s="45">
        <v>86.6</v>
      </c>
      <c r="AA11" s="45">
        <v>86.6</v>
      </c>
      <c r="AB11" s="45">
        <v>89.9</v>
      </c>
      <c r="AC11" s="45">
        <v>89.9</v>
      </c>
      <c r="AD11" s="45">
        <v>89.9</v>
      </c>
      <c r="AE11" s="45">
        <v>89.9</v>
      </c>
      <c r="AF11" s="45">
        <v>89.9</v>
      </c>
      <c r="AG11" s="46">
        <v>86</v>
      </c>
      <c r="AH11" s="47">
        <f t="shared" ref="AH11:AH15" si="2">MAX(B11:AF11)</f>
        <v>89.9</v>
      </c>
      <c r="AI11" s="48">
        <f t="shared" ref="AI11:AI15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26</v>
      </c>
      <c r="C12" s="45">
        <v>26</v>
      </c>
      <c r="D12" s="45">
        <v>26</v>
      </c>
      <c r="E12" s="45">
        <v>5</v>
      </c>
      <c r="F12" s="45">
        <v>0</v>
      </c>
      <c r="G12" s="45">
        <v>0</v>
      </c>
      <c r="H12" s="45">
        <v>0</v>
      </c>
      <c r="I12" s="45">
        <v>10</v>
      </c>
      <c r="J12" s="45">
        <v>10</v>
      </c>
      <c r="K12" s="45">
        <v>10</v>
      </c>
      <c r="L12" s="45">
        <v>10</v>
      </c>
      <c r="M12" s="45">
        <v>10</v>
      </c>
      <c r="N12" s="45">
        <v>10</v>
      </c>
      <c r="O12" s="45">
        <v>10</v>
      </c>
      <c r="P12" s="45">
        <v>10</v>
      </c>
      <c r="Q12" s="45">
        <v>25</v>
      </c>
      <c r="R12" s="45">
        <v>10</v>
      </c>
      <c r="S12" s="45">
        <v>10</v>
      </c>
      <c r="T12" s="45">
        <v>10</v>
      </c>
      <c r="U12" s="45">
        <v>10</v>
      </c>
      <c r="V12" s="45">
        <v>10</v>
      </c>
      <c r="W12" s="45">
        <v>10</v>
      </c>
      <c r="X12" s="45">
        <v>10</v>
      </c>
      <c r="Y12" s="45">
        <v>15</v>
      </c>
      <c r="Z12" s="45">
        <v>20</v>
      </c>
      <c r="AA12" s="45">
        <v>26</v>
      </c>
      <c r="AB12" s="45">
        <v>26</v>
      </c>
      <c r="AC12" s="45">
        <v>26</v>
      </c>
      <c r="AD12" s="45">
        <v>26</v>
      </c>
      <c r="AE12" s="45">
        <v>26</v>
      </c>
      <c r="AF12" s="45">
        <v>26</v>
      </c>
      <c r="AG12" s="49">
        <v>54</v>
      </c>
      <c r="AH12" s="47">
        <f t="shared" si="2"/>
        <v>26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54.9</v>
      </c>
      <c r="C13" s="45">
        <v>54.9</v>
      </c>
      <c r="D13" s="45">
        <v>54.9</v>
      </c>
      <c r="E13" s="45">
        <v>54.9</v>
      </c>
      <c r="F13" s="45">
        <v>54.9</v>
      </c>
      <c r="G13" s="45">
        <v>54.9</v>
      </c>
      <c r="H13" s="45">
        <v>54.9</v>
      </c>
      <c r="I13" s="45">
        <v>54.9</v>
      </c>
      <c r="J13" s="45">
        <v>54.9</v>
      </c>
      <c r="K13" s="45">
        <v>54.9</v>
      </c>
      <c r="L13" s="45">
        <v>54.9</v>
      </c>
      <c r="M13" s="45">
        <v>54.9</v>
      </c>
      <c r="N13" s="45">
        <v>54.9</v>
      </c>
      <c r="O13" s="45">
        <v>54.9</v>
      </c>
      <c r="P13" s="45">
        <v>54.9</v>
      </c>
      <c r="Q13" s="45">
        <v>0</v>
      </c>
      <c r="R13" s="45">
        <v>54.8</v>
      </c>
      <c r="S13" s="45">
        <v>54.8</v>
      </c>
      <c r="T13" s="45">
        <v>54.8</v>
      </c>
      <c r="U13" s="45">
        <v>54.8</v>
      </c>
      <c r="V13" s="45">
        <v>54.8</v>
      </c>
      <c r="W13" s="45">
        <v>54.8</v>
      </c>
      <c r="X13" s="45">
        <v>54.8</v>
      </c>
      <c r="Y13" s="45">
        <v>54.7</v>
      </c>
      <c r="Z13" s="45">
        <v>54.7</v>
      </c>
      <c r="AA13" s="45">
        <v>54.7</v>
      </c>
      <c r="AB13" s="45">
        <v>54.9</v>
      </c>
      <c r="AC13" s="45">
        <v>54.7</v>
      </c>
      <c r="AD13" s="45">
        <v>54.7</v>
      </c>
      <c r="AE13" s="45">
        <v>54.7</v>
      </c>
      <c r="AF13" s="45">
        <v>54.7</v>
      </c>
      <c r="AG13" s="46">
        <v>52.4</v>
      </c>
      <c r="AH13" s="47">
        <f t="shared" si="2"/>
        <v>54.9</v>
      </c>
      <c r="AI13" s="48">
        <f t="shared" si="3"/>
        <v>0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45">
        <v>50.5</v>
      </c>
      <c r="C14" s="45">
        <v>50.5</v>
      </c>
      <c r="D14" s="45">
        <v>50.5</v>
      </c>
      <c r="E14" s="50">
        <v>50.6</v>
      </c>
      <c r="F14" s="50">
        <v>50.6</v>
      </c>
      <c r="G14" s="50">
        <v>50.6</v>
      </c>
      <c r="H14" s="50">
        <v>50.6</v>
      </c>
      <c r="I14" s="50">
        <v>50.6</v>
      </c>
      <c r="J14" s="50">
        <v>50.6</v>
      </c>
      <c r="K14" s="50">
        <v>50.6</v>
      </c>
      <c r="L14" s="50">
        <v>50.6</v>
      </c>
      <c r="M14" s="50">
        <v>50.6</v>
      </c>
      <c r="N14" s="50">
        <v>50.6</v>
      </c>
      <c r="O14" s="50">
        <v>50.6</v>
      </c>
      <c r="P14" s="50">
        <v>50.6</v>
      </c>
      <c r="Q14" s="50">
        <v>50.5</v>
      </c>
      <c r="R14" s="50">
        <v>50.5</v>
      </c>
      <c r="S14" s="50">
        <v>50.5</v>
      </c>
      <c r="T14" s="50">
        <v>50.5</v>
      </c>
      <c r="U14" s="50">
        <v>50.5</v>
      </c>
      <c r="V14" s="50">
        <v>50.5</v>
      </c>
      <c r="W14" s="50">
        <v>50.5</v>
      </c>
      <c r="X14" s="50">
        <v>50.5</v>
      </c>
      <c r="Y14" s="50">
        <v>50.3</v>
      </c>
      <c r="Z14" s="50">
        <v>50.3</v>
      </c>
      <c r="AA14" s="50">
        <v>50.3</v>
      </c>
      <c r="AB14" s="50">
        <v>50.6</v>
      </c>
      <c r="AC14" s="50">
        <v>50.6</v>
      </c>
      <c r="AD14" s="50">
        <v>50.6</v>
      </c>
      <c r="AE14" s="50">
        <v>50.6</v>
      </c>
      <c r="AF14" s="50">
        <v>50.6</v>
      </c>
      <c r="AG14" s="49">
        <v>50</v>
      </c>
      <c r="AH14" s="47">
        <f t="shared" si="2"/>
        <v>50.6</v>
      </c>
      <c r="AI14" s="48">
        <f t="shared" si="3"/>
        <v>50.3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45.8</v>
      </c>
      <c r="C15" s="45">
        <v>45.8</v>
      </c>
      <c r="D15" s="45">
        <v>45.8</v>
      </c>
      <c r="E15" s="45">
        <v>36.799999999999997</v>
      </c>
      <c r="F15" s="45">
        <v>36.799999999999997</v>
      </c>
      <c r="G15" s="45">
        <v>36.799999999999997</v>
      </c>
      <c r="H15" s="45">
        <v>36.799999999999997</v>
      </c>
      <c r="I15" s="45">
        <v>45.9</v>
      </c>
      <c r="J15" s="45">
        <v>45.9</v>
      </c>
      <c r="K15" s="45">
        <v>45.9</v>
      </c>
      <c r="L15" s="45">
        <v>45.9</v>
      </c>
      <c r="M15" s="45">
        <v>45.9</v>
      </c>
      <c r="N15" s="45">
        <v>45.9</v>
      </c>
      <c r="O15" s="45">
        <v>45.9</v>
      </c>
      <c r="P15" s="45">
        <v>45.9</v>
      </c>
      <c r="Q15" s="45">
        <v>46.2</v>
      </c>
      <c r="R15" s="45">
        <v>45.9</v>
      </c>
      <c r="S15" s="45">
        <v>45.9</v>
      </c>
      <c r="T15" s="45">
        <v>45.9</v>
      </c>
      <c r="U15" s="45">
        <v>45.9</v>
      </c>
      <c r="V15" s="45">
        <v>45.9</v>
      </c>
      <c r="W15" s="45">
        <v>45.9</v>
      </c>
      <c r="X15" s="45">
        <v>45.9</v>
      </c>
      <c r="Y15" s="45">
        <v>46</v>
      </c>
      <c r="Z15" s="45">
        <v>46</v>
      </c>
      <c r="AA15" s="45">
        <v>46</v>
      </c>
      <c r="AB15" s="45">
        <v>46</v>
      </c>
      <c r="AC15" s="45">
        <v>46</v>
      </c>
      <c r="AD15" s="45">
        <v>46</v>
      </c>
      <c r="AE15" s="45">
        <v>46</v>
      </c>
      <c r="AF15" s="45">
        <v>46</v>
      </c>
      <c r="AG15" s="49">
        <v>45</v>
      </c>
      <c r="AH15" s="47">
        <f t="shared" si="2"/>
        <v>46.2</v>
      </c>
      <c r="AI15" s="48">
        <f t="shared" si="3"/>
        <v>36.799999999999997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0</v>
      </c>
      <c r="R16" s="45">
        <v>44</v>
      </c>
      <c r="S16" s="45">
        <v>44</v>
      </c>
      <c r="T16" s="45">
        <v>44</v>
      </c>
      <c r="U16" s="45">
        <v>20</v>
      </c>
      <c r="V16" s="45">
        <v>20</v>
      </c>
      <c r="W16" s="45">
        <v>20</v>
      </c>
      <c r="X16" s="45">
        <v>20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 t="shared" ref="AH16:AH79" si="4">MAX(B16:AF16)</f>
        <v>44</v>
      </c>
      <c r="AI16" s="48">
        <f t="shared" ref="AI16:AI79" si="5">MIN(B16:AF16)</f>
        <v>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31</v>
      </c>
      <c r="C17" s="45">
        <v>32</v>
      </c>
      <c r="D17" s="45">
        <v>32</v>
      </c>
      <c r="E17" s="45">
        <v>32</v>
      </c>
      <c r="F17" s="45">
        <v>30</v>
      </c>
      <c r="G17" s="45">
        <v>30</v>
      </c>
      <c r="H17" s="45">
        <v>35</v>
      </c>
      <c r="I17" s="45">
        <v>33</v>
      </c>
      <c r="J17" s="45">
        <v>31</v>
      </c>
      <c r="K17" s="45">
        <v>31</v>
      </c>
      <c r="L17" s="45">
        <v>31</v>
      </c>
      <c r="M17" s="45">
        <v>33</v>
      </c>
      <c r="N17" s="45">
        <v>33</v>
      </c>
      <c r="O17" s="45">
        <v>33</v>
      </c>
      <c r="P17" s="45">
        <v>33</v>
      </c>
      <c r="Q17" s="45">
        <v>0</v>
      </c>
      <c r="R17" s="45">
        <v>28.4</v>
      </c>
      <c r="S17" s="45">
        <v>28.4</v>
      </c>
      <c r="T17" s="45">
        <v>28.4</v>
      </c>
      <c r="U17" s="45">
        <v>28.4</v>
      </c>
      <c r="V17" s="45">
        <v>28.4</v>
      </c>
      <c r="W17" s="45">
        <v>28.4</v>
      </c>
      <c r="X17" s="45">
        <v>28.4</v>
      </c>
      <c r="Y17" s="45">
        <v>29</v>
      </c>
      <c r="Z17" s="45">
        <v>29</v>
      </c>
      <c r="AA17" s="45">
        <v>36</v>
      </c>
      <c r="AB17" s="45">
        <v>36</v>
      </c>
      <c r="AC17" s="45">
        <v>36</v>
      </c>
      <c r="AD17" s="45">
        <v>36</v>
      </c>
      <c r="AE17" s="45">
        <v>31</v>
      </c>
      <c r="AF17" s="45">
        <v>31</v>
      </c>
      <c r="AG17" s="49">
        <v>42</v>
      </c>
      <c r="AH17" s="47">
        <f t="shared" si="4"/>
        <v>36</v>
      </c>
      <c r="AI17" s="48">
        <f t="shared" si="5"/>
        <v>0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4"/>
        <v>38</v>
      </c>
      <c r="AI18" s="48">
        <f t="shared" si="5"/>
        <v>38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0</v>
      </c>
      <c r="C19" s="45">
        <v>0</v>
      </c>
      <c r="D19" s="45">
        <v>0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0</v>
      </c>
      <c r="P19" s="45">
        <v>0</v>
      </c>
      <c r="Q19" s="45">
        <v>0</v>
      </c>
      <c r="R19" s="45">
        <v>0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4"/>
        <v>36</v>
      </c>
      <c r="AI19" s="48">
        <f t="shared" si="5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10</v>
      </c>
      <c r="C20" s="45">
        <v>10</v>
      </c>
      <c r="D20" s="45">
        <v>10</v>
      </c>
      <c r="E20" s="45">
        <v>5</v>
      </c>
      <c r="F20" s="45">
        <v>0</v>
      </c>
      <c r="G20" s="45">
        <v>0</v>
      </c>
      <c r="H20" s="45">
        <v>0</v>
      </c>
      <c r="I20" s="45">
        <v>5</v>
      </c>
      <c r="J20" s="45">
        <v>5</v>
      </c>
      <c r="K20" s="45">
        <v>5</v>
      </c>
      <c r="L20" s="45">
        <v>5</v>
      </c>
      <c r="M20" s="45">
        <v>5</v>
      </c>
      <c r="N20" s="45">
        <v>5</v>
      </c>
      <c r="O20" s="45">
        <v>5</v>
      </c>
      <c r="P20" s="45">
        <v>5</v>
      </c>
      <c r="Q20" s="45">
        <v>15</v>
      </c>
      <c r="R20" s="45">
        <v>5</v>
      </c>
      <c r="S20" s="45">
        <v>5</v>
      </c>
      <c r="T20" s="45">
        <v>5</v>
      </c>
      <c r="U20" s="45">
        <v>5</v>
      </c>
      <c r="V20" s="45">
        <v>5</v>
      </c>
      <c r="W20" s="45">
        <v>11</v>
      </c>
      <c r="X20" s="45">
        <v>11</v>
      </c>
      <c r="Y20" s="45">
        <v>11</v>
      </c>
      <c r="Z20" s="45">
        <v>11</v>
      </c>
      <c r="AA20" s="45">
        <v>30</v>
      </c>
      <c r="AB20" s="45">
        <v>26</v>
      </c>
      <c r="AC20" s="45">
        <v>26</v>
      </c>
      <c r="AD20" s="45">
        <v>26</v>
      </c>
      <c r="AE20" s="45">
        <v>15</v>
      </c>
      <c r="AF20" s="45">
        <v>15</v>
      </c>
      <c r="AG20" s="51">
        <v>30</v>
      </c>
      <c r="AH20" s="47">
        <f t="shared" si="4"/>
        <v>30</v>
      </c>
      <c r="AI20" s="48">
        <f t="shared" si="5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20.9</v>
      </c>
      <c r="C21" s="45">
        <v>20.9</v>
      </c>
      <c r="D21" s="45">
        <v>20.9</v>
      </c>
      <c r="E21" s="45">
        <v>20.9</v>
      </c>
      <c r="F21" s="45">
        <v>20.9</v>
      </c>
      <c r="G21" s="45">
        <v>20.9</v>
      </c>
      <c r="H21" s="45">
        <v>20.9</v>
      </c>
      <c r="I21" s="45">
        <v>20.9</v>
      </c>
      <c r="J21" s="45">
        <v>20.9</v>
      </c>
      <c r="K21" s="45">
        <v>20.9</v>
      </c>
      <c r="L21" s="45">
        <v>20.9</v>
      </c>
      <c r="M21" s="45">
        <v>20.9</v>
      </c>
      <c r="N21" s="45">
        <v>20.9</v>
      </c>
      <c r="O21" s="45">
        <v>20.9</v>
      </c>
      <c r="P21" s="45">
        <v>20.9</v>
      </c>
      <c r="Q21" s="45">
        <v>20.7</v>
      </c>
      <c r="R21" s="45">
        <v>20.9</v>
      </c>
      <c r="S21" s="45">
        <v>20.9</v>
      </c>
      <c r="T21" s="45">
        <v>20.9</v>
      </c>
      <c r="U21" s="45">
        <v>20.9</v>
      </c>
      <c r="V21" s="45">
        <v>20.9</v>
      </c>
      <c r="W21" s="45">
        <v>20.9</v>
      </c>
      <c r="X21" s="45">
        <v>20.9</v>
      </c>
      <c r="Y21" s="45">
        <v>20.9</v>
      </c>
      <c r="Z21" s="45">
        <v>20.9</v>
      </c>
      <c r="AA21" s="45">
        <v>20.9</v>
      </c>
      <c r="AB21" s="45">
        <v>20.9</v>
      </c>
      <c r="AC21" s="45">
        <v>20.9</v>
      </c>
      <c r="AD21" s="45">
        <v>20.9</v>
      </c>
      <c r="AE21" s="45">
        <v>20.9</v>
      </c>
      <c r="AF21" s="45">
        <v>20.9</v>
      </c>
      <c r="AG21" s="49">
        <v>24.2</v>
      </c>
      <c r="AH21" s="47">
        <f t="shared" si="4"/>
        <v>20.9</v>
      </c>
      <c r="AI21" s="48">
        <f t="shared" si="5"/>
        <v>20.7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20.6</v>
      </c>
      <c r="C22" s="45">
        <v>20.6</v>
      </c>
      <c r="D22" s="45">
        <v>20.6</v>
      </c>
      <c r="E22" s="45">
        <v>20.6</v>
      </c>
      <c r="F22" s="45">
        <v>20.6</v>
      </c>
      <c r="G22" s="45">
        <v>20.6</v>
      </c>
      <c r="H22" s="45">
        <v>20.6</v>
      </c>
      <c r="I22" s="45">
        <v>20.6</v>
      </c>
      <c r="J22" s="45">
        <v>20.6</v>
      </c>
      <c r="K22" s="45">
        <v>20.6</v>
      </c>
      <c r="L22" s="45">
        <v>20.6</v>
      </c>
      <c r="M22" s="45">
        <v>20.6</v>
      </c>
      <c r="N22" s="45">
        <v>20.6</v>
      </c>
      <c r="O22" s="45">
        <v>20.6</v>
      </c>
      <c r="P22" s="45">
        <v>20.6</v>
      </c>
      <c r="Q22" s="45">
        <v>20.6</v>
      </c>
      <c r="R22" s="45">
        <v>20.6</v>
      </c>
      <c r="S22" s="45">
        <v>20.6</v>
      </c>
      <c r="T22" s="45">
        <v>20.6</v>
      </c>
      <c r="U22" s="45">
        <v>20.6</v>
      </c>
      <c r="V22" s="45">
        <v>20.6</v>
      </c>
      <c r="W22" s="45">
        <v>20.6</v>
      </c>
      <c r="X22" s="45">
        <v>20.6</v>
      </c>
      <c r="Y22" s="45">
        <v>20.6</v>
      </c>
      <c r="Z22" s="45">
        <v>20.6</v>
      </c>
      <c r="AA22" s="45">
        <v>20.6</v>
      </c>
      <c r="AB22" s="45">
        <v>21.1</v>
      </c>
      <c r="AC22" s="45">
        <v>21.1</v>
      </c>
      <c r="AD22" s="45">
        <v>21.1</v>
      </c>
      <c r="AE22" s="45">
        <v>21.1</v>
      </c>
      <c r="AF22" s="45">
        <v>21.1</v>
      </c>
      <c r="AG22" s="49">
        <v>28</v>
      </c>
      <c r="AH22" s="47">
        <f t="shared" si="4"/>
        <v>21.1</v>
      </c>
      <c r="AI22" s="48">
        <f t="shared" si="5"/>
        <v>20.6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9</v>
      </c>
      <c r="D23" s="45">
        <v>9</v>
      </c>
      <c r="E23" s="45">
        <v>5</v>
      </c>
      <c r="F23" s="45">
        <v>0</v>
      </c>
      <c r="G23" s="45">
        <v>0</v>
      </c>
      <c r="H23" s="45">
        <v>0</v>
      </c>
      <c r="I23" s="45">
        <v>5</v>
      </c>
      <c r="J23" s="45">
        <v>5</v>
      </c>
      <c r="K23" s="45">
        <v>5</v>
      </c>
      <c r="L23" s="45">
        <v>5</v>
      </c>
      <c r="M23" s="45">
        <v>5</v>
      </c>
      <c r="N23" s="45">
        <v>5</v>
      </c>
      <c r="O23" s="45">
        <v>5</v>
      </c>
      <c r="P23" s="45">
        <v>5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4"/>
        <v>9</v>
      </c>
      <c r="AI23" s="48">
        <f t="shared" si="5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26.2</v>
      </c>
      <c r="C24" s="45">
        <v>26.2</v>
      </c>
      <c r="D24" s="45">
        <v>26.2</v>
      </c>
      <c r="E24" s="45">
        <v>26.2</v>
      </c>
      <c r="F24" s="45">
        <v>26.2</v>
      </c>
      <c r="G24" s="45">
        <v>26.2</v>
      </c>
      <c r="H24" s="45">
        <v>26.2</v>
      </c>
      <c r="I24" s="45">
        <v>26.2</v>
      </c>
      <c r="J24" s="45">
        <v>26.2</v>
      </c>
      <c r="K24" s="45">
        <v>26.2</v>
      </c>
      <c r="L24" s="45">
        <v>26.2</v>
      </c>
      <c r="M24" s="45">
        <v>26.2</v>
      </c>
      <c r="N24" s="45">
        <v>26.2</v>
      </c>
      <c r="O24" s="45">
        <v>26.2</v>
      </c>
      <c r="P24" s="45">
        <v>26.2</v>
      </c>
      <c r="Q24" s="45">
        <v>0</v>
      </c>
      <c r="R24" s="45">
        <v>25.3</v>
      </c>
      <c r="S24" s="45">
        <v>25.3</v>
      </c>
      <c r="T24" s="45">
        <v>25.3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24.6</v>
      </c>
      <c r="AA24" s="45">
        <v>24.6</v>
      </c>
      <c r="AB24" s="45">
        <v>24.5</v>
      </c>
      <c r="AC24" s="45">
        <v>24.5</v>
      </c>
      <c r="AD24" s="45">
        <v>24.5</v>
      </c>
      <c r="AE24" s="45">
        <v>24.5</v>
      </c>
      <c r="AF24" s="45">
        <v>24.5</v>
      </c>
      <c r="AG24" s="49">
        <v>25</v>
      </c>
      <c r="AH24" s="47">
        <f t="shared" si="4"/>
        <v>26.2</v>
      </c>
      <c r="AI24" s="48">
        <f t="shared" si="5"/>
        <v>0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4"/>
        <v>0</v>
      </c>
      <c r="AI25" s="48">
        <f t="shared" si="5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4"/>
        <v>25</v>
      </c>
      <c r="AI26" s="48">
        <f t="shared" si="5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8</v>
      </c>
      <c r="C27" s="45">
        <v>8</v>
      </c>
      <c r="D27" s="45">
        <v>8</v>
      </c>
      <c r="E27" s="45">
        <v>4</v>
      </c>
      <c r="F27" s="45">
        <v>0</v>
      </c>
      <c r="G27" s="45">
        <v>0</v>
      </c>
      <c r="H27" s="45">
        <v>0</v>
      </c>
      <c r="I27" s="45">
        <v>5</v>
      </c>
      <c r="J27" s="45">
        <v>5</v>
      </c>
      <c r="K27" s="45">
        <v>5</v>
      </c>
      <c r="L27" s="45">
        <v>5</v>
      </c>
      <c r="M27" s="45">
        <v>5</v>
      </c>
      <c r="N27" s="45">
        <v>5</v>
      </c>
      <c r="O27" s="45">
        <v>0</v>
      </c>
      <c r="P27" s="45">
        <v>0</v>
      </c>
      <c r="Q27" s="45">
        <v>12</v>
      </c>
      <c r="R27" s="45">
        <v>12</v>
      </c>
      <c r="S27" s="45">
        <v>15</v>
      </c>
      <c r="T27" s="45">
        <v>20</v>
      </c>
      <c r="U27" s="45">
        <v>25</v>
      </c>
      <c r="V27" s="45">
        <v>25</v>
      </c>
      <c r="W27" s="45">
        <v>25</v>
      </c>
      <c r="X27" s="45">
        <v>25</v>
      </c>
      <c r="Y27" s="45">
        <v>25</v>
      </c>
      <c r="Z27" s="45">
        <v>25</v>
      </c>
      <c r="AA27" s="45">
        <v>25</v>
      </c>
      <c r="AB27" s="45">
        <v>25</v>
      </c>
      <c r="AC27" s="45">
        <v>25</v>
      </c>
      <c r="AD27" s="45">
        <v>25</v>
      </c>
      <c r="AE27" s="45">
        <v>25</v>
      </c>
      <c r="AF27" s="45">
        <v>25</v>
      </c>
      <c r="AG27" s="49">
        <v>25</v>
      </c>
      <c r="AH27" s="47">
        <f t="shared" si="4"/>
        <v>25</v>
      </c>
      <c r="AI27" s="48">
        <f t="shared" si="5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25.7</v>
      </c>
      <c r="C28" s="45">
        <v>25.7</v>
      </c>
      <c r="D28" s="45">
        <v>25.7</v>
      </c>
      <c r="E28" s="45">
        <v>25.7</v>
      </c>
      <c r="F28" s="45">
        <v>25.7</v>
      </c>
      <c r="G28" s="45">
        <v>25.7</v>
      </c>
      <c r="H28" s="45">
        <v>25.7</v>
      </c>
      <c r="I28" s="45">
        <v>25.7</v>
      </c>
      <c r="J28" s="45">
        <v>25.7</v>
      </c>
      <c r="K28" s="45">
        <v>25.7</v>
      </c>
      <c r="L28" s="45">
        <v>25.7</v>
      </c>
      <c r="M28" s="45">
        <v>25.7</v>
      </c>
      <c r="N28" s="45">
        <v>25.7</v>
      </c>
      <c r="O28" s="45">
        <v>25.7</v>
      </c>
      <c r="P28" s="45">
        <v>25.7</v>
      </c>
      <c r="Q28" s="45">
        <v>25.7</v>
      </c>
      <c r="R28" s="45">
        <v>25.6</v>
      </c>
      <c r="S28" s="45">
        <v>25.6</v>
      </c>
      <c r="T28" s="45">
        <v>25.6</v>
      </c>
      <c r="U28" s="45">
        <v>25.6</v>
      </c>
      <c r="V28" s="45">
        <v>25.6</v>
      </c>
      <c r="W28" s="45">
        <v>25.6</v>
      </c>
      <c r="X28" s="45">
        <v>25.6</v>
      </c>
      <c r="Y28" s="45">
        <v>25.6</v>
      </c>
      <c r="Z28" s="45">
        <v>25.6</v>
      </c>
      <c r="AA28" s="45">
        <v>25.6</v>
      </c>
      <c r="AB28" s="45">
        <v>24.6</v>
      </c>
      <c r="AC28" s="45">
        <v>24.6</v>
      </c>
      <c r="AD28" s="45">
        <v>24.6</v>
      </c>
      <c r="AE28" s="45">
        <v>24.6</v>
      </c>
      <c r="AF28" s="45">
        <v>24.6</v>
      </c>
      <c r="AG28" s="49">
        <v>23.5</v>
      </c>
      <c r="AH28" s="47">
        <f t="shared" si="4"/>
        <v>25.7</v>
      </c>
      <c r="AI28" s="48">
        <f t="shared" si="5"/>
        <v>24.6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4"/>
        <v>22</v>
      </c>
      <c r="AI29" s="48">
        <f t="shared" si="5"/>
        <v>22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4"/>
        <v>0</v>
      </c>
      <c r="AI30" s="48">
        <f t="shared" si="5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4"/>
        <v>22</v>
      </c>
      <c r="AI31" s="48">
        <f t="shared" si="5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22</v>
      </c>
      <c r="C32" s="45">
        <v>22</v>
      </c>
      <c r="D32" s="45">
        <v>22</v>
      </c>
      <c r="E32" s="45">
        <v>22</v>
      </c>
      <c r="F32" s="45">
        <v>22</v>
      </c>
      <c r="G32" s="45">
        <v>22</v>
      </c>
      <c r="H32" s="45">
        <v>22</v>
      </c>
      <c r="I32" s="45">
        <v>22</v>
      </c>
      <c r="J32" s="45">
        <v>22</v>
      </c>
      <c r="K32" s="45">
        <v>22</v>
      </c>
      <c r="L32" s="45">
        <v>22</v>
      </c>
      <c r="M32" s="45">
        <v>22</v>
      </c>
      <c r="N32" s="45">
        <v>22</v>
      </c>
      <c r="O32" s="45">
        <v>22</v>
      </c>
      <c r="P32" s="45">
        <v>22</v>
      </c>
      <c r="Q32" s="45">
        <v>19.399999999999999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4"/>
        <v>22</v>
      </c>
      <c r="AI32" s="48">
        <f t="shared" si="5"/>
        <v>19.399999999999999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10</v>
      </c>
      <c r="I33" s="45">
        <v>7</v>
      </c>
      <c r="J33" s="45">
        <v>7</v>
      </c>
      <c r="K33" s="45">
        <v>7</v>
      </c>
      <c r="L33" s="45">
        <v>7</v>
      </c>
      <c r="M33" s="45">
        <v>7</v>
      </c>
      <c r="N33" s="45">
        <v>7</v>
      </c>
      <c r="O33" s="45">
        <v>7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8</v>
      </c>
      <c r="AB33" s="45">
        <v>8</v>
      </c>
      <c r="AC33" s="45">
        <v>8</v>
      </c>
      <c r="AD33" s="45">
        <v>10</v>
      </c>
      <c r="AE33" s="45">
        <v>10</v>
      </c>
      <c r="AF33" s="45">
        <v>10</v>
      </c>
      <c r="AG33" s="49">
        <v>20</v>
      </c>
      <c r="AH33" s="47">
        <f t="shared" si="4"/>
        <v>10</v>
      </c>
      <c r="AI33" s="48">
        <f t="shared" si="5"/>
        <v>5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10</v>
      </c>
      <c r="C34" s="45">
        <v>10</v>
      </c>
      <c r="D34" s="45">
        <v>10</v>
      </c>
      <c r="E34" s="45">
        <v>4</v>
      </c>
      <c r="F34" s="45">
        <v>0</v>
      </c>
      <c r="G34" s="45">
        <v>0</v>
      </c>
      <c r="H34" s="45">
        <v>4</v>
      </c>
      <c r="I34" s="45">
        <v>3</v>
      </c>
      <c r="J34" s="45">
        <v>3</v>
      </c>
      <c r="K34" s="45">
        <v>3</v>
      </c>
      <c r="L34" s="45">
        <v>3</v>
      </c>
      <c r="M34" s="45">
        <v>5</v>
      </c>
      <c r="N34" s="45">
        <v>5</v>
      </c>
      <c r="O34" s="45">
        <v>5</v>
      </c>
      <c r="P34" s="45">
        <v>5</v>
      </c>
      <c r="Q34" s="45">
        <v>3</v>
      </c>
      <c r="R34" s="45">
        <v>3</v>
      </c>
      <c r="S34" s="45">
        <v>3</v>
      </c>
      <c r="T34" s="45">
        <v>3</v>
      </c>
      <c r="U34" s="45">
        <v>5</v>
      </c>
      <c r="V34" s="45">
        <v>5</v>
      </c>
      <c r="W34" s="45">
        <v>5</v>
      </c>
      <c r="X34" s="45">
        <v>5</v>
      </c>
      <c r="Y34" s="45">
        <v>5</v>
      </c>
      <c r="Z34" s="45">
        <v>5</v>
      </c>
      <c r="AA34" s="45">
        <v>5</v>
      </c>
      <c r="AB34" s="45">
        <v>5</v>
      </c>
      <c r="AC34" s="45">
        <v>5</v>
      </c>
      <c r="AD34" s="45">
        <v>8</v>
      </c>
      <c r="AE34" s="45">
        <v>4</v>
      </c>
      <c r="AF34" s="45">
        <v>0</v>
      </c>
      <c r="AG34" s="49">
        <v>18</v>
      </c>
      <c r="AH34" s="47">
        <f t="shared" si="4"/>
        <v>10</v>
      </c>
      <c r="AI34" s="48">
        <f t="shared" si="5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4"/>
        <v>15</v>
      </c>
      <c r="AI35" s="48">
        <f t="shared" si="5"/>
        <v>15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4"/>
        <v>0</v>
      </c>
      <c r="AI36" s="48">
        <f t="shared" si="5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4"/>
        <v>5</v>
      </c>
      <c r="AI37" s="48">
        <f t="shared" si="5"/>
        <v>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4"/>
        <v>11</v>
      </c>
      <c r="AI38" s="48">
        <f t="shared" si="5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4</v>
      </c>
      <c r="C39" s="45">
        <v>4</v>
      </c>
      <c r="D39" s="45">
        <v>4</v>
      </c>
      <c r="E39" s="45">
        <v>4</v>
      </c>
      <c r="F39" s="45">
        <v>0</v>
      </c>
      <c r="G39" s="45">
        <v>0</v>
      </c>
      <c r="H39" s="45">
        <v>0</v>
      </c>
      <c r="I39" s="45">
        <v>5</v>
      </c>
      <c r="J39" s="45">
        <v>5</v>
      </c>
      <c r="K39" s="45">
        <v>5</v>
      </c>
      <c r="L39" s="45">
        <v>5</v>
      </c>
      <c r="M39" s="45">
        <v>4</v>
      </c>
      <c r="N39" s="45">
        <v>4</v>
      </c>
      <c r="O39" s="45">
        <v>4</v>
      </c>
      <c r="P39" s="45">
        <v>4</v>
      </c>
      <c r="Q39" s="45">
        <v>4</v>
      </c>
      <c r="R39" s="45">
        <v>4</v>
      </c>
      <c r="S39" s="45">
        <v>4</v>
      </c>
      <c r="T39" s="45">
        <v>4</v>
      </c>
      <c r="U39" s="45">
        <v>4</v>
      </c>
      <c r="V39" s="45">
        <v>4</v>
      </c>
      <c r="W39" s="45">
        <v>4</v>
      </c>
      <c r="X39" s="45">
        <v>4</v>
      </c>
      <c r="Y39" s="45">
        <v>4</v>
      </c>
      <c r="Z39" s="45">
        <v>4</v>
      </c>
      <c r="AA39" s="45">
        <v>12</v>
      </c>
      <c r="AB39" s="45">
        <v>12</v>
      </c>
      <c r="AC39" s="45">
        <v>12</v>
      </c>
      <c r="AD39" s="45">
        <v>12</v>
      </c>
      <c r="AE39" s="45">
        <v>6</v>
      </c>
      <c r="AF39" s="45">
        <v>6</v>
      </c>
      <c r="AG39" s="49">
        <v>12</v>
      </c>
      <c r="AH39" s="47">
        <f t="shared" si="4"/>
        <v>12</v>
      </c>
      <c r="AI39" s="48">
        <f t="shared" si="5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4"/>
        <v>12</v>
      </c>
      <c r="AI40" s="48">
        <f t="shared" si="5"/>
        <v>12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7</v>
      </c>
      <c r="C41" s="45">
        <v>7</v>
      </c>
      <c r="D41" s="45">
        <v>7</v>
      </c>
      <c r="E41" s="45">
        <v>7</v>
      </c>
      <c r="F41" s="45">
        <v>5</v>
      </c>
      <c r="G41" s="45">
        <v>5</v>
      </c>
      <c r="H41" s="45">
        <v>5</v>
      </c>
      <c r="I41" s="45">
        <v>5</v>
      </c>
      <c r="J41" s="45">
        <v>5</v>
      </c>
      <c r="K41" s="45">
        <v>5</v>
      </c>
      <c r="L41" s="45">
        <v>5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5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4"/>
        <v>12</v>
      </c>
      <c r="AI41" s="48">
        <f t="shared" si="5"/>
        <v>5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9</v>
      </c>
      <c r="C42" s="45">
        <v>9</v>
      </c>
      <c r="D42" s="45">
        <v>9</v>
      </c>
      <c r="E42" s="45">
        <v>9</v>
      </c>
      <c r="F42" s="45">
        <v>9</v>
      </c>
      <c r="G42" s="45">
        <v>9</v>
      </c>
      <c r="H42" s="45">
        <v>9</v>
      </c>
      <c r="I42" s="45">
        <v>9</v>
      </c>
      <c r="J42" s="45">
        <v>9</v>
      </c>
      <c r="K42" s="45">
        <v>9</v>
      </c>
      <c r="L42" s="45">
        <v>9</v>
      </c>
      <c r="M42" s="45">
        <v>9</v>
      </c>
      <c r="N42" s="45">
        <v>9</v>
      </c>
      <c r="O42" s="45">
        <v>9</v>
      </c>
      <c r="P42" s="45">
        <v>9</v>
      </c>
      <c r="Q42" s="45">
        <v>9</v>
      </c>
      <c r="R42" s="45">
        <v>9</v>
      </c>
      <c r="S42" s="45">
        <v>9</v>
      </c>
      <c r="T42" s="45">
        <v>9</v>
      </c>
      <c r="U42" s="45">
        <v>9</v>
      </c>
      <c r="V42" s="45">
        <v>9</v>
      </c>
      <c r="W42" s="45">
        <v>9</v>
      </c>
      <c r="X42" s="45">
        <v>9</v>
      </c>
      <c r="Y42" s="45">
        <v>9</v>
      </c>
      <c r="Z42" s="45">
        <v>9</v>
      </c>
      <c r="AA42" s="45">
        <v>9</v>
      </c>
      <c r="AB42" s="45">
        <v>9</v>
      </c>
      <c r="AC42" s="45">
        <v>9</v>
      </c>
      <c r="AD42" s="45">
        <v>9</v>
      </c>
      <c r="AE42" s="45">
        <v>9</v>
      </c>
      <c r="AF42" s="45">
        <v>9</v>
      </c>
      <c r="AG42" s="52">
        <v>22</v>
      </c>
      <c r="AH42" s="47">
        <f t="shared" si="4"/>
        <v>9</v>
      </c>
      <c r="AI42" s="48">
        <f t="shared" si="5"/>
        <v>9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11.3</v>
      </c>
      <c r="H43" s="45">
        <v>11.3</v>
      </c>
      <c r="I43" s="45">
        <v>11.3</v>
      </c>
      <c r="J43" s="45">
        <v>11.3</v>
      </c>
      <c r="K43" s="45">
        <v>11.3</v>
      </c>
      <c r="L43" s="45">
        <v>11.3</v>
      </c>
      <c r="M43" s="45">
        <v>11.3</v>
      </c>
      <c r="N43" s="45">
        <v>11.3</v>
      </c>
      <c r="O43" s="45">
        <v>11.3</v>
      </c>
      <c r="P43" s="45">
        <v>11.3</v>
      </c>
      <c r="Q43" s="45">
        <v>11.3</v>
      </c>
      <c r="R43" s="45">
        <v>11.3</v>
      </c>
      <c r="S43" s="45">
        <v>11.3</v>
      </c>
      <c r="T43" s="45">
        <v>11.3</v>
      </c>
      <c r="U43" s="45">
        <v>11.3</v>
      </c>
      <c r="V43" s="45">
        <v>11.3</v>
      </c>
      <c r="W43" s="45">
        <v>11.3</v>
      </c>
      <c r="X43" s="45">
        <v>11.3</v>
      </c>
      <c r="Y43" s="45">
        <v>11.3</v>
      </c>
      <c r="Z43" s="45">
        <v>11.3</v>
      </c>
      <c r="AA43" s="45">
        <v>11.3</v>
      </c>
      <c r="AB43" s="45">
        <v>11.3</v>
      </c>
      <c r="AC43" s="45">
        <v>11.3</v>
      </c>
      <c r="AD43" s="45">
        <v>11.3</v>
      </c>
      <c r="AE43" s="45">
        <v>11.3</v>
      </c>
      <c r="AF43" s="45">
        <v>11.3</v>
      </c>
      <c r="AG43" s="51">
        <v>11.88</v>
      </c>
      <c r="AH43" s="47">
        <f t="shared" si="4"/>
        <v>11.3</v>
      </c>
      <c r="AI43" s="48">
        <f t="shared" si="5"/>
        <v>11.3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4"/>
        <v>10.199999999999999</v>
      </c>
      <c r="AI44" s="48">
        <f t="shared" si="5"/>
        <v>10.199999999999999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10</v>
      </c>
      <c r="C45" s="45">
        <v>10</v>
      </c>
      <c r="D45" s="45">
        <v>5</v>
      </c>
      <c r="E45" s="45">
        <v>5</v>
      </c>
      <c r="F45" s="45">
        <v>5</v>
      </c>
      <c r="G45" s="45">
        <v>5</v>
      </c>
      <c r="H45" s="45">
        <v>5</v>
      </c>
      <c r="I45" s="45">
        <v>5</v>
      </c>
      <c r="J45" s="45">
        <v>5</v>
      </c>
      <c r="K45" s="45">
        <v>5</v>
      </c>
      <c r="L45" s="45">
        <v>5</v>
      </c>
      <c r="M45" s="45">
        <v>5</v>
      </c>
      <c r="N45" s="45">
        <v>5</v>
      </c>
      <c r="O45" s="45">
        <v>5</v>
      </c>
      <c r="P45" s="45">
        <v>5</v>
      </c>
      <c r="Q45" s="45">
        <v>5</v>
      </c>
      <c r="R45" s="45">
        <v>5</v>
      </c>
      <c r="S45" s="45">
        <v>5</v>
      </c>
      <c r="T45" s="45">
        <v>5</v>
      </c>
      <c r="U45" s="45">
        <v>5</v>
      </c>
      <c r="V45" s="45">
        <v>5</v>
      </c>
      <c r="W45" s="45">
        <v>5</v>
      </c>
      <c r="X45" s="45">
        <v>5</v>
      </c>
      <c r="Y45" s="45">
        <v>5</v>
      </c>
      <c r="Z45" s="45">
        <v>5</v>
      </c>
      <c r="AA45" s="45">
        <v>5</v>
      </c>
      <c r="AB45" s="45">
        <v>5</v>
      </c>
      <c r="AC45" s="45">
        <v>5</v>
      </c>
      <c r="AD45" s="45">
        <v>5</v>
      </c>
      <c r="AE45" s="45">
        <v>5</v>
      </c>
      <c r="AF45" s="45">
        <v>5</v>
      </c>
      <c r="AG45" s="54">
        <v>10</v>
      </c>
      <c r="AH45" s="47">
        <f t="shared" si="4"/>
        <v>10</v>
      </c>
      <c r="AI45" s="48">
        <f t="shared" si="5"/>
        <v>5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4"/>
        <v>10</v>
      </c>
      <c r="AI46" s="48">
        <f t="shared" si="5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4"/>
        <v>0</v>
      </c>
      <c r="AI47" s="48">
        <f t="shared" si="5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4"/>
        <v>300</v>
      </c>
      <c r="AI48" s="48">
        <f t="shared" si="5"/>
        <v>300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4"/>
        <v>0</v>
      </c>
      <c r="AI49" s="48">
        <f t="shared" si="5"/>
        <v>0</v>
      </c>
      <c r="AK49" s="74"/>
    </row>
    <row r="50" spans="1:41" ht="15.75" thickBot="1" x14ac:dyDescent="0.3">
      <c r="A50" s="58" t="s">
        <v>66</v>
      </c>
      <c r="B50" s="59">
        <f t="shared" ref="B50" si="6">SUM(B11:B48)</f>
        <v>1007.7</v>
      </c>
      <c r="C50" s="59">
        <f t="shared" ref="C50:AF50" si="7">SUM(C11:C48)</f>
        <v>981.09999999999991</v>
      </c>
      <c r="D50" s="59">
        <f t="shared" si="7"/>
        <v>917.09999999999991</v>
      </c>
      <c r="E50" s="59">
        <f t="shared" si="7"/>
        <v>970.2</v>
      </c>
      <c r="F50" s="59">
        <f t="shared" si="7"/>
        <v>935.09999999999991</v>
      </c>
      <c r="G50" s="59">
        <f t="shared" si="7"/>
        <v>935.09999999999991</v>
      </c>
      <c r="H50" s="59">
        <f t="shared" si="7"/>
        <v>949.09999999999991</v>
      </c>
      <c r="I50" s="59">
        <f t="shared" si="7"/>
        <v>982.2</v>
      </c>
      <c r="J50" s="59">
        <f t="shared" si="7"/>
        <v>980.2</v>
      </c>
      <c r="K50" s="59">
        <f t="shared" si="7"/>
        <v>980.2</v>
      </c>
      <c r="L50" s="59">
        <f t="shared" si="7"/>
        <v>980.2</v>
      </c>
      <c r="M50" s="59">
        <f t="shared" si="7"/>
        <v>990.2</v>
      </c>
      <c r="N50" s="59">
        <f t="shared" si="7"/>
        <v>990.2</v>
      </c>
      <c r="O50" s="59">
        <f t="shared" si="7"/>
        <v>949.2</v>
      </c>
      <c r="P50" s="59">
        <f t="shared" si="7"/>
        <v>949.2</v>
      </c>
      <c r="Q50" s="59">
        <f t="shared" si="7"/>
        <v>765.59999999999991</v>
      </c>
      <c r="R50" s="59">
        <v>923.2</v>
      </c>
      <c r="S50" s="59">
        <v>923.2</v>
      </c>
      <c r="T50" s="59">
        <f t="shared" si="7"/>
        <v>939.5</v>
      </c>
      <c r="U50" s="59">
        <f t="shared" si="7"/>
        <v>897.2</v>
      </c>
      <c r="V50" s="59">
        <f t="shared" si="7"/>
        <v>983.2</v>
      </c>
      <c r="W50" s="59">
        <f t="shared" si="7"/>
        <v>989.2</v>
      </c>
      <c r="X50" s="59">
        <f t="shared" si="7"/>
        <v>989.8</v>
      </c>
      <c r="Y50" s="59">
        <f t="shared" si="7"/>
        <v>1019.2</v>
      </c>
      <c r="Z50" s="59">
        <f t="shared" si="7"/>
        <v>1048.8000000000002</v>
      </c>
      <c r="AA50" s="59">
        <v>1082.8000000000002</v>
      </c>
      <c r="AB50" s="59">
        <f t="shared" si="7"/>
        <v>1089</v>
      </c>
      <c r="AC50" s="59">
        <f t="shared" si="7"/>
        <v>1088.8000000000002</v>
      </c>
      <c r="AD50" s="59">
        <f t="shared" si="7"/>
        <v>1093.8000000000002</v>
      </c>
      <c r="AE50" s="59">
        <f t="shared" si="7"/>
        <v>1067.8000000000002</v>
      </c>
      <c r="AF50" s="59">
        <f t="shared" si="7"/>
        <v>1063.8000000000002</v>
      </c>
      <c r="AG50" s="60">
        <f>SUM(AG13:AG48)</f>
        <v>922.14</v>
      </c>
      <c r="AH50" s="47">
        <f t="shared" si="4"/>
        <v>1093.8000000000002</v>
      </c>
      <c r="AI50" s="48">
        <f t="shared" si="5"/>
        <v>765.59999999999991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62">
        <v>456</v>
      </c>
      <c r="R51" s="62">
        <v>456</v>
      </c>
      <c r="S51" s="62">
        <v>456</v>
      </c>
      <c r="T51" s="62">
        <v>456</v>
      </c>
      <c r="U51" s="62">
        <v>456</v>
      </c>
      <c r="V51" s="62">
        <v>456</v>
      </c>
      <c r="W51" s="62">
        <v>456</v>
      </c>
      <c r="X51" s="62">
        <v>456</v>
      </c>
      <c r="Y51" s="62">
        <v>456</v>
      </c>
      <c r="Z51" s="62">
        <v>456</v>
      </c>
      <c r="AA51" s="62">
        <v>456</v>
      </c>
      <c r="AB51" s="62">
        <v>456</v>
      </c>
      <c r="AC51" s="62">
        <v>456</v>
      </c>
      <c r="AD51" s="62">
        <v>456</v>
      </c>
      <c r="AE51" s="62">
        <v>456</v>
      </c>
      <c r="AF51" s="62">
        <v>456</v>
      </c>
      <c r="AG51" s="51">
        <v>456</v>
      </c>
      <c r="AH51" s="47">
        <f t="shared" si="4"/>
        <v>456</v>
      </c>
      <c r="AI51" s="48">
        <f t="shared" si="5"/>
        <v>456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4"/>
        <v>55</v>
      </c>
      <c r="AI52" s="48">
        <f t="shared" si="5"/>
        <v>55</v>
      </c>
      <c r="AK52" s="74"/>
    </row>
    <row r="53" spans="1:41" ht="15.75" thickBot="1" x14ac:dyDescent="0.3">
      <c r="A53" s="65" t="s">
        <v>69</v>
      </c>
      <c r="B53" s="66">
        <v>22</v>
      </c>
      <c r="C53" s="66">
        <v>22</v>
      </c>
      <c r="D53" s="66">
        <v>22</v>
      </c>
      <c r="E53" s="66">
        <v>22</v>
      </c>
      <c r="F53" s="66">
        <v>22</v>
      </c>
      <c r="G53" s="66">
        <v>22</v>
      </c>
      <c r="H53" s="66">
        <v>22</v>
      </c>
      <c r="I53" s="66">
        <v>22</v>
      </c>
      <c r="J53" s="66">
        <v>22</v>
      </c>
      <c r="K53" s="66">
        <v>22</v>
      </c>
      <c r="L53" s="66">
        <v>22</v>
      </c>
      <c r="M53" s="66">
        <v>22</v>
      </c>
      <c r="N53" s="66">
        <v>22</v>
      </c>
      <c r="O53" s="66">
        <v>22</v>
      </c>
      <c r="P53" s="66">
        <v>22</v>
      </c>
      <c r="Q53" s="66">
        <v>22.4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4"/>
        <v>22.5</v>
      </c>
      <c r="AI53" s="48">
        <f t="shared" si="5"/>
        <v>22</v>
      </c>
      <c r="AK53" s="74"/>
    </row>
    <row r="54" spans="1:41" ht="15.75" thickBot="1" x14ac:dyDescent="0.3">
      <c r="A54" s="68" t="s">
        <v>70</v>
      </c>
      <c r="B54" s="59">
        <f t="shared" ref="B54" si="8">SUM(B51:B53)</f>
        <v>533</v>
      </c>
      <c r="C54" s="59">
        <f>SUM(C51:C53)</f>
        <v>533</v>
      </c>
      <c r="D54" s="59">
        <f>SUM(D51:D53)</f>
        <v>533</v>
      </c>
      <c r="E54" s="59">
        <f t="shared" ref="E54:AG54" si="9">SUM(E51:E53)</f>
        <v>533</v>
      </c>
      <c r="F54" s="59">
        <f t="shared" si="9"/>
        <v>533</v>
      </c>
      <c r="G54" s="59">
        <f t="shared" si="9"/>
        <v>533</v>
      </c>
      <c r="H54" s="59">
        <f t="shared" si="9"/>
        <v>533</v>
      </c>
      <c r="I54" s="59">
        <f t="shared" si="9"/>
        <v>533</v>
      </c>
      <c r="J54" s="59">
        <f t="shared" si="9"/>
        <v>533</v>
      </c>
      <c r="K54" s="59">
        <f t="shared" si="9"/>
        <v>533</v>
      </c>
      <c r="L54" s="59">
        <f t="shared" si="9"/>
        <v>533</v>
      </c>
      <c r="M54" s="59">
        <f t="shared" si="9"/>
        <v>533</v>
      </c>
      <c r="N54" s="59">
        <f t="shared" si="9"/>
        <v>533</v>
      </c>
      <c r="O54" s="59">
        <f t="shared" si="9"/>
        <v>533</v>
      </c>
      <c r="P54" s="59">
        <f t="shared" si="9"/>
        <v>533</v>
      </c>
      <c r="Q54" s="59">
        <f t="shared" si="9"/>
        <v>533.4</v>
      </c>
      <c r="R54" s="59">
        <v>533</v>
      </c>
      <c r="S54" s="59">
        <f t="shared" si="9"/>
        <v>533.5</v>
      </c>
      <c r="T54" s="59">
        <f t="shared" si="9"/>
        <v>533.5</v>
      </c>
      <c r="U54" s="59">
        <f t="shared" si="9"/>
        <v>533.5</v>
      </c>
      <c r="V54" s="59">
        <f t="shared" si="9"/>
        <v>533.5</v>
      </c>
      <c r="W54" s="59">
        <f t="shared" si="9"/>
        <v>533.5</v>
      </c>
      <c r="X54" s="59">
        <f t="shared" si="9"/>
        <v>533.5</v>
      </c>
      <c r="Y54" s="59">
        <f t="shared" si="9"/>
        <v>533.5</v>
      </c>
      <c r="Z54" s="59">
        <f t="shared" si="9"/>
        <v>533.5</v>
      </c>
      <c r="AA54" s="59">
        <v>533.5</v>
      </c>
      <c r="AB54" s="59">
        <f t="shared" si="9"/>
        <v>533.5</v>
      </c>
      <c r="AC54" s="59">
        <f t="shared" si="9"/>
        <v>533.5</v>
      </c>
      <c r="AD54" s="59">
        <f t="shared" si="9"/>
        <v>533.5</v>
      </c>
      <c r="AE54" s="59">
        <f t="shared" si="9"/>
        <v>533.5</v>
      </c>
      <c r="AF54" s="59">
        <f t="shared" si="9"/>
        <v>533.5</v>
      </c>
      <c r="AG54" s="60">
        <f t="shared" si="9"/>
        <v>538.1</v>
      </c>
      <c r="AH54" s="47">
        <f t="shared" si="4"/>
        <v>533.5</v>
      </c>
      <c r="AI54" s="48">
        <f t="shared" si="5"/>
        <v>533</v>
      </c>
      <c r="AK54" s="74"/>
    </row>
    <row r="55" spans="1:41" x14ac:dyDescent="0.25">
      <c r="A55" s="44" t="s">
        <v>71</v>
      </c>
      <c r="B55" s="45">
        <v>140.30000000000001</v>
      </c>
      <c r="C55" s="45">
        <v>140.30000000000001</v>
      </c>
      <c r="D55" s="45">
        <v>140.30000000000001</v>
      </c>
      <c r="E55" s="45">
        <v>73.2</v>
      </c>
      <c r="F55" s="45">
        <v>73.2</v>
      </c>
      <c r="G55" s="45">
        <v>73.2</v>
      </c>
      <c r="H55" s="45">
        <v>73.2</v>
      </c>
      <c r="I55" s="45">
        <v>97</v>
      </c>
      <c r="J55" s="45">
        <v>133.5</v>
      </c>
      <c r="K55" s="45">
        <v>139</v>
      </c>
      <c r="L55" s="45">
        <v>139.80000000000001</v>
      </c>
      <c r="M55" s="45">
        <v>139.80000000000001</v>
      </c>
      <c r="N55" s="45">
        <v>139.80000000000001</v>
      </c>
      <c r="O55" s="45">
        <v>139.80000000000001</v>
      </c>
      <c r="P55" s="45">
        <v>139.80000000000001</v>
      </c>
      <c r="Q55" s="45">
        <v>0</v>
      </c>
      <c r="R55" s="45">
        <v>139.80000000000001</v>
      </c>
      <c r="S55" s="45">
        <v>130</v>
      </c>
      <c r="T55" s="45">
        <v>136</v>
      </c>
      <c r="U55" s="45">
        <v>136.6</v>
      </c>
      <c r="V55" s="45">
        <v>136.6</v>
      </c>
      <c r="W55" s="45">
        <v>136.6</v>
      </c>
      <c r="X55" s="45">
        <v>136.69999999999999</v>
      </c>
      <c r="Y55" s="45">
        <v>136.69999999999999</v>
      </c>
      <c r="Z55" s="45">
        <v>136.4</v>
      </c>
      <c r="AA55" s="45">
        <v>136.4</v>
      </c>
      <c r="AB55" s="45">
        <v>139.19999999999999</v>
      </c>
      <c r="AC55" s="45">
        <v>139.19999999999999</v>
      </c>
      <c r="AD55" s="45">
        <v>139.19999999999999</v>
      </c>
      <c r="AE55" s="45">
        <v>140</v>
      </c>
      <c r="AF55" s="45">
        <v>140</v>
      </c>
      <c r="AG55" s="51">
        <v>144</v>
      </c>
      <c r="AH55" s="47">
        <f t="shared" si="4"/>
        <v>140.30000000000001</v>
      </c>
      <c r="AI55" s="48">
        <f t="shared" si="5"/>
        <v>0</v>
      </c>
      <c r="AK55" s="74"/>
    </row>
    <row r="56" spans="1:41" x14ac:dyDescent="0.25">
      <c r="A56" s="53" t="s">
        <v>72</v>
      </c>
      <c r="B56" s="45">
        <v>70.2</v>
      </c>
      <c r="C56" s="45">
        <v>70.2</v>
      </c>
      <c r="D56" s="45">
        <v>70.2</v>
      </c>
      <c r="E56" s="64">
        <v>70.2</v>
      </c>
      <c r="F56" s="64">
        <v>70.2</v>
      </c>
      <c r="G56" s="64">
        <v>70.2</v>
      </c>
      <c r="H56" s="64">
        <v>70.2</v>
      </c>
      <c r="I56" s="64">
        <v>69.8</v>
      </c>
      <c r="J56" s="64">
        <v>69</v>
      </c>
      <c r="K56" s="64">
        <v>68.900000000000006</v>
      </c>
      <c r="L56" s="64">
        <v>71</v>
      </c>
      <c r="M56" s="64">
        <v>71</v>
      </c>
      <c r="N56" s="64">
        <v>71</v>
      </c>
      <c r="O56" s="64">
        <v>71</v>
      </c>
      <c r="P56" s="64">
        <v>71</v>
      </c>
      <c r="Q56" s="64">
        <v>71.5</v>
      </c>
      <c r="R56" s="64">
        <v>71</v>
      </c>
      <c r="S56" s="45">
        <v>70.8</v>
      </c>
      <c r="T56" s="45">
        <v>70.8</v>
      </c>
      <c r="U56" s="45">
        <v>70.8</v>
      </c>
      <c r="V56" s="45">
        <v>70.8</v>
      </c>
      <c r="W56" s="45">
        <v>70.8</v>
      </c>
      <c r="X56" s="45">
        <v>70.8</v>
      </c>
      <c r="Y56" s="45">
        <v>70.7</v>
      </c>
      <c r="Z56" s="45">
        <v>69.099999999999994</v>
      </c>
      <c r="AA56" s="45">
        <v>70.7</v>
      </c>
      <c r="AB56" s="45">
        <v>68.3</v>
      </c>
      <c r="AC56" s="45">
        <v>68.3</v>
      </c>
      <c r="AD56" s="45">
        <v>68.3</v>
      </c>
      <c r="AE56" s="45">
        <v>68.3</v>
      </c>
      <c r="AF56" s="45">
        <v>68.3</v>
      </c>
      <c r="AG56" s="54">
        <v>70</v>
      </c>
      <c r="AH56" s="47">
        <f t="shared" si="4"/>
        <v>71.5</v>
      </c>
      <c r="AI56" s="48">
        <f t="shared" si="5"/>
        <v>68.3</v>
      </c>
      <c r="AK56" s="74"/>
    </row>
    <row r="57" spans="1:41" x14ac:dyDescent="0.25">
      <c r="A57" s="53" t="s">
        <v>73</v>
      </c>
      <c r="B57" s="45">
        <v>65.599999999999994</v>
      </c>
      <c r="C57" s="45">
        <v>65.599999999999994</v>
      </c>
      <c r="D57" s="45">
        <v>65.599999999999994</v>
      </c>
      <c r="E57" s="64">
        <v>64.7</v>
      </c>
      <c r="F57" s="64">
        <v>64.7</v>
      </c>
      <c r="G57" s="64">
        <v>64.7</v>
      </c>
      <c r="H57" s="64">
        <v>64.7</v>
      </c>
      <c r="I57" s="64">
        <v>64.8</v>
      </c>
      <c r="J57" s="64">
        <v>65</v>
      </c>
      <c r="K57" s="64">
        <v>64.900000000000006</v>
      </c>
      <c r="L57" s="64">
        <v>64.900000000000006</v>
      </c>
      <c r="M57" s="64">
        <v>64.900000000000006</v>
      </c>
      <c r="N57" s="64">
        <v>64.900000000000006</v>
      </c>
      <c r="O57" s="64">
        <v>64.900000000000006</v>
      </c>
      <c r="P57" s="64">
        <v>64.900000000000006</v>
      </c>
      <c r="Q57" s="64">
        <v>65.2</v>
      </c>
      <c r="R57" s="64">
        <v>64.900000000000006</v>
      </c>
      <c r="S57" s="45">
        <v>64.8</v>
      </c>
      <c r="T57" s="45">
        <v>64.8</v>
      </c>
      <c r="U57" s="45">
        <v>64.8</v>
      </c>
      <c r="V57" s="45">
        <v>64.8</v>
      </c>
      <c r="W57" s="45">
        <v>64.8</v>
      </c>
      <c r="X57" s="45">
        <v>65.400000000000006</v>
      </c>
      <c r="Y57" s="45">
        <v>65.7</v>
      </c>
      <c r="Z57" s="45">
        <v>65.5</v>
      </c>
      <c r="AA57" s="45">
        <v>65.5</v>
      </c>
      <c r="AB57" s="45">
        <v>65.5</v>
      </c>
      <c r="AC57" s="45">
        <v>65.5</v>
      </c>
      <c r="AD57" s="45">
        <v>65.5</v>
      </c>
      <c r="AE57" s="45">
        <v>65.5</v>
      </c>
      <c r="AF57" s="45">
        <v>65.5</v>
      </c>
      <c r="AG57" s="54">
        <v>69</v>
      </c>
      <c r="AH57" s="47">
        <f t="shared" si="4"/>
        <v>65.7</v>
      </c>
      <c r="AI57" s="48">
        <f t="shared" si="5"/>
        <v>64.7</v>
      </c>
      <c r="AK57" s="74"/>
    </row>
    <row r="58" spans="1:41" x14ac:dyDescent="0.25">
      <c r="A58" s="53" t="s">
        <v>74</v>
      </c>
      <c r="B58" s="45">
        <v>60.7</v>
      </c>
      <c r="C58" s="45">
        <v>60.7</v>
      </c>
      <c r="D58" s="45">
        <v>60.7</v>
      </c>
      <c r="E58" s="56">
        <v>61.4</v>
      </c>
      <c r="F58" s="56">
        <v>61.4</v>
      </c>
      <c r="G58" s="56">
        <v>61.4</v>
      </c>
      <c r="H58" s="56">
        <v>61.4</v>
      </c>
      <c r="I58" s="56">
        <v>61.4</v>
      </c>
      <c r="J58" s="56">
        <v>61.4</v>
      </c>
      <c r="K58" s="56">
        <v>61.4</v>
      </c>
      <c r="L58" s="56">
        <v>60.4</v>
      </c>
      <c r="M58" s="56">
        <v>60.4</v>
      </c>
      <c r="N58" s="56">
        <v>60.4</v>
      </c>
      <c r="O58" s="56">
        <v>60.4</v>
      </c>
      <c r="P58" s="56">
        <v>60.4</v>
      </c>
      <c r="Q58" s="64">
        <v>60</v>
      </c>
      <c r="R58" s="64">
        <v>60.4</v>
      </c>
      <c r="S58" s="45">
        <v>60.7</v>
      </c>
      <c r="T58" s="45">
        <v>60.7</v>
      </c>
      <c r="U58" s="45">
        <v>60.7</v>
      </c>
      <c r="V58" s="45">
        <v>60.7</v>
      </c>
      <c r="W58" s="45">
        <v>60.7</v>
      </c>
      <c r="X58" s="45">
        <v>60.7</v>
      </c>
      <c r="Y58" s="45">
        <v>62</v>
      </c>
      <c r="Z58" s="45">
        <v>61.7</v>
      </c>
      <c r="AA58" s="45">
        <v>29.7</v>
      </c>
      <c r="AB58" s="45">
        <v>20.9</v>
      </c>
      <c r="AC58" s="45">
        <v>20.9</v>
      </c>
      <c r="AD58" s="45">
        <v>0</v>
      </c>
      <c r="AE58" s="45">
        <v>0</v>
      </c>
      <c r="AF58" s="45">
        <v>0</v>
      </c>
      <c r="AG58" s="54">
        <v>60</v>
      </c>
      <c r="AH58" s="47">
        <f t="shared" si="4"/>
        <v>62</v>
      </c>
      <c r="AI58" s="48">
        <f t="shared" si="5"/>
        <v>0</v>
      </c>
      <c r="AK58" s="74"/>
    </row>
    <row r="59" spans="1:41" x14ac:dyDescent="0.25">
      <c r="A59" s="53" t="s">
        <v>75</v>
      </c>
      <c r="B59" s="45">
        <v>30</v>
      </c>
      <c r="C59" s="56">
        <v>15</v>
      </c>
      <c r="D59" s="56">
        <v>15</v>
      </c>
      <c r="E59" s="56">
        <v>15</v>
      </c>
      <c r="F59" s="56">
        <v>15</v>
      </c>
      <c r="G59" s="56">
        <v>15</v>
      </c>
      <c r="H59" s="56">
        <v>15</v>
      </c>
      <c r="I59" s="56">
        <v>15</v>
      </c>
      <c r="J59" s="56">
        <v>0</v>
      </c>
      <c r="K59" s="56">
        <v>0</v>
      </c>
      <c r="L59" s="56">
        <v>0</v>
      </c>
      <c r="M59" s="56">
        <v>0</v>
      </c>
      <c r="N59" s="56">
        <v>0</v>
      </c>
      <c r="O59" s="56">
        <v>30</v>
      </c>
      <c r="P59" s="56">
        <v>30</v>
      </c>
      <c r="Q59" s="64">
        <v>30</v>
      </c>
      <c r="R59" s="64">
        <v>30</v>
      </c>
      <c r="S59" s="64">
        <v>30</v>
      </c>
      <c r="T59" s="64">
        <v>30</v>
      </c>
      <c r="U59" s="64">
        <v>30</v>
      </c>
      <c r="V59" s="64">
        <v>30</v>
      </c>
      <c r="W59" s="64">
        <v>30</v>
      </c>
      <c r="X59" s="64">
        <v>30</v>
      </c>
      <c r="Y59" s="64">
        <v>30</v>
      </c>
      <c r="Z59" s="64">
        <v>30</v>
      </c>
      <c r="AA59" s="64">
        <v>30</v>
      </c>
      <c r="AB59" s="64">
        <v>30</v>
      </c>
      <c r="AC59" s="64">
        <v>30</v>
      </c>
      <c r="AD59" s="64">
        <v>30</v>
      </c>
      <c r="AE59" s="64">
        <v>30</v>
      </c>
      <c r="AF59" s="64">
        <v>30</v>
      </c>
      <c r="AG59" s="54">
        <v>30</v>
      </c>
      <c r="AH59" s="47">
        <f t="shared" si="4"/>
        <v>30</v>
      </c>
      <c r="AI59" s="48">
        <f t="shared" si="5"/>
        <v>0</v>
      </c>
      <c r="AK59" s="74"/>
    </row>
    <row r="60" spans="1:41" x14ac:dyDescent="0.25">
      <c r="A60" s="53" t="s">
        <v>76</v>
      </c>
      <c r="B60" s="45">
        <v>0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64">
        <v>0</v>
      </c>
      <c r="J60" s="64">
        <v>0</v>
      </c>
      <c r="K60" s="64">
        <v>1.4</v>
      </c>
      <c r="L60" s="64">
        <v>1.5</v>
      </c>
      <c r="M60" s="64">
        <v>1.2</v>
      </c>
      <c r="N60" s="64">
        <v>2.79</v>
      </c>
      <c r="O60" s="64">
        <v>16.3</v>
      </c>
      <c r="P60" s="64">
        <v>15.2</v>
      </c>
      <c r="Q60" s="64">
        <v>17.100000000000001</v>
      </c>
      <c r="R60" s="64">
        <v>15.2</v>
      </c>
      <c r="S60" s="64">
        <v>15.2</v>
      </c>
      <c r="T60" s="64">
        <v>15.2</v>
      </c>
      <c r="U60" s="64">
        <v>15.2</v>
      </c>
      <c r="V60" s="64">
        <v>15.2</v>
      </c>
      <c r="W60" s="64">
        <v>15.2</v>
      </c>
      <c r="X60" s="64">
        <v>1.5</v>
      </c>
      <c r="Y60" s="64">
        <v>0.5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0</v>
      </c>
      <c r="AG60" s="54">
        <v>25</v>
      </c>
      <c r="AH60" s="47">
        <f t="shared" si="4"/>
        <v>17.100000000000001</v>
      </c>
      <c r="AI60" s="48">
        <f t="shared" si="5"/>
        <v>0</v>
      </c>
      <c r="AK60" s="74"/>
    </row>
    <row r="61" spans="1:41" x14ac:dyDescent="0.25">
      <c r="A61" s="53" t="s">
        <v>77</v>
      </c>
      <c r="B61" s="64">
        <v>16</v>
      </c>
      <c r="C61" s="64">
        <v>16</v>
      </c>
      <c r="D61" s="64">
        <v>16</v>
      </c>
      <c r="E61" s="64">
        <v>16</v>
      </c>
      <c r="F61" s="64">
        <v>16</v>
      </c>
      <c r="G61" s="64">
        <v>16</v>
      </c>
      <c r="H61" s="64">
        <v>16</v>
      </c>
      <c r="I61" s="64">
        <v>16</v>
      </c>
      <c r="J61" s="64">
        <v>16</v>
      </c>
      <c r="K61" s="64">
        <v>16</v>
      </c>
      <c r="L61" s="64">
        <v>16</v>
      </c>
      <c r="M61" s="64">
        <v>16</v>
      </c>
      <c r="N61" s="64">
        <v>16</v>
      </c>
      <c r="O61" s="64">
        <v>16</v>
      </c>
      <c r="P61" s="64">
        <v>16</v>
      </c>
      <c r="Q61" s="64">
        <v>16</v>
      </c>
      <c r="R61" s="64">
        <v>16</v>
      </c>
      <c r="S61" s="64">
        <v>16</v>
      </c>
      <c r="T61" s="64">
        <v>16</v>
      </c>
      <c r="U61" s="64">
        <v>16</v>
      </c>
      <c r="V61" s="64">
        <v>16</v>
      </c>
      <c r="W61" s="64">
        <v>16</v>
      </c>
      <c r="X61" s="64">
        <v>16</v>
      </c>
      <c r="Y61" s="64">
        <v>16</v>
      </c>
      <c r="Z61" s="64">
        <v>16</v>
      </c>
      <c r="AA61" s="64">
        <v>16</v>
      </c>
      <c r="AB61" s="64">
        <v>16</v>
      </c>
      <c r="AC61" s="64">
        <v>16</v>
      </c>
      <c r="AD61" s="64">
        <v>16</v>
      </c>
      <c r="AE61" s="64">
        <v>16</v>
      </c>
      <c r="AF61" s="64">
        <v>16</v>
      </c>
      <c r="AG61" s="54">
        <v>24</v>
      </c>
      <c r="AH61" s="47">
        <f t="shared" si="4"/>
        <v>16</v>
      </c>
      <c r="AI61" s="48">
        <f t="shared" si="5"/>
        <v>16</v>
      </c>
      <c r="AK61" s="74"/>
    </row>
    <row r="62" spans="1:41" x14ac:dyDescent="0.25">
      <c r="A62" s="53" t="s">
        <v>78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>
        <v>4</v>
      </c>
      <c r="P62" s="64">
        <v>4</v>
      </c>
      <c r="Q62" s="64">
        <v>4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4"/>
        <v>4</v>
      </c>
      <c r="AI62" s="48">
        <f t="shared" si="5"/>
        <v>4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10.5</v>
      </c>
      <c r="C63" s="64">
        <v>10.5</v>
      </c>
      <c r="D63" s="64">
        <v>10.5</v>
      </c>
      <c r="E63" s="64">
        <v>10.5</v>
      </c>
      <c r="F63" s="64">
        <v>10.5</v>
      </c>
      <c r="G63" s="64">
        <v>10.5</v>
      </c>
      <c r="H63" s="64">
        <v>10.5</v>
      </c>
      <c r="I63" s="64">
        <v>11.4</v>
      </c>
      <c r="J63" s="64">
        <v>11.4</v>
      </c>
      <c r="K63" s="64">
        <v>11.4</v>
      </c>
      <c r="L63" s="64">
        <v>11.4</v>
      </c>
      <c r="M63" s="64">
        <v>11.4</v>
      </c>
      <c r="N63" s="64">
        <v>11.4</v>
      </c>
      <c r="O63" s="64">
        <v>11.4</v>
      </c>
      <c r="P63" s="64">
        <v>11.4</v>
      </c>
      <c r="Q63" s="64">
        <v>9.1999999999999993</v>
      </c>
      <c r="R63" s="64">
        <v>11.4</v>
      </c>
      <c r="S63" s="64">
        <v>11.4</v>
      </c>
      <c r="T63" s="64">
        <v>11.4</v>
      </c>
      <c r="U63" s="64">
        <v>11.4</v>
      </c>
      <c r="V63" s="64">
        <v>11.4</v>
      </c>
      <c r="W63" s="64">
        <v>11.4</v>
      </c>
      <c r="X63" s="64">
        <v>11.4</v>
      </c>
      <c r="Y63" s="64">
        <v>11.4</v>
      </c>
      <c r="Z63" s="64">
        <v>11.4</v>
      </c>
      <c r="AA63" s="64">
        <v>11.4</v>
      </c>
      <c r="AB63" s="64">
        <v>12.7</v>
      </c>
      <c r="AC63" s="64">
        <v>12.7</v>
      </c>
      <c r="AD63" s="64">
        <v>12.7</v>
      </c>
      <c r="AE63" s="64">
        <v>12.7</v>
      </c>
      <c r="AF63" s="64">
        <v>12.7</v>
      </c>
      <c r="AG63" s="54">
        <v>14.1</v>
      </c>
      <c r="AH63" s="47">
        <f t="shared" si="4"/>
        <v>12.7</v>
      </c>
      <c r="AI63" s="48">
        <f t="shared" si="5"/>
        <v>9.1999999999999993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14</v>
      </c>
      <c r="C64" s="64">
        <v>14</v>
      </c>
      <c r="D64" s="64">
        <v>14</v>
      </c>
      <c r="E64" s="64">
        <v>14</v>
      </c>
      <c r="F64" s="64">
        <v>14</v>
      </c>
      <c r="G64" s="64">
        <v>14</v>
      </c>
      <c r="H64" s="64">
        <v>5.7</v>
      </c>
      <c r="I64" s="64">
        <v>14</v>
      </c>
      <c r="J64" s="64">
        <v>14</v>
      </c>
      <c r="K64" s="64">
        <v>14</v>
      </c>
      <c r="L64" s="64">
        <v>14</v>
      </c>
      <c r="M64" s="64">
        <v>14</v>
      </c>
      <c r="N64" s="64">
        <v>14</v>
      </c>
      <c r="O64" s="64">
        <v>14</v>
      </c>
      <c r="P64" s="64">
        <v>14</v>
      </c>
      <c r="Q64" s="64">
        <v>0</v>
      </c>
      <c r="R64" s="64">
        <v>14</v>
      </c>
      <c r="S64" s="64">
        <v>14</v>
      </c>
      <c r="T64" s="64">
        <v>14</v>
      </c>
      <c r="U64" s="64">
        <v>14</v>
      </c>
      <c r="V64" s="64">
        <v>14</v>
      </c>
      <c r="W64" s="64">
        <v>14</v>
      </c>
      <c r="X64" s="64">
        <v>14</v>
      </c>
      <c r="Y64" s="64">
        <v>14</v>
      </c>
      <c r="Z64" s="64">
        <v>14</v>
      </c>
      <c r="AA64" s="64">
        <v>14</v>
      </c>
      <c r="AB64" s="64">
        <v>14.1</v>
      </c>
      <c r="AC64" s="64">
        <v>14.1</v>
      </c>
      <c r="AD64" s="64">
        <v>14.1</v>
      </c>
      <c r="AE64" s="64">
        <v>14.1</v>
      </c>
      <c r="AF64" s="64">
        <v>14.1</v>
      </c>
      <c r="AG64" s="54">
        <v>14</v>
      </c>
      <c r="AH64" s="47">
        <f t="shared" si="4"/>
        <v>14.1</v>
      </c>
      <c r="AI64" s="48">
        <f t="shared" si="5"/>
        <v>0</v>
      </c>
      <c r="AK64" s="74"/>
    </row>
    <row r="65" spans="1:40" x14ac:dyDescent="0.25">
      <c r="A65" s="53" t="s">
        <v>81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>
        <v>9</v>
      </c>
      <c r="H65" s="64">
        <v>9</v>
      </c>
      <c r="I65" s="64">
        <v>9</v>
      </c>
      <c r="J65" s="64">
        <v>9</v>
      </c>
      <c r="K65" s="64">
        <v>9</v>
      </c>
      <c r="L65" s="64">
        <v>9</v>
      </c>
      <c r="M65" s="64">
        <v>9</v>
      </c>
      <c r="N65" s="64">
        <v>9</v>
      </c>
      <c r="O65" s="64">
        <v>9</v>
      </c>
      <c r="P65" s="64">
        <v>9</v>
      </c>
      <c r="Q65" s="64">
        <v>9</v>
      </c>
      <c r="R65" s="64">
        <v>9</v>
      </c>
      <c r="S65" s="64">
        <v>9</v>
      </c>
      <c r="T65" s="64">
        <v>9</v>
      </c>
      <c r="U65" s="64">
        <v>9</v>
      </c>
      <c r="V65" s="64">
        <v>9</v>
      </c>
      <c r="W65" s="64">
        <v>9</v>
      </c>
      <c r="X65" s="64">
        <v>9</v>
      </c>
      <c r="Y65" s="64">
        <v>9</v>
      </c>
      <c r="Z65" s="64">
        <v>9</v>
      </c>
      <c r="AA65" s="64">
        <v>9</v>
      </c>
      <c r="AB65" s="64">
        <v>9</v>
      </c>
      <c r="AC65" s="64">
        <v>9</v>
      </c>
      <c r="AD65" s="64">
        <v>9</v>
      </c>
      <c r="AE65" s="64">
        <v>9</v>
      </c>
      <c r="AF65" s="64">
        <v>9</v>
      </c>
      <c r="AG65" s="54">
        <v>10.050000000000001</v>
      </c>
      <c r="AH65" s="47">
        <f t="shared" si="4"/>
        <v>9</v>
      </c>
      <c r="AI65" s="48">
        <f t="shared" si="5"/>
        <v>9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4"/>
        <v>6.2</v>
      </c>
      <c r="AI66" s="48">
        <f t="shared" si="5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4"/>
        <v>3.54</v>
      </c>
      <c r="AI67" s="48">
        <f t="shared" si="5"/>
        <v>3.54</v>
      </c>
      <c r="AK67" s="74"/>
    </row>
    <row r="68" spans="1:40" ht="15.75" thickBot="1" x14ac:dyDescent="0.3">
      <c r="A68" s="73" t="s">
        <v>84</v>
      </c>
      <c r="B68" s="59">
        <f t="shared" ref="B68" si="10">SUM(B55:B67)</f>
        <v>430.04</v>
      </c>
      <c r="C68" s="59">
        <f t="shared" ref="C68:AG68" si="11">SUM(C55:C67)</f>
        <v>415.04</v>
      </c>
      <c r="D68" s="59">
        <f t="shared" si="11"/>
        <v>415.04</v>
      </c>
      <c r="E68" s="59">
        <f t="shared" si="11"/>
        <v>347.74</v>
      </c>
      <c r="F68" s="59">
        <f t="shared" si="11"/>
        <v>347.74</v>
      </c>
      <c r="G68" s="59">
        <f t="shared" si="11"/>
        <v>347.74</v>
      </c>
      <c r="H68" s="59">
        <f t="shared" si="11"/>
        <v>339.44</v>
      </c>
      <c r="I68" s="59">
        <f t="shared" si="11"/>
        <v>372.14</v>
      </c>
      <c r="J68" s="59">
        <f t="shared" si="11"/>
        <v>393.03999999999996</v>
      </c>
      <c r="K68" s="59">
        <f t="shared" si="11"/>
        <v>399.73999999999995</v>
      </c>
      <c r="L68" s="59">
        <f t="shared" si="11"/>
        <v>401.74</v>
      </c>
      <c r="M68" s="59">
        <f t="shared" si="11"/>
        <v>401.44</v>
      </c>
      <c r="N68" s="59">
        <f t="shared" si="11"/>
        <v>403.03000000000003</v>
      </c>
      <c r="O68" s="59">
        <f t="shared" si="11"/>
        <v>446.54</v>
      </c>
      <c r="P68" s="59">
        <f t="shared" si="11"/>
        <v>445.44</v>
      </c>
      <c r="Q68" s="59">
        <f t="shared" si="11"/>
        <v>291.73999999999995</v>
      </c>
      <c r="R68" s="59">
        <v>445.44</v>
      </c>
      <c r="S68" s="59">
        <f t="shared" si="11"/>
        <v>435.64</v>
      </c>
      <c r="T68" s="59">
        <f t="shared" si="11"/>
        <v>441.64</v>
      </c>
      <c r="U68" s="59">
        <f t="shared" si="11"/>
        <v>442.23999999999995</v>
      </c>
      <c r="V68" s="59">
        <f t="shared" si="11"/>
        <v>442.23999999999995</v>
      </c>
      <c r="W68" s="59">
        <f t="shared" si="11"/>
        <v>442.23999999999995</v>
      </c>
      <c r="X68" s="59">
        <f t="shared" si="11"/>
        <v>429.23999999999995</v>
      </c>
      <c r="Y68" s="59">
        <f t="shared" si="11"/>
        <v>429.73999999999995</v>
      </c>
      <c r="Z68" s="59">
        <f t="shared" si="11"/>
        <v>426.84</v>
      </c>
      <c r="AA68" s="59">
        <v>396.44</v>
      </c>
      <c r="AB68" s="59">
        <f t="shared" si="11"/>
        <v>389.44</v>
      </c>
      <c r="AC68" s="59">
        <f t="shared" si="11"/>
        <v>389.44</v>
      </c>
      <c r="AD68" s="59">
        <f t="shared" si="11"/>
        <v>368.54</v>
      </c>
      <c r="AE68" s="59">
        <f t="shared" si="11"/>
        <v>369.34000000000003</v>
      </c>
      <c r="AF68" s="59">
        <f t="shared" si="11"/>
        <v>369.34000000000003</v>
      </c>
      <c r="AG68" s="60">
        <f t="shared" si="11"/>
        <v>489.91</v>
      </c>
      <c r="AH68" s="47">
        <f t="shared" si="4"/>
        <v>446.54</v>
      </c>
      <c r="AI68" s="48">
        <f t="shared" si="5"/>
        <v>291.73999999999995</v>
      </c>
      <c r="AK68" s="74"/>
    </row>
    <row r="69" spans="1:40" x14ac:dyDescent="0.25">
      <c r="A69" s="44" t="s">
        <v>85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>
        <v>0</v>
      </c>
      <c r="N69" s="45">
        <v>0</v>
      </c>
      <c r="O69" s="45"/>
      <c r="P69" s="45"/>
      <c r="Q69" s="45">
        <v>10</v>
      </c>
      <c r="R69" s="45">
        <v>10</v>
      </c>
      <c r="S69" s="45">
        <v>24</v>
      </c>
      <c r="T69" s="45">
        <v>14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4"/>
        <v>24</v>
      </c>
      <c r="AI69" s="48">
        <f t="shared" si="5"/>
        <v>0</v>
      </c>
      <c r="AK69" s="74"/>
    </row>
    <row r="70" spans="1:40" x14ac:dyDescent="0.25">
      <c r="A70" s="53" t="s">
        <v>86</v>
      </c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45">
        <v>0</v>
      </c>
      <c r="N70" s="45">
        <v>0</v>
      </c>
      <c r="O70" s="64"/>
      <c r="P70" s="64"/>
      <c r="Q70" s="64">
        <v>6</v>
      </c>
      <c r="R70" s="64">
        <v>4.2</v>
      </c>
      <c r="S70" s="64">
        <v>5.9</v>
      </c>
      <c r="T70" s="64">
        <v>9.5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4"/>
        <v>9.5</v>
      </c>
      <c r="AI70" s="48">
        <f t="shared" si="5"/>
        <v>0</v>
      </c>
      <c r="AK70" s="74"/>
    </row>
    <row r="71" spans="1:40" ht="15.75" thickBot="1" x14ac:dyDescent="0.3">
      <c r="A71" s="70" t="s">
        <v>87</v>
      </c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45">
        <v>0</v>
      </c>
      <c r="N71" s="45">
        <v>0</v>
      </c>
      <c r="O71" s="66"/>
      <c r="P71" s="66"/>
      <c r="Q71" s="66">
        <v>2.2000000000000002</v>
      </c>
      <c r="R71" s="66">
        <v>1.5</v>
      </c>
      <c r="S71" s="66">
        <v>2.1</v>
      </c>
      <c r="T71" s="66">
        <v>3.5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0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4"/>
        <v>3.5</v>
      </c>
      <c r="AI71" s="48">
        <f t="shared" si="5"/>
        <v>0</v>
      </c>
      <c r="AK71" s="74"/>
    </row>
    <row r="72" spans="1:40" ht="15.75" thickBot="1" x14ac:dyDescent="0.3">
      <c r="A72" s="73" t="s">
        <v>88</v>
      </c>
      <c r="B72" s="59">
        <f t="shared" ref="B72" si="12">B69+B70+B71</f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F72" si="13">M69+M70+M71</f>
        <v>0</v>
      </c>
      <c r="N72" s="59">
        <f t="shared" si="13"/>
        <v>0</v>
      </c>
      <c r="O72" s="59">
        <f t="shared" si="13"/>
        <v>0</v>
      </c>
      <c r="P72" s="59">
        <f t="shared" si="13"/>
        <v>0</v>
      </c>
      <c r="Q72" s="59">
        <f t="shared" si="13"/>
        <v>18.2</v>
      </c>
      <c r="R72" s="59">
        <v>0</v>
      </c>
      <c r="S72" s="59">
        <f t="shared" si="13"/>
        <v>32</v>
      </c>
      <c r="T72" s="59">
        <f t="shared" si="13"/>
        <v>27</v>
      </c>
      <c r="U72" s="59">
        <f t="shared" si="13"/>
        <v>0</v>
      </c>
      <c r="V72" s="59">
        <f t="shared" si="13"/>
        <v>0</v>
      </c>
      <c r="W72" s="59">
        <f t="shared" si="13"/>
        <v>0</v>
      </c>
      <c r="X72" s="59">
        <f t="shared" si="13"/>
        <v>0</v>
      </c>
      <c r="Y72" s="59">
        <f t="shared" si="13"/>
        <v>0</v>
      </c>
      <c r="Z72" s="59">
        <f t="shared" si="13"/>
        <v>0</v>
      </c>
      <c r="AA72" s="59">
        <v>0</v>
      </c>
      <c r="AB72" s="59">
        <f t="shared" ref="AB72" si="14">AB69+AB70+AB71</f>
        <v>0</v>
      </c>
      <c r="AC72" s="59">
        <f t="shared" si="13"/>
        <v>0</v>
      </c>
      <c r="AD72" s="59">
        <f t="shared" si="13"/>
        <v>0</v>
      </c>
      <c r="AE72" s="59">
        <f t="shared" si="13"/>
        <v>0</v>
      </c>
      <c r="AF72" s="59">
        <f t="shared" si="13"/>
        <v>0</v>
      </c>
      <c r="AG72" s="60">
        <f>SUM(AG69:AG71)</f>
        <v>106</v>
      </c>
      <c r="AH72" s="47">
        <f t="shared" si="4"/>
        <v>32</v>
      </c>
      <c r="AI72" s="48">
        <f t="shared" si="5"/>
        <v>0</v>
      </c>
      <c r="AK72" s="74"/>
    </row>
    <row r="73" spans="1:40" x14ac:dyDescent="0.25">
      <c r="A73" s="44" t="s">
        <v>89</v>
      </c>
      <c r="B73" s="45">
        <v>22</v>
      </c>
      <c r="C73" s="45">
        <v>36.1</v>
      </c>
      <c r="D73" s="45">
        <v>27.5</v>
      </c>
      <c r="E73" s="45">
        <v>63.9</v>
      </c>
      <c r="F73" s="45">
        <v>55.9</v>
      </c>
      <c r="G73" s="45">
        <v>54.7</v>
      </c>
      <c r="H73" s="45">
        <v>51.3</v>
      </c>
      <c r="I73" s="45">
        <v>0</v>
      </c>
      <c r="J73" s="45">
        <v>9.4</v>
      </c>
      <c r="K73" s="45">
        <v>3.7</v>
      </c>
      <c r="L73" s="45">
        <v>-3.2</v>
      </c>
      <c r="M73" s="45">
        <v>-3.2</v>
      </c>
      <c r="N73" s="45">
        <v>26.4</v>
      </c>
      <c r="O73" s="45">
        <v>-9</v>
      </c>
      <c r="P73" s="45">
        <v>-10</v>
      </c>
      <c r="Q73" s="45">
        <v>3</v>
      </c>
      <c r="R73" s="45">
        <v>5</v>
      </c>
      <c r="S73" s="45">
        <v>35</v>
      </c>
      <c r="T73" s="45">
        <v>42.8</v>
      </c>
      <c r="U73" s="45">
        <v>40</v>
      </c>
      <c r="V73" s="45">
        <v>36</v>
      </c>
      <c r="W73" s="45">
        <v>27.4</v>
      </c>
      <c r="X73" s="45">
        <v>25.7</v>
      </c>
      <c r="Y73" s="45">
        <v>21.4</v>
      </c>
      <c r="Z73" s="45">
        <v>0</v>
      </c>
      <c r="AA73" s="45">
        <v>25.9</v>
      </c>
      <c r="AB73" s="45">
        <v>41</v>
      </c>
      <c r="AC73" s="45">
        <v>42.7</v>
      </c>
      <c r="AD73" s="45">
        <v>22.5</v>
      </c>
      <c r="AE73" s="45">
        <v>19</v>
      </c>
      <c r="AF73" s="45">
        <v>15</v>
      </c>
      <c r="AG73" s="51"/>
      <c r="AH73" s="47">
        <f t="shared" si="4"/>
        <v>63.9</v>
      </c>
      <c r="AI73" s="48">
        <f t="shared" si="5"/>
        <v>-10</v>
      </c>
      <c r="AK73" s="74"/>
    </row>
    <row r="74" spans="1:40" x14ac:dyDescent="0.25">
      <c r="A74" s="53" t="s">
        <v>90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>
        <v>0</v>
      </c>
      <c r="N74" s="64">
        <v>0</v>
      </c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4"/>
        <v>0</v>
      </c>
      <c r="AI74" s="48">
        <f t="shared" si="5"/>
        <v>0</v>
      </c>
      <c r="AK74" s="74"/>
    </row>
    <row r="75" spans="1:40" x14ac:dyDescent="0.25">
      <c r="A75" s="53" t="s">
        <v>91</v>
      </c>
      <c r="B75" s="64">
        <v>-346</v>
      </c>
      <c r="C75" s="64">
        <v>-389</v>
      </c>
      <c r="D75" s="64">
        <v>-372.3</v>
      </c>
      <c r="E75" s="64">
        <v>-402</v>
      </c>
      <c r="F75" s="64">
        <v>-416</v>
      </c>
      <c r="G75" s="64">
        <v>-411</v>
      </c>
      <c r="H75" s="64">
        <v>-409.3</v>
      </c>
      <c r="I75" s="64">
        <v>-465.5</v>
      </c>
      <c r="J75" s="64">
        <v>-464.7</v>
      </c>
      <c r="K75" s="64">
        <v>-480.5</v>
      </c>
      <c r="L75" s="64">
        <v>-437</v>
      </c>
      <c r="M75" s="64">
        <v>-437</v>
      </c>
      <c r="N75" s="64">
        <v>-388</v>
      </c>
      <c r="O75" s="64">
        <v>-361</v>
      </c>
      <c r="P75" s="64">
        <v>-311</v>
      </c>
      <c r="Q75" s="64">
        <v>-312</v>
      </c>
      <c r="R75" s="64">
        <v>-348</v>
      </c>
      <c r="S75" s="64">
        <v>-317</v>
      </c>
      <c r="T75" s="64">
        <v>-340</v>
      </c>
      <c r="U75" s="64">
        <v>-372</v>
      </c>
      <c r="V75" s="64">
        <v>-415</v>
      </c>
      <c r="W75" s="64">
        <v>-439</v>
      </c>
      <c r="X75" s="64">
        <v>-450</v>
      </c>
      <c r="Y75" s="64">
        <v>-471.5</v>
      </c>
      <c r="Z75" s="64">
        <v>-368.3</v>
      </c>
      <c r="AA75" s="64">
        <v>-296.5</v>
      </c>
      <c r="AB75" s="64">
        <v>-306</v>
      </c>
      <c r="AC75" s="64">
        <v>-295</v>
      </c>
      <c r="AD75" s="64">
        <v>-309</v>
      </c>
      <c r="AE75" s="64">
        <v>-331.3</v>
      </c>
      <c r="AF75" s="64">
        <v>-318</v>
      </c>
      <c r="AG75" s="75"/>
      <c r="AH75" s="47">
        <f t="shared" si="4"/>
        <v>-295</v>
      </c>
      <c r="AI75" s="48">
        <f t="shared" si="5"/>
        <v>-480.5</v>
      </c>
      <c r="AK75" s="74"/>
    </row>
    <row r="76" spans="1:40" x14ac:dyDescent="0.25">
      <c r="A76" s="53" t="s">
        <v>92</v>
      </c>
      <c r="B76" s="76">
        <v>0</v>
      </c>
      <c r="C76" s="76">
        <v>0</v>
      </c>
      <c r="D76" s="76">
        <v>0</v>
      </c>
      <c r="E76" s="76">
        <v>0</v>
      </c>
      <c r="F76" s="76">
        <v>14</v>
      </c>
      <c r="G76" s="76">
        <v>14</v>
      </c>
      <c r="H76" s="76">
        <v>14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75"/>
      <c r="AH76" s="47">
        <f t="shared" si="4"/>
        <v>14</v>
      </c>
      <c r="AI76" s="48">
        <f t="shared" si="5"/>
        <v>0</v>
      </c>
      <c r="AK76" s="74"/>
    </row>
    <row r="77" spans="1:40" x14ac:dyDescent="0.25">
      <c r="A77" s="53" t="s">
        <v>93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76">
        <v>0</v>
      </c>
      <c r="N77" s="76">
        <v>0</v>
      </c>
      <c r="O77" s="76">
        <v>0</v>
      </c>
      <c r="P77" s="76">
        <v>0</v>
      </c>
      <c r="Q77" s="76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si="4"/>
        <v>0</v>
      </c>
      <c r="AI77" s="48">
        <f t="shared" si="5"/>
        <v>0</v>
      </c>
      <c r="AK77" s="74"/>
    </row>
    <row r="78" spans="1:40" x14ac:dyDescent="0.25">
      <c r="A78" s="53" t="s">
        <v>94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4"/>
        <v>0</v>
      </c>
      <c r="AI78" s="48">
        <f t="shared" si="5"/>
        <v>0</v>
      </c>
      <c r="AK78" s="74"/>
    </row>
    <row r="79" spans="1:40" ht="15.75" thickBot="1" x14ac:dyDescent="0.3">
      <c r="A79" s="53" t="s">
        <v>95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4"/>
        <v>0</v>
      </c>
      <c r="AI79" s="48">
        <f t="shared" si="5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6">
        <v>0</v>
      </c>
      <c r="N80" s="76">
        <v>0</v>
      </c>
      <c r="O80" s="76">
        <v>0</v>
      </c>
      <c r="P80" s="76">
        <v>0</v>
      </c>
      <c r="Q80" s="76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ref="AH80:AH120" si="15">MAX(B80:AF80)</f>
        <v>0</v>
      </c>
      <c r="AI80" s="48">
        <f t="shared" ref="AI80:AI120" si="16">MIN(B80:AF80)</f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5"/>
        <v>0</v>
      </c>
      <c r="AI81" s="48">
        <f t="shared" si="16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6">
        <v>0</v>
      </c>
      <c r="N82" s="76">
        <v>0</v>
      </c>
      <c r="O82" s="76">
        <v>0</v>
      </c>
      <c r="P82" s="76">
        <v>0</v>
      </c>
      <c r="Q82" s="76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5"/>
        <v>0</v>
      </c>
      <c r="AI82" s="48">
        <f t="shared" si="16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5"/>
        <v>0</v>
      </c>
      <c r="AI83" s="48">
        <f t="shared" si="16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" si="17">SUMIF(B73:B83,"&gt;0")</f>
        <v>22</v>
      </c>
      <c r="C84" s="59">
        <f t="shared" ref="C84:AF84" si="18">SUMIF(C73:C83,"&gt;0")</f>
        <v>36.1</v>
      </c>
      <c r="D84" s="59">
        <f t="shared" si="18"/>
        <v>27.5</v>
      </c>
      <c r="E84" s="59">
        <f t="shared" si="18"/>
        <v>63.9</v>
      </c>
      <c r="F84" s="59">
        <f t="shared" si="18"/>
        <v>69.900000000000006</v>
      </c>
      <c r="G84" s="59">
        <f t="shared" si="18"/>
        <v>68.7</v>
      </c>
      <c r="H84" s="59">
        <f t="shared" si="18"/>
        <v>65.3</v>
      </c>
      <c r="I84" s="59">
        <f t="shared" si="18"/>
        <v>0</v>
      </c>
      <c r="J84" s="59">
        <f t="shared" si="18"/>
        <v>9.4</v>
      </c>
      <c r="K84" s="59">
        <f t="shared" si="18"/>
        <v>3.7</v>
      </c>
      <c r="L84" s="59">
        <f t="shared" si="18"/>
        <v>0</v>
      </c>
      <c r="M84" s="59">
        <f t="shared" si="18"/>
        <v>0</v>
      </c>
      <c r="N84" s="59">
        <f t="shared" si="18"/>
        <v>26.4</v>
      </c>
      <c r="O84" s="59">
        <f t="shared" si="18"/>
        <v>0</v>
      </c>
      <c r="P84" s="59">
        <f t="shared" si="18"/>
        <v>0</v>
      </c>
      <c r="Q84" s="59">
        <f t="shared" si="18"/>
        <v>3</v>
      </c>
      <c r="R84" s="59">
        <f t="shared" si="18"/>
        <v>5</v>
      </c>
      <c r="S84" s="59">
        <f t="shared" si="18"/>
        <v>35</v>
      </c>
      <c r="T84" s="59">
        <f t="shared" si="18"/>
        <v>42.8</v>
      </c>
      <c r="U84" s="59">
        <f t="shared" si="18"/>
        <v>40</v>
      </c>
      <c r="V84" s="59">
        <f t="shared" si="18"/>
        <v>36</v>
      </c>
      <c r="W84" s="59">
        <f t="shared" si="18"/>
        <v>27.4</v>
      </c>
      <c r="X84" s="59">
        <f t="shared" si="18"/>
        <v>25.7</v>
      </c>
      <c r="Y84" s="59">
        <f t="shared" si="18"/>
        <v>21.4</v>
      </c>
      <c r="Z84" s="59">
        <v>0</v>
      </c>
      <c r="AA84" s="59">
        <f t="shared" si="18"/>
        <v>25.9</v>
      </c>
      <c r="AB84" s="59">
        <f t="shared" si="18"/>
        <v>41</v>
      </c>
      <c r="AC84" s="59">
        <v>0</v>
      </c>
      <c r="AD84" s="59">
        <f t="shared" si="18"/>
        <v>22.5</v>
      </c>
      <c r="AE84" s="59">
        <f t="shared" si="18"/>
        <v>19</v>
      </c>
      <c r="AF84" s="59">
        <f t="shared" si="18"/>
        <v>15</v>
      </c>
      <c r="AG84" s="88">
        <f>SUM(AG73:AG83)</f>
        <v>0</v>
      </c>
      <c r="AH84" s="47">
        <f t="shared" si="15"/>
        <v>69.900000000000006</v>
      </c>
      <c r="AI84" s="48">
        <f t="shared" si="16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5"/>
        <v>0</v>
      </c>
      <c r="AI85" s="48">
        <f t="shared" si="16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5"/>
        <v>0</v>
      </c>
      <c r="AI86" s="48">
        <f t="shared" si="16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5"/>
        <v>0</v>
      </c>
      <c r="AI87" s="48">
        <f t="shared" si="16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15"/>
        <v>0</v>
      </c>
      <c r="AI88" s="48">
        <f t="shared" si="16"/>
        <v>0</v>
      </c>
    </row>
    <row r="89" spans="1:40" ht="15.75" thickBot="1" x14ac:dyDescent="0.3">
      <c r="A89" s="73" t="s">
        <v>108</v>
      </c>
      <c r="B89" s="95">
        <f t="shared" ref="B89" si="19">B50+B54+B72+B68+B84+B88</f>
        <v>1992.74</v>
      </c>
      <c r="C89" s="95">
        <f t="shared" ref="C89:AG89" si="20">C50+C54+C72+C68+C84+C88</f>
        <v>1965.2399999999998</v>
      </c>
      <c r="D89" s="95">
        <f t="shared" si="20"/>
        <v>1892.6399999999999</v>
      </c>
      <c r="E89" s="95">
        <f t="shared" si="20"/>
        <v>1914.8400000000001</v>
      </c>
      <c r="F89" s="95">
        <f t="shared" si="20"/>
        <v>1885.74</v>
      </c>
      <c r="G89" s="95">
        <f t="shared" si="20"/>
        <v>1884.54</v>
      </c>
      <c r="H89" s="95">
        <f t="shared" si="20"/>
        <v>1886.84</v>
      </c>
      <c r="I89" s="95">
        <f t="shared" si="20"/>
        <v>1887.3400000000001</v>
      </c>
      <c r="J89" s="95">
        <f t="shared" si="20"/>
        <v>1915.64</v>
      </c>
      <c r="K89" s="95">
        <f t="shared" si="20"/>
        <v>1916.64</v>
      </c>
      <c r="L89" s="95">
        <f t="shared" si="20"/>
        <v>1914.94</v>
      </c>
      <c r="M89" s="95">
        <f t="shared" si="20"/>
        <v>1924.64</v>
      </c>
      <c r="N89" s="95">
        <f t="shared" si="20"/>
        <v>1952.63</v>
      </c>
      <c r="O89" s="95">
        <f t="shared" si="20"/>
        <v>1928.74</v>
      </c>
      <c r="P89" s="95">
        <f t="shared" si="20"/>
        <v>1927.64</v>
      </c>
      <c r="Q89" s="95">
        <f t="shared" si="20"/>
        <v>1611.94</v>
      </c>
      <c r="R89" s="95">
        <f t="shared" si="20"/>
        <v>1906.64</v>
      </c>
      <c r="S89" s="95">
        <f t="shared" si="20"/>
        <v>1959.3400000000001</v>
      </c>
      <c r="T89" s="95">
        <f t="shared" si="20"/>
        <v>1984.4399999999998</v>
      </c>
      <c r="U89" s="95">
        <f t="shared" si="20"/>
        <v>1912.94</v>
      </c>
      <c r="V89" s="95">
        <f t="shared" si="20"/>
        <v>1994.94</v>
      </c>
      <c r="W89" s="95">
        <f t="shared" si="20"/>
        <v>1992.3400000000001</v>
      </c>
      <c r="X89" s="95">
        <f t="shared" si="20"/>
        <v>1978.24</v>
      </c>
      <c r="Y89" s="95">
        <f t="shared" si="20"/>
        <v>2003.8400000000001</v>
      </c>
      <c r="Z89" s="95">
        <f t="shared" si="20"/>
        <v>2009.14</v>
      </c>
      <c r="AA89" s="95">
        <f t="shared" si="20"/>
        <v>2038.6400000000003</v>
      </c>
      <c r="AB89" s="95">
        <f t="shared" si="20"/>
        <v>2052.94</v>
      </c>
      <c r="AC89" s="95">
        <f t="shared" si="20"/>
        <v>2011.7400000000002</v>
      </c>
      <c r="AD89" s="95">
        <f t="shared" si="20"/>
        <v>2018.3400000000001</v>
      </c>
      <c r="AE89" s="95">
        <f t="shared" si="20"/>
        <v>1989.6400000000003</v>
      </c>
      <c r="AF89" s="95">
        <f t="shared" si="20"/>
        <v>1981.6400000000003</v>
      </c>
      <c r="AG89" s="60">
        <f t="shared" si="20"/>
        <v>2111.5500000000002</v>
      </c>
      <c r="AH89" s="47">
        <f t="shared" si="15"/>
        <v>2052.94</v>
      </c>
      <c r="AI89" s="48">
        <f t="shared" si="16"/>
        <v>1611.94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>
        <v>250</v>
      </c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15"/>
        <v>250</v>
      </c>
      <c r="AI90" s="48">
        <f t="shared" si="16"/>
        <v>250</v>
      </c>
    </row>
    <row r="91" spans="1:40" ht="15.75" thickBot="1" x14ac:dyDescent="0.3">
      <c r="A91" s="73" t="s">
        <v>110</v>
      </c>
      <c r="B91" s="95">
        <f t="shared" ref="B91" si="21">B89+B90</f>
        <v>1992.74</v>
      </c>
      <c r="C91" s="95">
        <f t="shared" ref="C91:AF91" si="22">C89+C90</f>
        <v>1965.2399999999998</v>
      </c>
      <c r="D91" s="95">
        <f t="shared" si="22"/>
        <v>1892.6399999999999</v>
      </c>
      <c r="E91" s="95">
        <f t="shared" si="22"/>
        <v>1914.8400000000001</v>
      </c>
      <c r="F91" s="95">
        <f t="shared" si="22"/>
        <v>1885.74</v>
      </c>
      <c r="G91" s="95">
        <f t="shared" si="22"/>
        <v>1884.54</v>
      </c>
      <c r="H91" s="95">
        <f t="shared" si="22"/>
        <v>1886.84</v>
      </c>
      <c r="I91" s="95">
        <f t="shared" si="22"/>
        <v>1887.3400000000001</v>
      </c>
      <c r="J91" s="95">
        <f t="shared" si="22"/>
        <v>1915.64</v>
      </c>
      <c r="K91" s="95">
        <f t="shared" si="22"/>
        <v>1916.64</v>
      </c>
      <c r="L91" s="95">
        <f t="shared" si="22"/>
        <v>1914.94</v>
      </c>
      <c r="M91" s="95">
        <f t="shared" si="22"/>
        <v>1924.64</v>
      </c>
      <c r="N91" s="95">
        <f t="shared" si="22"/>
        <v>1952.63</v>
      </c>
      <c r="O91" s="95">
        <f t="shared" si="22"/>
        <v>1928.74</v>
      </c>
      <c r="P91" s="95">
        <f t="shared" si="22"/>
        <v>1927.64</v>
      </c>
      <c r="Q91" s="95">
        <f t="shared" si="22"/>
        <v>1861.94</v>
      </c>
      <c r="R91" s="95">
        <f t="shared" si="22"/>
        <v>1906.64</v>
      </c>
      <c r="S91" s="95">
        <f t="shared" si="22"/>
        <v>1959.3400000000001</v>
      </c>
      <c r="T91" s="95">
        <f t="shared" si="22"/>
        <v>1984.4399999999998</v>
      </c>
      <c r="U91" s="95">
        <f t="shared" si="22"/>
        <v>1912.94</v>
      </c>
      <c r="V91" s="95">
        <f t="shared" si="22"/>
        <v>1994.94</v>
      </c>
      <c r="W91" s="95">
        <f t="shared" si="22"/>
        <v>1992.3400000000001</v>
      </c>
      <c r="X91" s="95">
        <f t="shared" si="22"/>
        <v>1978.24</v>
      </c>
      <c r="Y91" s="95">
        <f t="shared" si="22"/>
        <v>2003.8400000000001</v>
      </c>
      <c r="Z91" s="95">
        <f t="shared" si="22"/>
        <v>2009.14</v>
      </c>
      <c r="AA91" s="95">
        <f t="shared" si="22"/>
        <v>2038.6400000000003</v>
      </c>
      <c r="AB91" s="95">
        <f t="shared" si="22"/>
        <v>2052.94</v>
      </c>
      <c r="AC91" s="95">
        <f t="shared" si="22"/>
        <v>2011.7400000000002</v>
      </c>
      <c r="AD91" s="95">
        <f t="shared" si="22"/>
        <v>2018.3400000000001</v>
      </c>
      <c r="AE91" s="95">
        <f t="shared" si="22"/>
        <v>1989.6400000000003</v>
      </c>
      <c r="AF91" s="95">
        <f t="shared" si="22"/>
        <v>1981.6400000000003</v>
      </c>
      <c r="AG91" s="88">
        <f>AG88+AG84+AG72+AG68+AG50+AG90</f>
        <v>1573.45</v>
      </c>
      <c r="AH91" s="47">
        <f t="shared" si="15"/>
        <v>2052.94</v>
      </c>
      <c r="AI91" s="48">
        <f t="shared" si="16"/>
        <v>1861.94</v>
      </c>
    </row>
    <row r="92" spans="1:40" ht="15.75" thickBot="1" x14ac:dyDescent="0.3">
      <c r="A92" s="73" t="s">
        <v>111</v>
      </c>
      <c r="B92" s="95">
        <f t="shared" ref="B92" si="23">B91-B99</f>
        <v>1992.74</v>
      </c>
      <c r="C92" s="95">
        <f t="shared" ref="C92:AF92" si="24">C91-C99</f>
        <v>1965.2399999999998</v>
      </c>
      <c r="D92" s="95">
        <f t="shared" si="24"/>
        <v>1892.6399999999999</v>
      </c>
      <c r="E92" s="95">
        <f t="shared" si="24"/>
        <v>1914.8400000000001</v>
      </c>
      <c r="F92" s="95">
        <f t="shared" si="24"/>
        <v>1885.74</v>
      </c>
      <c r="G92" s="95">
        <f t="shared" si="24"/>
        <v>1884.54</v>
      </c>
      <c r="H92" s="95">
        <f t="shared" si="24"/>
        <v>1886.84</v>
      </c>
      <c r="I92" s="95">
        <f t="shared" si="24"/>
        <v>1887.3400000000001</v>
      </c>
      <c r="J92" s="95">
        <f t="shared" si="24"/>
        <v>1915.64</v>
      </c>
      <c r="K92" s="95">
        <f t="shared" si="24"/>
        <v>1916.64</v>
      </c>
      <c r="L92" s="95">
        <f t="shared" si="24"/>
        <v>1914.94</v>
      </c>
      <c r="M92" s="95">
        <f t="shared" si="24"/>
        <v>1924.64</v>
      </c>
      <c r="N92" s="95">
        <f t="shared" si="24"/>
        <v>1952.63</v>
      </c>
      <c r="O92" s="95">
        <f t="shared" si="24"/>
        <v>1928.74</v>
      </c>
      <c r="P92" s="95">
        <f t="shared" si="24"/>
        <v>1927.64</v>
      </c>
      <c r="Q92" s="95">
        <f t="shared" si="24"/>
        <v>1861.94</v>
      </c>
      <c r="R92" s="95">
        <f t="shared" si="24"/>
        <v>1906.64</v>
      </c>
      <c r="S92" s="95">
        <f t="shared" si="24"/>
        <v>1959.3400000000001</v>
      </c>
      <c r="T92" s="95">
        <f t="shared" si="24"/>
        <v>1984.4399999999998</v>
      </c>
      <c r="U92" s="95">
        <f t="shared" si="24"/>
        <v>1912.94</v>
      </c>
      <c r="V92" s="95">
        <f t="shared" si="24"/>
        <v>1994.94</v>
      </c>
      <c r="W92" s="95">
        <f t="shared" si="24"/>
        <v>1992.3400000000001</v>
      </c>
      <c r="X92" s="95">
        <f t="shared" si="24"/>
        <v>1978.24</v>
      </c>
      <c r="Y92" s="95">
        <f t="shared" si="24"/>
        <v>2003.8400000000001</v>
      </c>
      <c r="Z92" s="95">
        <f t="shared" si="24"/>
        <v>2009.14</v>
      </c>
      <c r="AA92" s="95">
        <f t="shared" si="24"/>
        <v>2038.6400000000003</v>
      </c>
      <c r="AB92" s="95">
        <f t="shared" si="24"/>
        <v>2052.94</v>
      </c>
      <c r="AC92" s="95">
        <f t="shared" si="24"/>
        <v>2011.7400000000002</v>
      </c>
      <c r="AD92" s="95">
        <f t="shared" si="24"/>
        <v>2018.3400000000001</v>
      </c>
      <c r="AE92" s="95">
        <f t="shared" si="24"/>
        <v>1989.6400000000003</v>
      </c>
      <c r="AF92" s="95">
        <f t="shared" si="24"/>
        <v>1981.6400000000003</v>
      </c>
      <c r="AG92" s="88"/>
      <c r="AH92" s="47">
        <f t="shared" si="15"/>
        <v>2052.94</v>
      </c>
      <c r="AI92" s="48">
        <f t="shared" si="16"/>
        <v>1861.94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5"/>
        <v>0</v>
      </c>
      <c r="AI93" s="48">
        <f t="shared" si="16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5"/>
        <v>0</v>
      </c>
      <c r="AI94" s="48">
        <f t="shared" si="16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5"/>
        <v>0</v>
      </c>
      <c r="AI95" s="48">
        <f t="shared" si="16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5"/>
        <v>0</v>
      </c>
      <c r="AI96" s="48">
        <f t="shared" si="16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5"/>
        <v>0</v>
      </c>
      <c r="AI97" s="48">
        <f t="shared" si="16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5"/>
        <v>0</v>
      </c>
      <c r="AI98" s="48">
        <f t="shared" si="16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15"/>
        <v>0</v>
      </c>
      <c r="AI99" s="48">
        <f t="shared" si="16"/>
        <v>0</v>
      </c>
      <c r="AK99" s="74"/>
    </row>
    <row r="100" spans="1:37" ht="15.75" thickBot="1" x14ac:dyDescent="0.3">
      <c r="A100" s="73" t="s">
        <v>116</v>
      </c>
      <c r="B100" s="59">
        <f t="shared" ref="B100" si="25">B84-B99</f>
        <v>22</v>
      </c>
      <c r="C100" s="59">
        <f t="shared" ref="C100:AF100" si="26">C84-C99</f>
        <v>36.1</v>
      </c>
      <c r="D100" s="59">
        <f t="shared" si="26"/>
        <v>27.5</v>
      </c>
      <c r="E100" s="59">
        <f t="shared" si="26"/>
        <v>63.9</v>
      </c>
      <c r="F100" s="59">
        <f t="shared" si="26"/>
        <v>69.900000000000006</v>
      </c>
      <c r="G100" s="59">
        <f t="shared" si="26"/>
        <v>68.7</v>
      </c>
      <c r="H100" s="59">
        <f t="shared" si="26"/>
        <v>65.3</v>
      </c>
      <c r="I100" s="59">
        <f t="shared" si="26"/>
        <v>0</v>
      </c>
      <c r="J100" s="59">
        <f t="shared" si="26"/>
        <v>9.4</v>
      </c>
      <c r="K100" s="59">
        <f t="shared" si="26"/>
        <v>3.7</v>
      </c>
      <c r="L100" s="59">
        <f t="shared" si="26"/>
        <v>0</v>
      </c>
      <c r="M100" s="59">
        <f t="shared" si="26"/>
        <v>0</v>
      </c>
      <c r="N100" s="59">
        <f t="shared" si="26"/>
        <v>26.4</v>
      </c>
      <c r="O100" s="59">
        <f t="shared" si="26"/>
        <v>0</v>
      </c>
      <c r="P100" s="59">
        <f t="shared" si="26"/>
        <v>0</v>
      </c>
      <c r="Q100" s="59">
        <f t="shared" si="26"/>
        <v>3</v>
      </c>
      <c r="R100" s="59">
        <f t="shared" si="26"/>
        <v>5</v>
      </c>
      <c r="S100" s="59">
        <f t="shared" si="26"/>
        <v>35</v>
      </c>
      <c r="T100" s="59">
        <f t="shared" si="26"/>
        <v>42.8</v>
      </c>
      <c r="U100" s="59">
        <f t="shared" si="26"/>
        <v>40</v>
      </c>
      <c r="V100" s="59">
        <f t="shared" si="26"/>
        <v>36</v>
      </c>
      <c r="W100" s="59">
        <f t="shared" si="26"/>
        <v>27.4</v>
      </c>
      <c r="X100" s="59">
        <f t="shared" si="26"/>
        <v>25.7</v>
      </c>
      <c r="Y100" s="59">
        <f t="shared" si="26"/>
        <v>21.4</v>
      </c>
      <c r="Z100" s="59">
        <f t="shared" si="26"/>
        <v>0</v>
      </c>
      <c r="AA100" s="59">
        <f t="shared" si="26"/>
        <v>25.9</v>
      </c>
      <c r="AB100" s="59">
        <f t="shared" si="26"/>
        <v>41</v>
      </c>
      <c r="AC100" s="59">
        <f t="shared" si="26"/>
        <v>0</v>
      </c>
      <c r="AD100" s="59">
        <f t="shared" si="26"/>
        <v>22.5</v>
      </c>
      <c r="AE100" s="59">
        <f t="shared" si="26"/>
        <v>19</v>
      </c>
      <c r="AF100" s="59">
        <f t="shared" si="26"/>
        <v>15</v>
      </c>
      <c r="AG100" s="88"/>
      <c r="AH100" s="47">
        <f t="shared" si="15"/>
        <v>69.900000000000006</v>
      </c>
      <c r="AI100" s="48">
        <f t="shared" si="16"/>
        <v>0</v>
      </c>
    </row>
    <row r="101" spans="1:37" x14ac:dyDescent="0.25">
      <c r="A101" s="100" t="s">
        <v>117</v>
      </c>
      <c r="B101" s="101">
        <v>49.987000000000002</v>
      </c>
      <c r="C101" s="101">
        <v>50.023000000000003</v>
      </c>
      <c r="D101" s="101">
        <v>49.959000000000003</v>
      </c>
      <c r="E101" s="101">
        <v>49.970999999999997</v>
      </c>
      <c r="F101" s="101">
        <v>49.905000000000001</v>
      </c>
      <c r="G101" s="101">
        <v>49.954999999999998</v>
      </c>
      <c r="H101" s="101">
        <v>49.9</v>
      </c>
      <c r="I101" s="101">
        <v>50</v>
      </c>
      <c r="J101" s="101">
        <v>50.7</v>
      </c>
      <c r="K101" s="101">
        <v>50.073999999999998</v>
      </c>
      <c r="L101" s="101">
        <v>49.984999999999999</v>
      </c>
      <c r="M101" s="101">
        <v>49.987000000000002</v>
      </c>
      <c r="N101" s="101">
        <v>50.018000000000001</v>
      </c>
      <c r="O101" s="101">
        <v>50.018000000000001</v>
      </c>
      <c r="P101" s="101">
        <v>50.018000000000001</v>
      </c>
      <c r="Q101" s="101">
        <v>49.98</v>
      </c>
      <c r="R101" s="101">
        <v>49.98</v>
      </c>
      <c r="S101" s="101">
        <v>49.96</v>
      </c>
      <c r="T101" s="101">
        <v>50.04</v>
      </c>
      <c r="U101" s="101">
        <v>50.02</v>
      </c>
      <c r="V101" s="101">
        <v>50.03</v>
      </c>
      <c r="W101" s="101">
        <v>49.99</v>
      </c>
      <c r="X101" s="101">
        <v>49.97</v>
      </c>
      <c r="Y101" s="101">
        <v>49.97</v>
      </c>
      <c r="Z101" s="101">
        <v>50.02</v>
      </c>
      <c r="AA101" s="101">
        <v>50.02</v>
      </c>
      <c r="AB101" s="101">
        <v>50.021999999999998</v>
      </c>
      <c r="AC101" s="101">
        <v>49.932000000000002</v>
      </c>
      <c r="AD101" s="101">
        <v>49.753</v>
      </c>
      <c r="AE101" s="101">
        <v>50.036999999999999</v>
      </c>
      <c r="AF101" s="101">
        <v>49.999000000000002</v>
      </c>
      <c r="AG101" s="102"/>
      <c r="AH101" s="47">
        <f t="shared" si="15"/>
        <v>50.7</v>
      </c>
      <c r="AI101" s="48">
        <f t="shared" si="16"/>
        <v>49.753</v>
      </c>
    </row>
    <row r="102" spans="1:37" x14ac:dyDescent="0.25">
      <c r="A102" s="103" t="s">
        <v>118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4"/>
      <c r="AH102" s="47">
        <f t="shared" si="15"/>
        <v>0</v>
      </c>
      <c r="AI102" s="48">
        <f t="shared" si="16"/>
        <v>0</v>
      </c>
    </row>
    <row r="103" spans="1:37" x14ac:dyDescent="0.25">
      <c r="A103" s="103" t="s">
        <v>119</v>
      </c>
      <c r="B103" s="64">
        <v>128.69999999999999</v>
      </c>
      <c r="C103" s="64">
        <v>128.69999999999999</v>
      </c>
      <c r="D103" s="64">
        <v>128.69999999999999</v>
      </c>
      <c r="E103" s="64">
        <v>130.69999999999999</v>
      </c>
      <c r="F103" s="64">
        <v>130.69999999999999</v>
      </c>
      <c r="G103" s="64">
        <v>130.69999999999999</v>
      </c>
      <c r="H103" s="64">
        <v>130</v>
      </c>
      <c r="I103" s="64">
        <v>127.9</v>
      </c>
      <c r="J103" s="64">
        <v>127.8</v>
      </c>
      <c r="K103" s="64">
        <v>127.7</v>
      </c>
      <c r="L103" s="64">
        <v>124.8</v>
      </c>
      <c r="M103" s="64">
        <v>125.5</v>
      </c>
      <c r="N103" s="64">
        <v>124.8</v>
      </c>
      <c r="O103" s="64">
        <v>124.8</v>
      </c>
      <c r="P103" s="64">
        <v>124.8</v>
      </c>
      <c r="Q103" s="64">
        <v>124.7</v>
      </c>
      <c r="R103" s="64">
        <v>125.9</v>
      </c>
      <c r="S103" s="64">
        <v>126</v>
      </c>
      <c r="T103" s="64">
        <v>124.1</v>
      </c>
      <c r="U103" s="64">
        <v>124.7</v>
      </c>
      <c r="V103" s="64">
        <v>124.9</v>
      </c>
      <c r="W103" s="64">
        <v>126.1</v>
      </c>
      <c r="X103" s="64">
        <v>127.8</v>
      </c>
      <c r="Y103" s="64">
        <v>126.9</v>
      </c>
      <c r="Z103" s="64">
        <v>126.2</v>
      </c>
      <c r="AA103" s="64">
        <v>126.2</v>
      </c>
      <c r="AB103" s="64">
        <v>128</v>
      </c>
      <c r="AC103" s="64">
        <v>127.4</v>
      </c>
      <c r="AD103" s="64">
        <v>123.6</v>
      </c>
      <c r="AE103" s="64">
        <v>123.6</v>
      </c>
      <c r="AF103" s="64">
        <v>126</v>
      </c>
      <c r="AG103" s="104"/>
      <c r="AH103" s="47">
        <f t="shared" si="15"/>
        <v>130.69999999999999</v>
      </c>
      <c r="AI103" s="48">
        <f t="shared" si="16"/>
        <v>123.6</v>
      </c>
    </row>
    <row r="104" spans="1:37" x14ac:dyDescent="0.25">
      <c r="A104" s="103" t="s">
        <v>120</v>
      </c>
      <c r="B104" s="64">
        <v>128</v>
      </c>
      <c r="C104" s="64">
        <v>128</v>
      </c>
      <c r="D104" s="64">
        <v>128</v>
      </c>
      <c r="E104" s="64">
        <v>130</v>
      </c>
      <c r="F104" s="64">
        <v>130</v>
      </c>
      <c r="G104" s="64">
        <v>130</v>
      </c>
      <c r="H104" s="64">
        <v>130.5</v>
      </c>
      <c r="I104" s="64">
        <v>128.80000000000001</v>
      </c>
      <c r="J104" s="64">
        <v>128</v>
      </c>
      <c r="K104" s="64">
        <v>130.5</v>
      </c>
      <c r="L104" s="64">
        <v>129.69999999999999</v>
      </c>
      <c r="M104" s="64">
        <v>128</v>
      </c>
      <c r="N104" s="64">
        <v>127.8</v>
      </c>
      <c r="O104" s="64">
        <v>127.8</v>
      </c>
      <c r="P104" s="64">
        <v>127.8</v>
      </c>
      <c r="Q104" s="64">
        <v>127.4</v>
      </c>
      <c r="R104" s="64">
        <v>126.1</v>
      </c>
      <c r="S104" s="64">
        <v>127.7</v>
      </c>
      <c r="T104" s="64">
        <v>130.30000000000001</v>
      </c>
      <c r="U104" s="64">
        <v>128.4</v>
      </c>
      <c r="V104" s="64">
        <v>130.30000000000001</v>
      </c>
      <c r="W104" s="64">
        <v>128</v>
      </c>
      <c r="X104" s="64">
        <v>130.9</v>
      </c>
      <c r="Y104" s="64">
        <v>129.1</v>
      </c>
      <c r="Z104" s="64">
        <v>126.1</v>
      </c>
      <c r="AA104" s="64">
        <v>126.1</v>
      </c>
      <c r="AB104" s="64">
        <v>126.4</v>
      </c>
      <c r="AC104" s="64">
        <v>129.30000000000001</v>
      </c>
      <c r="AD104" s="64">
        <v>125.8</v>
      </c>
      <c r="AE104" s="64">
        <v>125.8</v>
      </c>
      <c r="AF104" s="64">
        <v>129</v>
      </c>
      <c r="AG104" s="104"/>
      <c r="AH104" s="47">
        <f t="shared" si="15"/>
        <v>130.9</v>
      </c>
      <c r="AI104" s="48">
        <f t="shared" si="16"/>
        <v>125.8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5"/>
        <v>0</v>
      </c>
      <c r="AI105" s="48">
        <f t="shared" si="16"/>
        <v>0</v>
      </c>
    </row>
    <row r="106" spans="1:37" x14ac:dyDescent="0.25">
      <c r="A106" s="105" t="s">
        <v>122</v>
      </c>
      <c r="B106" s="106">
        <v>129.9</v>
      </c>
      <c r="C106" s="106">
        <v>129.9</v>
      </c>
      <c r="D106" s="106">
        <v>129.9</v>
      </c>
      <c r="E106" s="106">
        <v>130</v>
      </c>
      <c r="F106" s="106">
        <v>130</v>
      </c>
      <c r="G106" s="106">
        <v>130</v>
      </c>
      <c r="H106" s="106">
        <v>130.80000000000001</v>
      </c>
      <c r="I106" s="106">
        <v>128.69999999999999</v>
      </c>
      <c r="J106" s="106">
        <v>132</v>
      </c>
      <c r="K106" s="106">
        <v>132</v>
      </c>
      <c r="L106" s="106">
        <v>132.69999999999999</v>
      </c>
      <c r="M106" s="106">
        <v>130</v>
      </c>
      <c r="N106" s="106">
        <v>133.1</v>
      </c>
      <c r="O106" s="106">
        <v>133.1</v>
      </c>
      <c r="P106" s="106">
        <v>133.1</v>
      </c>
      <c r="Q106" s="106">
        <v>127.8</v>
      </c>
      <c r="R106" s="106">
        <v>126</v>
      </c>
      <c r="S106" s="106">
        <v>128.4</v>
      </c>
      <c r="T106" s="106">
        <v>129.1</v>
      </c>
      <c r="U106" s="106">
        <v>131</v>
      </c>
      <c r="V106" s="106">
        <v>130.4</v>
      </c>
      <c r="W106" s="106">
        <v>130.69999999999999</v>
      </c>
      <c r="X106" s="106">
        <v>132.9</v>
      </c>
      <c r="Y106" s="106">
        <v>130.4</v>
      </c>
      <c r="Z106" s="106">
        <v>134</v>
      </c>
      <c r="AA106" s="106">
        <v>134</v>
      </c>
      <c r="AB106" s="106">
        <v>134.6</v>
      </c>
      <c r="AC106" s="106">
        <v>132.1</v>
      </c>
      <c r="AD106" s="106">
        <v>129.80000000000001</v>
      </c>
      <c r="AE106" s="106">
        <v>129.80000000000001</v>
      </c>
      <c r="AF106" s="106">
        <v>126.9</v>
      </c>
      <c r="AG106" s="107"/>
      <c r="AH106" s="47">
        <f t="shared" si="15"/>
        <v>134.6</v>
      </c>
      <c r="AI106" s="48">
        <f t="shared" si="16"/>
        <v>126</v>
      </c>
    </row>
    <row r="107" spans="1:37" x14ac:dyDescent="0.25">
      <c r="A107" s="103" t="s">
        <v>123</v>
      </c>
      <c r="B107" s="64">
        <v>128.80000000000001</v>
      </c>
      <c r="C107" s="64">
        <v>128.80000000000001</v>
      </c>
      <c r="D107" s="64">
        <v>128.80000000000001</v>
      </c>
      <c r="E107" s="64">
        <v>132</v>
      </c>
      <c r="F107" s="64">
        <v>132</v>
      </c>
      <c r="G107" s="64">
        <v>132</v>
      </c>
      <c r="H107" s="64">
        <v>130.80000000000001</v>
      </c>
      <c r="I107" s="64">
        <v>132</v>
      </c>
      <c r="J107" s="64">
        <v>130.69999999999999</v>
      </c>
      <c r="K107" s="64">
        <v>130</v>
      </c>
      <c r="L107" s="64">
        <v>133.5</v>
      </c>
      <c r="M107" s="64">
        <v>127.8</v>
      </c>
      <c r="N107" s="64">
        <v>131.5</v>
      </c>
      <c r="O107" s="64">
        <v>131.5</v>
      </c>
      <c r="P107" s="64">
        <v>131.5</v>
      </c>
      <c r="Q107" s="64">
        <v>132.30000000000001</v>
      </c>
      <c r="R107" s="64">
        <v>127.7</v>
      </c>
      <c r="S107" s="64">
        <v>128.1</v>
      </c>
      <c r="T107" s="64">
        <v>126.1</v>
      </c>
      <c r="U107" s="64">
        <v>132</v>
      </c>
      <c r="V107" s="64">
        <v>132.19999999999999</v>
      </c>
      <c r="W107" s="64">
        <v>132.69999999999999</v>
      </c>
      <c r="X107" s="64">
        <v>130.69999999999999</v>
      </c>
      <c r="Y107" s="64">
        <v>134</v>
      </c>
      <c r="Z107" s="64">
        <v>134.6</v>
      </c>
      <c r="AA107" s="64">
        <v>134.6</v>
      </c>
      <c r="AB107" s="64">
        <v>129.30000000000001</v>
      </c>
      <c r="AC107" s="64">
        <v>128.30000000000001</v>
      </c>
      <c r="AD107" s="64">
        <v>127</v>
      </c>
      <c r="AE107" s="64">
        <v>127</v>
      </c>
      <c r="AF107" s="64"/>
      <c r="AG107" s="104"/>
      <c r="AH107" s="47">
        <f t="shared" si="15"/>
        <v>134.6</v>
      </c>
      <c r="AI107" s="48">
        <f t="shared" si="16"/>
        <v>126.1</v>
      </c>
    </row>
    <row r="108" spans="1:37" ht="15.75" thickBot="1" x14ac:dyDescent="0.3">
      <c r="A108" s="103" t="s">
        <v>124</v>
      </c>
      <c r="B108" s="92">
        <v>64.900000000000006</v>
      </c>
      <c r="C108" s="92">
        <v>64.900000000000006</v>
      </c>
      <c r="D108" s="92">
        <v>64.900000000000006</v>
      </c>
      <c r="E108" s="92">
        <v>65.7</v>
      </c>
      <c r="F108" s="92">
        <v>65.7</v>
      </c>
      <c r="G108" s="92">
        <v>65.7</v>
      </c>
      <c r="H108" s="92">
        <v>65.5</v>
      </c>
      <c r="I108" s="92">
        <v>64</v>
      </c>
      <c r="J108" s="92">
        <v>64</v>
      </c>
      <c r="K108" s="92">
        <v>63.8</v>
      </c>
      <c r="L108" s="92">
        <v>62.4</v>
      </c>
      <c r="M108" s="92">
        <v>62.5</v>
      </c>
      <c r="N108" s="92">
        <v>62.3</v>
      </c>
      <c r="O108" s="92">
        <v>62.3</v>
      </c>
      <c r="P108" s="92">
        <v>62.3</v>
      </c>
      <c r="Q108" s="92">
        <v>62.4</v>
      </c>
      <c r="R108" s="92">
        <v>62.7</v>
      </c>
      <c r="S108" s="92">
        <v>63.2</v>
      </c>
      <c r="T108" s="92">
        <v>62</v>
      </c>
      <c r="U108" s="92">
        <v>62.2</v>
      </c>
      <c r="V108" s="92">
        <v>62.8</v>
      </c>
      <c r="W108" s="92">
        <v>63.6</v>
      </c>
      <c r="X108" s="92">
        <v>64.099999999999994</v>
      </c>
      <c r="Y108" s="92">
        <v>63.6</v>
      </c>
      <c r="Z108" s="92">
        <v>63.4</v>
      </c>
      <c r="AA108" s="92">
        <v>63.4</v>
      </c>
      <c r="AB108" s="92">
        <v>64.5</v>
      </c>
      <c r="AC108" s="92">
        <v>64</v>
      </c>
      <c r="AD108" s="92">
        <v>61.9</v>
      </c>
      <c r="AE108" s="92">
        <v>61.9</v>
      </c>
      <c r="AF108" s="92">
        <v>64.5</v>
      </c>
      <c r="AG108" s="108"/>
      <c r="AH108" s="47">
        <f t="shared" si="15"/>
        <v>65.7</v>
      </c>
      <c r="AI108" s="48">
        <f t="shared" si="16"/>
        <v>61.9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5"/>
        <v>0</v>
      </c>
      <c r="AI109" s="48">
        <f t="shared" si="16"/>
        <v>0</v>
      </c>
    </row>
    <row r="110" spans="1:37" ht="15.75" thickBot="1" x14ac:dyDescent="0.3">
      <c r="A110" s="110" t="s">
        <v>126</v>
      </c>
      <c r="B110" s="111">
        <f t="shared" ref="B110" si="27">SUM(B20,B26,B29:B30,B58,B60:B61,B63,B65,B111:B115,B138,B144,B150,B159,B161,B173,B180,B183:B184,B191,B193,B195,B199:B201,B203:B205,B210,B216:B217,B219:B221,B229,B234)</f>
        <v>78.400000000000006</v>
      </c>
      <c r="C110" s="111">
        <f t="shared" ref="C110:O110" si="28">SUM(C20,C26,C29:C30,C58,C60:C61,C63,C65,C111:C115,C138,C144,C150,C159,C161,C173,C180,C183:C184,C191,C193,C195,C199:C201,C203:C205,C210,C216:C217,C219:C221,C229,C234)</f>
        <v>69.039999999999964</v>
      </c>
      <c r="D110" s="111">
        <f t="shared" si="28"/>
        <v>58.539999999999978</v>
      </c>
      <c r="E110" s="111">
        <f t="shared" si="28"/>
        <v>-0.15999999999999426</v>
      </c>
      <c r="F110" s="111">
        <f t="shared" si="28"/>
        <v>35.239999999999981</v>
      </c>
      <c r="G110" s="111">
        <f t="shared" si="28"/>
        <v>50.740000000000009</v>
      </c>
      <c r="H110" s="111">
        <f t="shared" si="28"/>
        <v>72.740000000000023</v>
      </c>
      <c r="I110" s="111">
        <f t="shared" si="28"/>
        <v>90.940000000000012</v>
      </c>
      <c r="J110" s="111">
        <f t="shared" si="28"/>
        <v>100.64000000000003</v>
      </c>
      <c r="K110" s="111">
        <f t="shared" si="28"/>
        <v>146.24</v>
      </c>
      <c r="L110" s="111">
        <f t="shared" si="28"/>
        <v>161.34</v>
      </c>
      <c r="M110" s="111">
        <f t="shared" si="28"/>
        <v>176.34</v>
      </c>
      <c r="N110" s="111">
        <f t="shared" si="28"/>
        <v>168.73</v>
      </c>
      <c r="O110" s="111">
        <f t="shared" si="28"/>
        <v>182.24000000000004</v>
      </c>
      <c r="P110" s="111">
        <v>42</v>
      </c>
      <c r="Q110" s="111">
        <f t="shared" ref="Q110:AF110" si="29">SUM(Q20,Q26,Q29:Q30,Q58,Q60:Q61,Q63,Q65,Q111:Q115,Q138,Q144,Q150,Q159,Q161,Q173,Q180,Q183:Q184,Q191,Q193,Q195,Q199:Q201,Q203:Q205,Q210,Q216:Q217,Q219:Q221,Q229,Q234)</f>
        <v>234.70000000000002</v>
      </c>
      <c r="R110" s="111">
        <f t="shared" si="29"/>
        <v>175.29999999999998</v>
      </c>
      <c r="S110" s="111">
        <f t="shared" si="29"/>
        <v>162.69999999999999</v>
      </c>
      <c r="T110" s="111">
        <f t="shared" si="29"/>
        <v>177.2</v>
      </c>
      <c r="U110" s="111">
        <f t="shared" si="29"/>
        <v>204.4</v>
      </c>
      <c r="V110" s="111">
        <f t="shared" si="29"/>
        <v>188.7</v>
      </c>
      <c r="W110" s="111">
        <f t="shared" si="29"/>
        <v>191.29999999999995</v>
      </c>
      <c r="X110" s="111">
        <f t="shared" si="29"/>
        <v>174.10000000000002</v>
      </c>
      <c r="Y110" s="111">
        <f t="shared" si="29"/>
        <v>209.6</v>
      </c>
      <c r="Z110" s="111">
        <f t="shared" si="29"/>
        <v>218.79999999999998</v>
      </c>
      <c r="AA110" s="111">
        <f t="shared" si="29"/>
        <v>336.79999999999995</v>
      </c>
      <c r="AB110" s="111">
        <f t="shared" si="29"/>
        <v>215.80000000000004</v>
      </c>
      <c r="AC110" s="111">
        <f t="shared" si="29"/>
        <v>221.79999999999998</v>
      </c>
      <c r="AD110" s="111">
        <f t="shared" si="29"/>
        <v>176.90000000000003</v>
      </c>
      <c r="AE110" s="111">
        <f t="shared" si="29"/>
        <v>112</v>
      </c>
      <c r="AF110" s="111">
        <f t="shared" si="29"/>
        <v>85.100000000000023</v>
      </c>
      <c r="AG110" s="112"/>
      <c r="AH110" s="47">
        <f t="shared" si="15"/>
        <v>336.79999999999995</v>
      </c>
      <c r="AI110" s="48">
        <f t="shared" si="16"/>
        <v>-0.15999999999999426</v>
      </c>
    </row>
    <row r="111" spans="1:37" x14ac:dyDescent="0.25">
      <c r="A111" s="100" t="s">
        <v>127</v>
      </c>
      <c r="B111" s="113">
        <v>26</v>
      </c>
      <c r="C111" s="113">
        <v>28.7</v>
      </c>
      <c r="D111" s="113">
        <v>25.7</v>
      </c>
      <c r="E111" s="113">
        <v>6</v>
      </c>
      <c r="F111" s="113">
        <v>11.6</v>
      </c>
      <c r="G111" s="113">
        <v>4.0999999999999996</v>
      </c>
      <c r="H111" s="113">
        <v>12.9</v>
      </c>
      <c r="I111" s="113">
        <v>24.2</v>
      </c>
      <c r="J111" s="113">
        <v>35.799999999999997</v>
      </c>
      <c r="K111" s="113">
        <v>44</v>
      </c>
      <c r="L111" s="113">
        <v>50.3</v>
      </c>
      <c r="M111" s="113">
        <v>49.1</v>
      </c>
      <c r="N111" s="113">
        <v>45.9</v>
      </c>
      <c r="O111" s="113">
        <v>45.9</v>
      </c>
      <c r="P111" s="113">
        <v>45.9</v>
      </c>
      <c r="Q111" s="113">
        <v>37.4</v>
      </c>
      <c r="R111" s="113">
        <v>32.299999999999997</v>
      </c>
      <c r="S111" s="113">
        <v>21.2</v>
      </c>
      <c r="T111" s="113">
        <v>58.7</v>
      </c>
      <c r="U111" s="113">
        <v>53.4</v>
      </c>
      <c r="V111" s="113">
        <v>67.599999999999994</v>
      </c>
      <c r="W111" s="113">
        <v>61</v>
      </c>
      <c r="X111" s="113">
        <v>58.7</v>
      </c>
      <c r="Y111" s="113">
        <v>69</v>
      </c>
      <c r="Z111" s="113">
        <v>62.3</v>
      </c>
      <c r="AA111" s="113">
        <v>49.3</v>
      </c>
      <c r="AB111" s="113">
        <v>43.5</v>
      </c>
      <c r="AC111" s="113">
        <v>46.4</v>
      </c>
      <c r="AD111" s="113">
        <v>81.7</v>
      </c>
      <c r="AE111" s="113">
        <v>59.4</v>
      </c>
      <c r="AF111" s="113">
        <v>42.1</v>
      </c>
      <c r="AG111" s="114">
        <v>75</v>
      </c>
      <c r="AH111" s="47">
        <f t="shared" si="15"/>
        <v>81.7</v>
      </c>
      <c r="AI111" s="48">
        <f t="shared" si="16"/>
        <v>4.0999999999999996</v>
      </c>
    </row>
    <row r="112" spans="1:37" x14ac:dyDescent="0.25">
      <c r="A112" s="103" t="s">
        <v>128</v>
      </c>
      <c r="B112" s="115">
        <v>46.3</v>
      </c>
      <c r="C112" s="115">
        <v>50.2</v>
      </c>
      <c r="D112" s="115">
        <v>47.7</v>
      </c>
      <c r="E112" s="115">
        <v>15.5</v>
      </c>
      <c r="F112" s="115">
        <v>22.2</v>
      </c>
      <c r="G112" s="115">
        <v>11.3</v>
      </c>
      <c r="H112" s="115">
        <v>23.4</v>
      </c>
      <c r="I112" s="115">
        <v>41.9</v>
      </c>
      <c r="J112" s="115">
        <v>56</v>
      </c>
      <c r="K112" s="115">
        <v>67.099999999999994</v>
      </c>
      <c r="L112" s="115">
        <v>75.400000000000006</v>
      </c>
      <c r="M112" s="115">
        <v>74.7</v>
      </c>
      <c r="N112" s="115">
        <v>70.7</v>
      </c>
      <c r="O112" s="115">
        <v>70.7</v>
      </c>
      <c r="P112" s="115">
        <v>70.7</v>
      </c>
      <c r="Q112" s="115">
        <v>59.6</v>
      </c>
      <c r="R112" s="115">
        <v>51.7</v>
      </c>
      <c r="S112" s="115">
        <v>51.3</v>
      </c>
      <c r="T112" s="115">
        <v>92</v>
      </c>
      <c r="U112" s="115">
        <v>83.3</v>
      </c>
      <c r="V112" s="115">
        <v>98.8</v>
      </c>
      <c r="W112" s="115">
        <v>88.6</v>
      </c>
      <c r="X112" s="115">
        <v>86</v>
      </c>
      <c r="Y112" s="115">
        <v>100.1</v>
      </c>
      <c r="Z112" s="115">
        <v>90.8</v>
      </c>
      <c r="AA112" s="115">
        <v>73.400000000000006</v>
      </c>
      <c r="AB112" s="115">
        <v>66.2</v>
      </c>
      <c r="AC112" s="115">
        <v>70.8</v>
      </c>
      <c r="AD112" s="115">
        <v>119.7</v>
      </c>
      <c r="AE112" s="115">
        <v>88.4</v>
      </c>
      <c r="AF112" s="115">
        <v>68</v>
      </c>
      <c r="AG112" s="114">
        <v>240</v>
      </c>
      <c r="AH112" s="47">
        <f t="shared" si="15"/>
        <v>119.7</v>
      </c>
      <c r="AI112" s="48">
        <f t="shared" si="16"/>
        <v>11.3</v>
      </c>
    </row>
    <row r="113" spans="1:37" x14ac:dyDescent="0.25">
      <c r="A113" s="103" t="s">
        <v>129</v>
      </c>
      <c r="B113" s="115">
        <v>-157</v>
      </c>
      <c r="C113" s="115">
        <v>-172</v>
      </c>
      <c r="D113" s="115">
        <v>-177.2</v>
      </c>
      <c r="E113" s="115">
        <v>-175</v>
      </c>
      <c r="F113" s="115">
        <v>-144</v>
      </c>
      <c r="G113" s="115">
        <v>-115</v>
      </c>
      <c r="H113" s="115">
        <v>-115</v>
      </c>
      <c r="I113" s="115">
        <v>-133</v>
      </c>
      <c r="J113" s="115">
        <v>-144</v>
      </c>
      <c r="K113" s="115">
        <v>-140</v>
      </c>
      <c r="L113" s="115">
        <v>-136</v>
      </c>
      <c r="M113" s="115">
        <v>-123</v>
      </c>
      <c r="N113" s="115">
        <v>-121</v>
      </c>
      <c r="O113" s="115">
        <v>-121</v>
      </c>
      <c r="P113" s="115">
        <v>-121</v>
      </c>
      <c r="Q113" s="115">
        <f>-55.7-60.9</f>
        <v>-116.6</v>
      </c>
      <c r="R113" s="115">
        <f>-48.8-53.2</f>
        <v>-102</v>
      </c>
      <c r="S113" s="115">
        <f>-59.2-52.5</f>
        <v>-111.7</v>
      </c>
      <c r="T113" s="115">
        <f>-87.4-79.9</f>
        <v>-167.3</v>
      </c>
      <c r="U113" s="115">
        <f>-61.3-59.9</f>
        <v>-121.19999999999999</v>
      </c>
      <c r="V113" s="115">
        <f>-77.4-82.8</f>
        <v>-160.19999999999999</v>
      </c>
      <c r="W113" s="115">
        <f>-71.4-77.2</f>
        <v>-148.60000000000002</v>
      </c>
      <c r="X113" s="115">
        <f>-72.3-78.2</f>
        <v>-150.5</v>
      </c>
      <c r="Y113" s="115">
        <v>-142</v>
      </c>
      <c r="Z113" s="115">
        <v>-117</v>
      </c>
      <c r="AA113" s="115">
        <v>34.700000000000003</v>
      </c>
      <c r="AB113" s="115">
        <v>-55.2</v>
      </c>
      <c r="AC113" s="115">
        <v>-58.3</v>
      </c>
      <c r="AD113" s="115">
        <v>-157</v>
      </c>
      <c r="AE113" s="115">
        <v>-152</v>
      </c>
      <c r="AF113" s="115">
        <v>-142</v>
      </c>
      <c r="AG113" s="114">
        <v>240</v>
      </c>
      <c r="AH113" s="47">
        <f t="shared" si="15"/>
        <v>34.700000000000003</v>
      </c>
      <c r="AI113" s="48">
        <f t="shared" si="16"/>
        <v>-177.2</v>
      </c>
    </row>
    <row r="114" spans="1:37" x14ac:dyDescent="0.25">
      <c r="A114" s="103" t="s">
        <v>130</v>
      </c>
      <c r="B114" s="115">
        <v>-14.2</v>
      </c>
      <c r="C114" s="115">
        <v>-16.2</v>
      </c>
      <c r="D114" s="115">
        <v>-16.100000000000001</v>
      </c>
      <c r="E114" s="115">
        <v>-11.4</v>
      </c>
      <c r="F114" s="115">
        <v>-14.1</v>
      </c>
      <c r="G114" s="115">
        <v>-9.3000000000000007</v>
      </c>
      <c r="H114" s="115">
        <v>-7.8</v>
      </c>
      <c r="I114" s="115">
        <v>-6.8</v>
      </c>
      <c r="J114" s="115">
        <v>-4.3</v>
      </c>
      <c r="K114" s="115">
        <v>-1.9</v>
      </c>
      <c r="L114" s="115">
        <v>-3</v>
      </c>
      <c r="M114" s="115">
        <v>1.1000000000000001</v>
      </c>
      <c r="N114" s="115">
        <v>-2.9</v>
      </c>
      <c r="O114" s="115">
        <v>-2.9</v>
      </c>
      <c r="P114" s="115">
        <v>-2.9</v>
      </c>
      <c r="Q114" s="115">
        <v>3</v>
      </c>
      <c r="R114" s="115">
        <v>5.0999999999999996</v>
      </c>
      <c r="S114" s="115">
        <v>13.9</v>
      </c>
      <c r="T114" s="115">
        <v>6.1</v>
      </c>
      <c r="U114" s="115">
        <v>1.1000000000000001</v>
      </c>
      <c r="V114" s="115">
        <v>-5</v>
      </c>
      <c r="W114" s="115">
        <v>-3.6</v>
      </c>
      <c r="X114" s="115">
        <v>0</v>
      </c>
      <c r="Y114" s="115">
        <v>3.1</v>
      </c>
      <c r="Z114" s="115">
        <v>4.0999999999999996</v>
      </c>
      <c r="AA114" s="115">
        <v>14.5</v>
      </c>
      <c r="AB114" s="115">
        <v>7.9</v>
      </c>
      <c r="AC114" s="115">
        <v>9.1</v>
      </c>
      <c r="AD114" s="115">
        <v>-0.6</v>
      </c>
      <c r="AE114" s="115">
        <v>-6.3</v>
      </c>
      <c r="AF114" s="115">
        <v>-6.3</v>
      </c>
      <c r="AG114" s="114">
        <v>60</v>
      </c>
      <c r="AH114" s="47">
        <f t="shared" si="15"/>
        <v>14.5</v>
      </c>
      <c r="AI114" s="48">
        <f t="shared" si="16"/>
        <v>-16.2</v>
      </c>
    </row>
    <row r="115" spans="1:37" x14ac:dyDescent="0.25">
      <c r="A115" s="116" t="s">
        <v>131</v>
      </c>
      <c r="B115" s="117">
        <v>24.1</v>
      </c>
      <c r="C115" s="117">
        <v>24.2</v>
      </c>
      <c r="D115" s="117">
        <v>24.3</v>
      </c>
      <c r="E115" s="117">
        <v>14.9</v>
      </c>
      <c r="F115" s="117">
        <v>14.7</v>
      </c>
      <c r="G115" s="117">
        <v>14.8</v>
      </c>
      <c r="H115" s="117">
        <v>14.4</v>
      </c>
      <c r="I115" s="117">
        <v>13.9</v>
      </c>
      <c r="J115" s="117">
        <v>6.4</v>
      </c>
      <c r="K115" s="117">
        <v>24.9</v>
      </c>
      <c r="L115" s="117">
        <v>23.4</v>
      </c>
      <c r="M115" s="117">
        <v>23.5</v>
      </c>
      <c r="N115" s="117">
        <v>23.5</v>
      </c>
      <c r="O115" s="117">
        <v>23.5</v>
      </c>
      <c r="P115" s="117">
        <v>23.5</v>
      </c>
      <c r="Q115" s="117">
        <v>78</v>
      </c>
      <c r="R115" s="117">
        <v>24.2</v>
      </c>
      <c r="S115" s="117">
        <v>23.7</v>
      </c>
      <c r="T115" s="117">
        <v>23.4</v>
      </c>
      <c r="U115" s="117">
        <v>23.5</v>
      </c>
      <c r="V115" s="117">
        <v>23.2</v>
      </c>
      <c r="W115" s="117">
        <v>23.6</v>
      </c>
      <c r="X115" s="117">
        <v>23.3</v>
      </c>
      <c r="Y115" s="117">
        <v>22.5</v>
      </c>
      <c r="Z115" s="117">
        <v>22.5</v>
      </c>
      <c r="AA115" s="117">
        <v>21.8</v>
      </c>
      <c r="AB115" s="117">
        <v>21.8</v>
      </c>
      <c r="AC115" s="117">
        <v>22.2</v>
      </c>
      <c r="AD115" s="117">
        <v>22.4</v>
      </c>
      <c r="AE115" s="117">
        <v>22.8</v>
      </c>
      <c r="AF115" s="117">
        <v>23.6</v>
      </c>
      <c r="AG115" s="118">
        <v>120</v>
      </c>
      <c r="AH115" s="47">
        <f t="shared" si="15"/>
        <v>78</v>
      </c>
      <c r="AI115" s="48">
        <f t="shared" si="16"/>
        <v>6.4</v>
      </c>
    </row>
    <row r="116" spans="1:37" x14ac:dyDescent="0.25">
      <c r="A116" s="116" t="s">
        <v>132</v>
      </c>
      <c r="B116" s="117">
        <v>50.4</v>
      </c>
      <c r="C116" s="117">
        <v>38.299999999999997</v>
      </c>
      <c r="D116" s="117">
        <v>24.1</v>
      </c>
      <c r="E116" s="117">
        <v>53.1</v>
      </c>
      <c r="F116" s="117">
        <v>45.9</v>
      </c>
      <c r="G116" s="117">
        <v>61.9</v>
      </c>
      <c r="H116" s="117">
        <v>70.3</v>
      </c>
      <c r="I116" s="117">
        <v>40.1</v>
      </c>
      <c r="J116" s="117">
        <v>43.26</v>
      </c>
      <c r="K116" s="117">
        <v>43.4</v>
      </c>
      <c r="L116" s="117">
        <v>51.2</v>
      </c>
      <c r="M116" s="117">
        <v>62.4</v>
      </c>
      <c r="N116" s="117">
        <v>71.099999999999994</v>
      </c>
      <c r="O116" s="117">
        <v>71.099999999999994</v>
      </c>
      <c r="P116" s="117">
        <v>71.099999999999994</v>
      </c>
      <c r="Q116" s="117">
        <v>68</v>
      </c>
      <c r="R116" s="117">
        <v>53.1</v>
      </c>
      <c r="S116" s="117">
        <v>48.3</v>
      </c>
      <c r="T116" s="117">
        <v>42.1</v>
      </c>
      <c r="U116" s="117">
        <v>76.8</v>
      </c>
      <c r="V116" s="117">
        <v>50.2</v>
      </c>
      <c r="W116" s="117">
        <v>46.4</v>
      </c>
      <c r="X116" s="117">
        <v>38.6</v>
      </c>
      <c r="Y116" s="117">
        <v>44.1</v>
      </c>
      <c r="Z116" s="117">
        <v>67.900000000000006</v>
      </c>
      <c r="AA116" s="117">
        <v>78.8</v>
      </c>
      <c r="AB116" s="117">
        <v>68.900000000000006</v>
      </c>
      <c r="AC116" s="117">
        <v>75.599999999999994</v>
      </c>
      <c r="AD116" s="117">
        <v>54.1</v>
      </c>
      <c r="AE116" s="117">
        <v>48</v>
      </c>
      <c r="AF116" s="117">
        <v>58.1</v>
      </c>
      <c r="AG116" s="118"/>
      <c r="AH116" s="47">
        <f t="shared" si="15"/>
        <v>78.8</v>
      </c>
      <c r="AI116" s="48">
        <f t="shared" si="16"/>
        <v>24.1</v>
      </c>
    </row>
    <row r="117" spans="1:37" x14ac:dyDescent="0.25">
      <c r="A117" s="116" t="s">
        <v>133</v>
      </c>
      <c r="B117" s="117">
        <v>-17.2</v>
      </c>
      <c r="C117" s="117">
        <v>-18.600000000000001</v>
      </c>
      <c r="D117" s="117">
        <v>-20.100000000000001</v>
      </c>
      <c r="E117" s="117">
        <v>-18.8</v>
      </c>
      <c r="F117" s="117">
        <v>-14.6</v>
      </c>
      <c r="G117" s="117">
        <v>-22.7</v>
      </c>
      <c r="H117" s="117">
        <v>-21.4</v>
      </c>
      <c r="I117" s="117">
        <v>-20.6</v>
      </c>
      <c r="J117" s="117">
        <v>-4.9000000000000004</v>
      </c>
      <c r="K117" s="117">
        <v>5.0999999999999996</v>
      </c>
      <c r="L117" s="117">
        <v>9.1</v>
      </c>
      <c r="M117" s="117">
        <v>3.9</v>
      </c>
      <c r="N117" s="117">
        <v>4.5</v>
      </c>
      <c r="O117" s="117">
        <v>4.5</v>
      </c>
      <c r="P117" s="117">
        <v>4.5</v>
      </c>
      <c r="Q117" s="117">
        <v>15</v>
      </c>
      <c r="R117" s="117">
        <v>3.9</v>
      </c>
      <c r="S117" s="117">
        <v>-2.4</v>
      </c>
      <c r="T117" s="117">
        <v>5.4</v>
      </c>
      <c r="U117" s="117">
        <v>1.2</v>
      </c>
      <c r="V117" s="117">
        <v>5.7</v>
      </c>
      <c r="W117" s="117">
        <v>8.1</v>
      </c>
      <c r="X117" s="117">
        <v>7.9</v>
      </c>
      <c r="Y117" s="117">
        <v>12.8</v>
      </c>
      <c r="Z117" s="117">
        <v>8.5</v>
      </c>
      <c r="AA117" s="117">
        <v>7.3</v>
      </c>
      <c r="AB117" s="117">
        <v>4.5</v>
      </c>
      <c r="AC117" s="117">
        <v>9.1999999999999993</v>
      </c>
      <c r="AD117" s="117">
        <v>6.8</v>
      </c>
      <c r="AE117" s="117">
        <v>2.2000000000000002</v>
      </c>
      <c r="AF117" s="117">
        <v>-16</v>
      </c>
      <c r="AG117" s="119"/>
      <c r="AH117" s="47">
        <f t="shared" si="15"/>
        <v>15</v>
      </c>
      <c r="AI117" s="48">
        <f t="shared" si="16"/>
        <v>-22.7</v>
      </c>
    </row>
    <row r="118" spans="1:37" x14ac:dyDescent="0.25">
      <c r="A118" s="120" t="s">
        <v>134</v>
      </c>
      <c r="B118" s="106">
        <v>34.1</v>
      </c>
      <c r="C118" s="106">
        <v>54.7</v>
      </c>
      <c r="D118" s="106">
        <v>60.8</v>
      </c>
      <c r="E118" s="106">
        <v>66</v>
      </c>
      <c r="F118" s="106">
        <v>64.3</v>
      </c>
      <c r="G118" s="106">
        <v>67.8</v>
      </c>
      <c r="H118" s="106">
        <v>65.7</v>
      </c>
      <c r="I118" s="106">
        <v>63.4</v>
      </c>
      <c r="J118" s="106">
        <v>60.8</v>
      </c>
      <c r="K118" s="106">
        <v>58.3</v>
      </c>
      <c r="L118" s="106">
        <v>50.7</v>
      </c>
      <c r="M118" s="106">
        <v>45.5</v>
      </c>
      <c r="N118" s="106">
        <v>65.2</v>
      </c>
      <c r="O118" s="106">
        <v>65.2</v>
      </c>
      <c r="P118" s="106">
        <v>65.2</v>
      </c>
      <c r="Q118" s="106">
        <v>51.6</v>
      </c>
      <c r="R118" s="106">
        <v>40.1</v>
      </c>
      <c r="S118" s="106">
        <v>48.6</v>
      </c>
      <c r="T118" s="106">
        <v>47.7</v>
      </c>
      <c r="U118" s="106">
        <v>43.8</v>
      </c>
      <c r="V118" s="106">
        <v>41.6</v>
      </c>
      <c r="W118" s="106">
        <v>44.3</v>
      </c>
      <c r="X118" s="106">
        <v>39.9</v>
      </c>
      <c r="Y118" s="106">
        <v>36.1</v>
      </c>
      <c r="Z118" s="106">
        <v>28.1</v>
      </c>
      <c r="AA118" s="106">
        <v>25.2</v>
      </c>
      <c r="AB118" s="106">
        <v>24.6</v>
      </c>
      <c r="AC118" s="106">
        <v>25.1</v>
      </c>
      <c r="AD118" s="106">
        <v>23.2</v>
      </c>
      <c r="AE118" s="106">
        <v>33.9</v>
      </c>
      <c r="AF118" s="106">
        <v>34</v>
      </c>
      <c r="AG118" s="119"/>
      <c r="AH118" s="47">
        <f t="shared" si="15"/>
        <v>67.8</v>
      </c>
      <c r="AI118" s="48">
        <f t="shared" si="16"/>
        <v>23.2</v>
      </c>
    </row>
    <row r="119" spans="1:37" x14ac:dyDescent="0.25">
      <c r="A119" s="121" t="s">
        <v>135</v>
      </c>
      <c r="B119" s="106">
        <v>75.7</v>
      </c>
      <c r="C119" s="106">
        <v>83.3</v>
      </c>
      <c r="D119" s="106">
        <v>93.9</v>
      </c>
      <c r="E119" s="106">
        <v>69</v>
      </c>
      <c r="F119" s="106">
        <v>69.8</v>
      </c>
      <c r="G119" s="106">
        <v>55.8</v>
      </c>
      <c r="H119" s="106">
        <v>51.3</v>
      </c>
      <c r="I119" s="106">
        <v>64.599999999999994</v>
      </c>
      <c r="J119" s="106">
        <v>71.7</v>
      </c>
      <c r="K119" s="106">
        <v>67.400000000000006</v>
      </c>
      <c r="L119" s="106">
        <v>62.2</v>
      </c>
      <c r="M119" s="106">
        <v>57.3</v>
      </c>
      <c r="N119" s="106">
        <v>54.3</v>
      </c>
      <c r="O119" s="106">
        <v>54.3</v>
      </c>
      <c r="P119" s="106">
        <v>54.3</v>
      </c>
      <c r="Q119" s="106">
        <v>55.1</v>
      </c>
      <c r="R119" s="106">
        <v>73.5</v>
      </c>
      <c r="S119" s="106">
        <v>79.7</v>
      </c>
      <c r="T119" s="106">
        <v>78.2</v>
      </c>
      <c r="U119" s="106">
        <v>58.6</v>
      </c>
      <c r="V119" s="106">
        <v>73.599999999999994</v>
      </c>
      <c r="W119" s="106">
        <v>68.900000000000006</v>
      </c>
      <c r="X119" s="106">
        <v>70.5</v>
      </c>
      <c r="Y119" s="106">
        <v>64.3</v>
      </c>
      <c r="Z119" s="106">
        <v>50.2</v>
      </c>
      <c r="AA119" s="106">
        <v>34.9</v>
      </c>
      <c r="AB119" s="106">
        <v>42.3</v>
      </c>
      <c r="AC119" s="106">
        <v>53</v>
      </c>
      <c r="AD119" s="106">
        <v>70.099999999999994</v>
      </c>
      <c r="AE119" s="106">
        <v>74.7</v>
      </c>
      <c r="AF119" s="106">
        <v>69.599999999999994</v>
      </c>
      <c r="AG119" s="119"/>
      <c r="AH119" s="47">
        <f t="shared" si="15"/>
        <v>93.9</v>
      </c>
      <c r="AI119" s="48">
        <f t="shared" si="16"/>
        <v>34.9</v>
      </c>
    </row>
    <row r="120" spans="1:37" ht="15.75" thickBot="1" x14ac:dyDescent="0.3">
      <c r="A120" s="120" t="s">
        <v>136</v>
      </c>
      <c r="B120" s="106">
        <v>22</v>
      </c>
      <c r="C120" s="106">
        <v>26.6</v>
      </c>
      <c r="D120" s="106">
        <v>23.4</v>
      </c>
      <c r="E120" s="106">
        <v>-6</v>
      </c>
      <c r="F120" s="106">
        <v>-17.3</v>
      </c>
      <c r="G120" s="106">
        <v>-15.8</v>
      </c>
      <c r="H120" s="106">
        <v>-15.3</v>
      </c>
      <c r="I120" s="106">
        <v>-12.5</v>
      </c>
      <c r="J120" s="106">
        <v>-10.199999999999999</v>
      </c>
      <c r="K120" s="106">
        <v>-11</v>
      </c>
      <c r="L120" s="106">
        <v>-10.199999999999999</v>
      </c>
      <c r="M120" s="106">
        <v>-5</v>
      </c>
      <c r="N120" s="106">
        <v>-9.6999999999999993</v>
      </c>
      <c r="O120" s="106">
        <v>-9.6999999999999993</v>
      </c>
      <c r="P120" s="106">
        <v>-9.6999999999999993</v>
      </c>
      <c r="Q120" s="106">
        <v>35</v>
      </c>
      <c r="R120" s="106">
        <v>70.400000000000006</v>
      </c>
      <c r="S120" s="106">
        <v>46.2</v>
      </c>
      <c r="T120" s="106">
        <v>39.700000000000003</v>
      </c>
      <c r="U120" s="106">
        <v>-1.9</v>
      </c>
      <c r="V120" s="106">
        <v>0.4</v>
      </c>
      <c r="W120" s="106">
        <v>6.8</v>
      </c>
      <c r="X120" s="106">
        <v>-8</v>
      </c>
      <c r="Y120" s="106">
        <v>-6.4</v>
      </c>
      <c r="Z120" s="106">
        <v>18.5</v>
      </c>
      <c r="AA120" s="106">
        <v>22.5</v>
      </c>
      <c r="AB120" s="106">
        <v>26.3</v>
      </c>
      <c r="AC120" s="106">
        <v>27.9</v>
      </c>
      <c r="AD120" s="106">
        <v>37</v>
      </c>
      <c r="AE120" s="106">
        <v>37.5</v>
      </c>
      <c r="AF120" s="106">
        <v>29</v>
      </c>
      <c r="AG120" s="119"/>
      <c r="AH120" s="47">
        <f t="shared" si="15"/>
        <v>70.400000000000006</v>
      </c>
      <c r="AI120" s="48">
        <f t="shared" si="16"/>
        <v>-17.3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30">SUM(B122:B226)</f>
        <v>0</v>
      </c>
      <c r="C227" s="137">
        <f t="shared" si="30"/>
        <v>0</v>
      </c>
      <c r="D227" s="137">
        <f t="shared" si="30"/>
        <v>0</v>
      </c>
      <c r="E227" s="137">
        <f t="shared" si="30"/>
        <v>0</v>
      </c>
      <c r="F227" s="137">
        <f t="shared" si="30"/>
        <v>0</v>
      </c>
      <c r="G227" s="137">
        <f t="shared" si="30"/>
        <v>0</v>
      </c>
      <c r="H227" s="137">
        <f t="shared" si="30"/>
        <v>0</v>
      </c>
      <c r="I227" s="137">
        <f t="shared" si="30"/>
        <v>0</v>
      </c>
      <c r="J227" s="137">
        <f t="shared" si="30"/>
        <v>0</v>
      </c>
      <c r="K227" s="137">
        <f t="shared" si="30"/>
        <v>0</v>
      </c>
      <c r="L227" s="137">
        <f t="shared" si="30"/>
        <v>0</v>
      </c>
      <c r="M227" s="137">
        <f t="shared" si="30"/>
        <v>0</v>
      </c>
      <c r="N227" s="137">
        <f t="shared" si="30"/>
        <v>0</v>
      </c>
      <c r="O227" s="137">
        <f t="shared" si="30"/>
        <v>0</v>
      </c>
      <c r="P227" s="137">
        <f t="shared" si="30"/>
        <v>0</v>
      </c>
      <c r="Q227" s="137">
        <f t="shared" si="30"/>
        <v>0</v>
      </c>
      <c r="R227" s="137">
        <f t="shared" si="30"/>
        <v>0</v>
      </c>
      <c r="S227" s="137">
        <f t="shared" si="30"/>
        <v>0</v>
      </c>
      <c r="T227" s="137">
        <f t="shared" si="30"/>
        <v>0</v>
      </c>
      <c r="U227" s="137">
        <f t="shared" si="30"/>
        <v>0</v>
      </c>
      <c r="V227" s="137">
        <f t="shared" si="30"/>
        <v>0</v>
      </c>
      <c r="W227" s="137">
        <f t="shared" si="30"/>
        <v>0</v>
      </c>
      <c r="X227" s="137">
        <f t="shared" si="30"/>
        <v>0</v>
      </c>
      <c r="Y227" s="137">
        <f t="shared" si="30"/>
        <v>0</v>
      </c>
      <c r="Z227" s="137">
        <f t="shared" si="30"/>
        <v>0</v>
      </c>
      <c r="AA227" s="137">
        <f t="shared" si="30"/>
        <v>0</v>
      </c>
      <c r="AB227" s="137">
        <f t="shared" si="30"/>
        <v>0</v>
      </c>
      <c r="AC227" s="137">
        <f t="shared" si="30"/>
        <v>0</v>
      </c>
      <c r="AD227" s="137">
        <f t="shared" si="30"/>
        <v>0</v>
      </c>
      <c r="AE227" s="137">
        <f t="shared" si="30"/>
        <v>0</v>
      </c>
      <c r="AF227" s="138">
        <f t="shared" si="30"/>
        <v>0</v>
      </c>
      <c r="AG227" s="139">
        <f t="shared" si="30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31">AF229</f>
        <v>0</v>
      </c>
      <c r="C229" s="141">
        <v>0.3</v>
      </c>
      <c r="D229" s="141">
        <f t="shared" ref="D229:P234" si="32">C229</f>
        <v>0.3</v>
      </c>
      <c r="E229" s="141">
        <f t="shared" si="32"/>
        <v>0.3</v>
      </c>
      <c r="F229" s="141">
        <f t="shared" si="32"/>
        <v>0.3</v>
      </c>
      <c r="G229" s="141">
        <f t="shared" si="32"/>
        <v>0.3</v>
      </c>
      <c r="H229" s="141">
        <f t="shared" si="32"/>
        <v>0.3</v>
      </c>
      <c r="I229" s="141">
        <f t="shared" si="32"/>
        <v>0.3</v>
      </c>
      <c r="J229" s="141">
        <f t="shared" si="32"/>
        <v>0.3</v>
      </c>
      <c r="K229" s="141">
        <f t="shared" si="32"/>
        <v>0.3</v>
      </c>
      <c r="L229" s="141">
        <f t="shared" si="32"/>
        <v>0.3</v>
      </c>
      <c r="M229" s="141">
        <f t="shared" si="32"/>
        <v>0.3</v>
      </c>
      <c r="N229" s="141">
        <f t="shared" si="32"/>
        <v>0.3</v>
      </c>
      <c r="O229" s="141">
        <f t="shared" si="32"/>
        <v>0.3</v>
      </c>
      <c r="P229" s="141">
        <f t="shared" si="32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31"/>
        <v>0</v>
      </c>
      <c r="C230" s="129">
        <v>0.4</v>
      </c>
      <c r="D230" s="129">
        <f t="shared" si="32"/>
        <v>0.4</v>
      </c>
      <c r="E230" s="129">
        <f t="shared" si="32"/>
        <v>0.4</v>
      </c>
      <c r="F230" s="129">
        <f t="shared" si="32"/>
        <v>0.4</v>
      </c>
      <c r="G230" s="129">
        <f t="shared" si="32"/>
        <v>0.4</v>
      </c>
      <c r="H230" s="129">
        <f t="shared" si="32"/>
        <v>0.4</v>
      </c>
      <c r="I230" s="129">
        <f t="shared" si="32"/>
        <v>0.4</v>
      </c>
      <c r="J230" s="129">
        <f t="shared" si="32"/>
        <v>0.4</v>
      </c>
      <c r="K230" s="129">
        <f t="shared" si="32"/>
        <v>0.4</v>
      </c>
      <c r="L230" s="129">
        <f t="shared" si="32"/>
        <v>0.4</v>
      </c>
      <c r="M230" s="129">
        <f t="shared" si="32"/>
        <v>0.4</v>
      </c>
      <c r="N230" s="129">
        <f t="shared" si="32"/>
        <v>0.4</v>
      </c>
      <c r="O230" s="129">
        <f t="shared" si="32"/>
        <v>0.4</v>
      </c>
      <c r="P230" s="129">
        <f t="shared" si="32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31"/>
        <v>0</v>
      </c>
      <c r="C231" s="129">
        <v>1.5</v>
      </c>
      <c r="D231" s="129">
        <f t="shared" si="32"/>
        <v>1.5</v>
      </c>
      <c r="E231" s="129">
        <f t="shared" si="32"/>
        <v>1.5</v>
      </c>
      <c r="F231" s="129">
        <f t="shared" si="32"/>
        <v>1.5</v>
      </c>
      <c r="G231" s="129">
        <f t="shared" si="32"/>
        <v>1.5</v>
      </c>
      <c r="H231" s="129">
        <f t="shared" si="32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32"/>
        <v>123.21900000000009</v>
      </c>
      <c r="K231" s="129">
        <f t="shared" ca="1" si="32"/>
        <v>123.21900000000009</v>
      </c>
      <c r="L231" s="129">
        <f t="shared" ca="1" si="32"/>
        <v>123.21900000000009</v>
      </c>
      <c r="M231" s="129">
        <f t="shared" ca="1" si="32"/>
        <v>119.19900000000008</v>
      </c>
      <c r="N231" s="129">
        <f t="shared" ca="1" si="32"/>
        <v>119.19900000000008</v>
      </c>
      <c r="O231" s="129">
        <f t="shared" ca="1" si="32"/>
        <v>119.19900000000008</v>
      </c>
      <c r="P231" s="129">
        <f t="shared" ca="1" si="32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31"/>
        <v>0</v>
      </c>
      <c r="C232" s="129">
        <v>0.3</v>
      </c>
      <c r="D232" s="129">
        <f t="shared" si="32"/>
        <v>0.3</v>
      </c>
      <c r="E232" s="129">
        <f t="shared" si="32"/>
        <v>0.3</v>
      </c>
      <c r="F232" s="129">
        <f t="shared" si="32"/>
        <v>0.3</v>
      </c>
      <c r="G232" s="129">
        <f t="shared" si="32"/>
        <v>0.3</v>
      </c>
      <c r="H232" s="129">
        <f t="shared" si="32"/>
        <v>0.3</v>
      </c>
      <c r="I232" s="129">
        <f t="shared" si="32"/>
        <v>0.3</v>
      </c>
      <c r="J232" s="129">
        <f t="shared" si="32"/>
        <v>0.3</v>
      </c>
      <c r="K232" s="129">
        <f t="shared" si="32"/>
        <v>0.3</v>
      </c>
      <c r="L232" s="129">
        <f t="shared" si="32"/>
        <v>0.3</v>
      </c>
      <c r="M232" s="129">
        <f t="shared" si="32"/>
        <v>0.3</v>
      </c>
      <c r="N232" s="129">
        <f t="shared" si="32"/>
        <v>0.3</v>
      </c>
      <c r="O232" s="129">
        <f t="shared" si="32"/>
        <v>0.3</v>
      </c>
      <c r="P232" s="129">
        <f t="shared" si="32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31"/>
        <v>0</v>
      </c>
      <c r="C233" s="129">
        <v>0.4</v>
      </c>
      <c r="D233" s="129">
        <f t="shared" si="32"/>
        <v>0.4</v>
      </c>
      <c r="E233" s="129">
        <f t="shared" si="32"/>
        <v>0.4</v>
      </c>
      <c r="F233" s="129">
        <f t="shared" si="32"/>
        <v>0.4</v>
      </c>
      <c r="G233" s="129">
        <f t="shared" si="32"/>
        <v>0.4</v>
      </c>
      <c r="H233" s="129">
        <f t="shared" si="32"/>
        <v>0.4</v>
      </c>
      <c r="I233" s="129">
        <f t="shared" si="32"/>
        <v>0.4</v>
      </c>
      <c r="J233" s="129">
        <f t="shared" si="32"/>
        <v>0.4</v>
      </c>
      <c r="K233" s="129">
        <f t="shared" si="32"/>
        <v>0.4</v>
      </c>
      <c r="L233" s="129">
        <f t="shared" si="32"/>
        <v>0.4</v>
      </c>
      <c r="M233" s="129">
        <f t="shared" si="32"/>
        <v>0.4</v>
      </c>
      <c r="N233" s="129">
        <f t="shared" si="32"/>
        <v>0.4</v>
      </c>
      <c r="O233" s="129">
        <f t="shared" si="32"/>
        <v>0.4</v>
      </c>
      <c r="P233" s="129">
        <f t="shared" si="32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31"/>
        <v>0</v>
      </c>
      <c r="C234" s="133">
        <v>0.64</v>
      </c>
      <c r="D234" s="133">
        <f t="shared" si="32"/>
        <v>0.64</v>
      </c>
      <c r="E234" s="133">
        <f t="shared" si="32"/>
        <v>0.64</v>
      </c>
      <c r="F234" s="133">
        <f t="shared" si="32"/>
        <v>0.64</v>
      </c>
      <c r="G234" s="133">
        <f t="shared" si="32"/>
        <v>0.64</v>
      </c>
      <c r="H234" s="133">
        <f t="shared" si="32"/>
        <v>0.64</v>
      </c>
      <c r="I234" s="133">
        <f t="shared" si="32"/>
        <v>0.64</v>
      </c>
      <c r="J234" s="133">
        <f t="shared" si="32"/>
        <v>0.64</v>
      </c>
      <c r="K234" s="133">
        <f t="shared" si="32"/>
        <v>0.64</v>
      </c>
      <c r="L234" s="133">
        <f t="shared" si="32"/>
        <v>0.64</v>
      </c>
      <c r="M234" s="133">
        <f t="shared" si="32"/>
        <v>0.64</v>
      </c>
      <c r="N234" s="133">
        <f t="shared" si="32"/>
        <v>0.64</v>
      </c>
      <c r="O234" s="133">
        <f t="shared" si="32"/>
        <v>0.64</v>
      </c>
      <c r="P234" s="133">
        <f t="shared" si="32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33">SUM(B229:B234)</f>
        <v>0</v>
      </c>
      <c r="C235" s="137">
        <f t="shared" si="33"/>
        <v>3.54</v>
      </c>
      <c r="D235" s="137">
        <f t="shared" si="33"/>
        <v>3.54</v>
      </c>
      <c r="E235" s="137">
        <f t="shared" si="33"/>
        <v>3.54</v>
      </c>
      <c r="F235" s="137">
        <f t="shared" si="33"/>
        <v>3.54</v>
      </c>
      <c r="G235" s="137">
        <f t="shared" si="33"/>
        <v>3.54</v>
      </c>
      <c r="H235" s="137">
        <f t="shared" si="33"/>
        <v>3.54</v>
      </c>
      <c r="I235" s="137">
        <f t="shared" ca="1" si="33"/>
        <v>121.23900000000009</v>
      </c>
      <c r="J235" s="137">
        <f t="shared" ca="1" si="33"/>
        <v>121.23900000000009</v>
      </c>
      <c r="K235" s="137">
        <f t="shared" ca="1" si="33"/>
        <v>121.23900000000009</v>
      </c>
      <c r="L235" s="137">
        <f t="shared" ca="1" si="33"/>
        <v>125.2590000000001</v>
      </c>
      <c r="M235" s="137">
        <f t="shared" ca="1" si="33"/>
        <v>121.23900000000009</v>
      </c>
      <c r="N235" s="137">
        <f t="shared" ca="1" si="33"/>
        <v>121.23900000000009</v>
      </c>
      <c r="O235" s="137">
        <f t="shared" ca="1" si="33"/>
        <v>121.23900000000009</v>
      </c>
      <c r="P235" s="137">
        <f t="shared" ca="1" si="33"/>
        <v>121.23900000000009</v>
      </c>
      <c r="Q235" s="137">
        <f t="shared" si="33"/>
        <v>0</v>
      </c>
      <c r="R235" s="137">
        <f t="shared" si="33"/>
        <v>0</v>
      </c>
      <c r="S235" s="137">
        <f t="shared" si="33"/>
        <v>0</v>
      </c>
      <c r="T235" s="137">
        <f t="shared" si="33"/>
        <v>0</v>
      </c>
      <c r="U235" s="137">
        <f t="shared" si="33"/>
        <v>0</v>
      </c>
      <c r="V235" s="137">
        <f t="shared" si="33"/>
        <v>0</v>
      </c>
      <c r="W235" s="137">
        <f t="shared" si="33"/>
        <v>0</v>
      </c>
      <c r="X235" s="137">
        <f t="shared" si="33"/>
        <v>0</v>
      </c>
      <c r="Y235" s="137">
        <f t="shared" si="33"/>
        <v>0</v>
      </c>
      <c r="Z235" s="137">
        <f t="shared" si="33"/>
        <v>0</v>
      </c>
      <c r="AA235" s="137">
        <f t="shared" si="33"/>
        <v>0</v>
      </c>
      <c r="AB235" s="137">
        <f t="shared" si="33"/>
        <v>0</v>
      </c>
      <c r="AC235" s="137">
        <f t="shared" si="33"/>
        <v>0</v>
      </c>
      <c r="AD235" s="137">
        <f t="shared" si="33"/>
        <v>0</v>
      </c>
      <c r="AE235" s="137">
        <f t="shared" si="33"/>
        <v>0</v>
      </c>
      <c r="AF235" s="137">
        <f t="shared" si="33"/>
        <v>0</v>
      </c>
      <c r="AG235" s="146">
        <f t="shared" si="33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1952.63</v>
      </c>
      <c r="C244" s="162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27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2080/03/27)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2080/03/27)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34">B91</f>
        <v>1992.74</v>
      </c>
      <c r="U249" s="171">
        <f t="shared" si="34"/>
        <v>1965.2399999999998</v>
      </c>
      <c r="V249" s="171">
        <f t="shared" si="34"/>
        <v>1892.6399999999999</v>
      </c>
      <c r="W249" s="171">
        <f t="shared" si="34"/>
        <v>1914.8400000000001</v>
      </c>
      <c r="X249" s="171">
        <f t="shared" si="34"/>
        <v>1885.74</v>
      </c>
      <c r="Y249" s="171">
        <f t="shared" si="34"/>
        <v>1884.54</v>
      </c>
      <c r="Z249" s="171">
        <f t="shared" si="34"/>
        <v>1886.84</v>
      </c>
      <c r="AA249" s="171">
        <f t="shared" si="34"/>
        <v>1887.3400000000001</v>
      </c>
      <c r="AB249" s="171">
        <f t="shared" si="34"/>
        <v>1915.64</v>
      </c>
      <c r="AC249" s="171">
        <f t="shared" si="34"/>
        <v>1916.64</v>
      </c>
      <c r="AD249" s="171">
        <f t="shared" si="34"/>
        <v>1914.94</v>
      </c>
      <c r="AE249" s="171">
        <f t="shared" si="34"/>
        <v>1924.64</v>
      </c>
      <c r="AF249" s="171">
        <f t="shared" si="34"/>
        <v>1952.63</v>
      </c>
      <c r="AG249" s="171">
        <f t="shared" si="34"/>
        <v>1928.74</v>
      </c>
      <c r="AH249" s="171">
        <f t="shared" si="34"/>
        <v>1927.64</v>
      </c>
      <c r="AI249" s="171">
        <f t="shared" si="34"/>
        <v>1861.94</v>
      </c>
      <c r="AJ249" s="171">
        <f t="shared" si="34"/>
        <v>1906.64</v>
      </c>
      <c r="AK249" s="171">
        <f t="shared" si="34"/>
        <v>1959.3400000000001</v>
      </c>
      <c r="AL249" s="171">
        <f t="shared" si="34"/>
        <v>1984.4399999999998</v>
      </c>
      <c r="AM249" s="171">
        <f t="shared" si="34"/>
        <v>1912.94</v>
      </c>
      <c r="AN249" s="171">
        <f t="shared" si="34"/>
        <v>1994.94</v>
      </c>
      <c r="AO249" s="171">
        <f t="shared" si="34"/>
        <v>1992.3400000000001</v>
      </c>
      <c r="AP249" s="171">
        <f t="shared" si="34"/>
        <v>1978.24</v>
      </c>
      <c r="AQ249" s="171">
        <f t="shared" si="34"/>
        <v>2003.8400000000001</v>
      </c>
      <c r="AR249" s="171">
        <f t="shared" si="34"/>
        <v>2009.14</v>
      </c>
      <c r="AS249" s="171">
        <f t="shared" si="34"/>
        <v>2038.6400000000003</v>
      </c>
      <c r="AT249" s="171">
        <f t="shared" si="34"/>
        <v>2052.94</v>
      </c>
      <c r="AU249" s="171">
        <f t="shared" si="34"/>
        <v>2011.7400000000002</v>
      </c>
      <c r="AV249" s="171">
        <f t="shared" si="34"/>
        <v>2018.3400000000001</v>
      </c>
      <c r="AW249" s="171">
        <f t="shared" si="34"/>
        <v>1989.6400000000003</v>
      </c>
      <c r="AX249" s="171">
        <f t="shared" si="34"/>
        <v>1981.6400000000003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35">C234</f>
        <v>0.64</v>
      </c>
      <c r="C270" s="174">
        <f t="shared" si="35"/>
        <v>0.64</v>
      </c>
      <c r="D270" s="174">
        <f t="shared" si="35"/>
        <v>0.64</v>
      </c>
      <c r="E270" s="174">
        <f t="shared" si="35"/>
        <v>0.64</v>
      </c>
      <c r="F270" s="174">
        <f t="shared" si="35"/>
        <v>0.64</v>
      </c>
      <c r="G270" s="174">
        <f t="shared" si="35"/>
        <v>0.64</v>
      </c>
      <c r="H270" s="174">
        <f t="shared" si="35"/>
        <v>0.64</v>
      </c>
      <c r="I270" s="174">
        <f t="shared" si="35"/>
        <v>0.64</v>
      </c>
      <c r="J270" s="174">
        <f t="shared" si="35"/>
        <v>0.64</v>
      </c>
      <c r="K270" s="174">
        <f t="shared" si="35"/>
        <v>0.64</v>
      </c>
      <c r="L270" s="174">
        <f t="shared" si="35"/>
        <v>0.64</v>
      </c>
      <c r="M270" s="174">
        <f t="shared" si="35"/>
        <v>0.64</v>
      </c>
      <c r="N270" s="174">
        <f t="shared" si="35"/>
        <v>0.64</v>
      </c>
      <c r="O270" s="174">
        <f t="shared" si="35"/>
        <v>0.64</v>
      </c>
      <c r="P270" s="174">
        <f t="shared" si="35"/>
        <v>0</v>
      </c>
      <c r="Q270" s="174">
        <f t="shared" si="35"/>
        <v>0</v>
      </c>
      <c r="R270" s="174">
        <f t="shared" si="35"/>
        <v>0</v>
      </c>
      <c r="S270" s="174">
        <f t="shared" si="35"/>
        <v>0</v>
      </c>
      <c r="T270" s="174">
        <f t="shared" si="35"/>
        <v>0</v>
      </c>
      <c r="U270" s="174">
        <f t="shared" si="35"/>
        <v>0</v>
      </c>
      <c r="V270" s="174">
        <f t="shared" si="35"/>
        <v>0</v>
      </c>
      <c r="W270" s="174">
        <f t="shared" si="35"/>
        <v>0</v>
      </c>
      <c r="X270" s="174">
        <f t="shared" si="35"/>
        <v>0</v>
      </c>
      <c r="Y270" s="174">
        <f t="shared" si="35"/>
        <v>0</v>
      </c>
      <c r="Z270" s="174">
        <f t="shared" si="35"/>
        <v>0</v>
      </c>
      <c r="AA270" s="174">
        <f t="shared" si="35"/>
        <v>0</v>
      </c>
      <c r="AB270" s="174">
        <f t="shared" si="35"/>
        <v>0</v>
      </c>
      <c r="AC270" s="174">
        <f t="shared" si="35"/>
        <v>0</v>
      </c>
      <c r="AD270" s="174">
        <f t="shared" si="35"/>
        <v>0</v>
      </c>
      <c r="AE270" s="174">
        <f t="shared" si="35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36">IF(B238&lt;100,"",B238-520)</f>
        <v/>
      </c>
      <c r="C271" s="175" t="str">
        <f t="shared" si="36"/>
        <v/>
      </c>
      <c r="D271" s="175" t="str">
        <f t="shared" si="36"/>
        <v/>
      </c>
      <c r="E271" s="175" t="str">
        <f t="shared" si="36"/>
        <v/>
      </c>
      <c r="F271" s="175" t="str">
        <f t="shared" si="36"/>
        <v/>
      </c>
      <c r="G271" s="175" t="str">
        <f t="shared" si="36"/>
        <v/>
      </c>
      <c r="H271" s="175" t="str">
        <f t="shared" si="36"/>
        <v/>
      </c>
      <c r="I271" s="175" t="str">
        <f t="shared" si="36"/>
        <v/>
      </c>
      <c r="J271" s="175" t="str">
        <f t="shared" si="36"/>
        <v/>
      </c>
      <c r="K271" s="175" t="str">
        <f t="shared" si="36"/>
        <v/>
      </c>
      <c r="L271" s="175" t="str">
        <f t="shared" si="36"/>
        <v/>
      </c>
      <c r="M271" s="175" t="str">
        <f t="shared" si="36"/>
        <v/>
      </c>
      <c r="N271" s="175" t="str">
        <f t="shared" si="36"/>
        <v/>
      </c>
      <c r="O271" s="175" t="str">
        <f t="shared" si="36"/>
        <v/>
      </c>
      <c r="P271" s="175" t="str">
        <f t="shared" si="36"/>
        <v/>
      </c>
      <c r="Q271" s="175" t="str">
        <f t="shared" si="36"/>
        <v/>
      </c>
      <c r="R271" s="175" t="str">
        <f t="shared" si="36"/>
        <v/>
      </c>
      <c r="S271" s="175" t="str">
        <f t="shared" si="36"/>
        <v/>
      </c>
      <c r="T271" s="175" t="str">
        <f t="shared" si="36"/>
        <v/>
      </c>
      <c r="U271" s="175" t="str">
        <f t="shared" si="36"/>
        <v/>
      </c>
      <c r="V271" s="175" t="str">
        <f t="shared" si="36"/>
        <v/>
      </c>
      <c r="W271" s="175" t="str">
        <f t="shared" si="36"/>
        <v/>
      </c>
      <c r="X271" s="175" t="str">
        <f t="shared" si="36"/>
        <v/>
      </c>
      <c r="Y271" s="175" t="str">
        <f t="shared" si="36"/>
        <v/>
      </c>
      <c r="Z271" s="175" t="str">
        <f t="shared" si="36"/>
        <v/>
      </c>
      <c r="AA271" s="175" t="str">
        <f t="shared" si="36"/>
        <v/>
      </c>
      <c r="AB271" s="175" t="str">
        <f t="shared" si="36"/>
        <v/>
      </c>
      <c r="AC271" s="175" t="str">
        <f t="shared" si="36"/>
        <v/>
      </c>
      <c r="AD271" s="175" t="str">
        <f t="shared" si="36"/>
        <v/>
      </c>
      <c r="AE271" s="175" t="str">
        <f t="shared" si="36"/>
        <v/>
      </c>
      <c r="AF271" s="175" t="str">
        <f t="shared" si="36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37">IF(B239&lt;100,"",B239-620)</f>
        <v/>
      </c>
      <c r="C272" s="175" t="str">
        <f t="shared" si="37"/>
        <v/>
      </c>
      <c r="D272" s="175" t="str">
        <f t="shared" si="37"/>
        <v/>
      </c>
      <c r="E272" s="175" t="str">
        <f t="shared" si="37"/>
        <v/>
      </c>
      <c r="F272" s="175" t="str">
        <f t="shared" si="37"/>
        <v/>
      </c>
      <c r="G272" s="175" t="str">
        <f t="shared" si="37"/>
        <v/>
      </c>
      <c r="H272" s="175" t="str">
        <f t="shared" si="37"/>
        <v/>
      </c>
      <c r="I272" s="175" t="str">
        <f t="shared" si="37"/>
        <v/>
      </c>
      <c r="J272" s="175" t="str">
        <f t="shared" si="37"/>
        <v/>
      </c>
      <c r="K272" s="175" t="str">
        <f t="shared" si="37"/>
        <v/>
      </c>
      <c r="L272" s="175" t="str">
        <f t="shared" si="37"/>
        <v/>
      </c>
      <c r="M272" s="175" t="str">
        <f t="shared" si="37"/>
        <v/>
      </c>
      <c r="N272" s="175" t="str">
        <f t="shared" si="37"/>
        <v/>
      </c>
      <c r="O272" s="175" t="str">
        <f t="shared" si="37"/>
        <v/>
      </c>
      <c r="P272" s="175" t="str">
        <f t="shared" si="37"/>
        <v/>
      </c>
      <c r="Q272" s="175" t="str">
        <f t="shared" si="37"/>
        <v/>
      </c>
      <c r="R272" s="175" t="str">
        <f t="shared" si="37"/>
        <v/>
      </c>
      <c r="S272" s="175" t="str">
        <f t="shared" si="37"/>
        <v/>
      </c>
      <c r="T272" s="175" t="str">
        <f t="shared" si="37"/>
        <v/>
      </c>
      <c r="U272" s="175" t="str">
        <f t="shared" si="37"/>
        <v/>
      </c>
      <c r="V272" s="175" t="str">
        <f t="shared" si="37"/>
        <v/>
      </c>
      <c r="W272" s="175" t="str">
        <f t="shared" si="37"/>
        <v/>
      </c>
      <c r="X272" s="175" t="str">
        <f t="shared" si="37"/>
        <v/>
      </c>
      <c r="Y272" s="175" t="str">
        <f t="shared" si="37"/>
        <v/>
      </c>
      <c r="Z272" s="175" t="str">
        <f t="shared" si="37"/>
        <v/>
      </c>
      <c r="AA272" s="175" t="str">
        <f t="shared" si="37"/>
        <v/>
      </c>
      <c r="AB272" s="175" t="str">
        <f t="shared" si="37"/>
        <v/>
      </c>
      <c r="AC272" s="175" t="str">
        <f t="shared" si="37"/>
        <v/>
      </c>
      <c r="AD272" s="175" t="str">
        <f t="shared" si="37"/>
        <v/>
      </c>
      <c r="AE272" s="175" t="str">
        <f t="shared" si="37"/>
        <v/>
      </c>
      <c r="AF272" s="175" t="str">
        <f t="shared" si="37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38">IF(B240&lt;100,"",B240-330)</f>
        <v/>
      </c>
      <c r="C273" s="175" t="str">
        <f t="shared" si="38"/>
        <v/>
      </c>
      <c r="D273" s="175" t="str">
        <f t="shared" si="38"/>
        <v/>
      </c>
      <c r="E273" s="175" t="str">
        <f t="shared" si="38"/>
        <v/>
      </c>
      <c r="F273" s="175" t="str">
        <f t="shared" si="38"/>
        <v/>
      </c>
      <c r="G273" s="175" t="str">
        <f t="shared" si="38"/>
        <v/>
      </c>
      <c r="H273" s="175" t="str">
        <f t="shared" si="38"/>
        <v/>
      </c>
      <c r="I273" s="175" t="str">
        <f t="shared" si="38"/>
        <v/>
      </c>
      <c r="J273" s="175" t="str">
        <f t="shared" si="38"/>
        <v/>
      </c>
      <c r="K273" s="175" t="str">
        <f t="shared" si="38"/>
        <v/>
      </c>
      <c r="L273" s="175" t="str">
        <f t="shared" si="38"/>
        <v/>
      </c>
      <c r="M273" s="175" t="str">
        <f t="shared" si="38"/>
        <v/>
      </c>
      <c r="N273" s="175" t="str">
        <f t="shared" si="38"/>
        <v/>
      </c>
      <c r="O273" s="175" t="str">
        <f t="shared" si="38"/>
        <v/>
      </c>
      <c r="P273" s="175" t="str">
        <f t="shared" si="38"/>
        <v/>
      </c>
      <c r="Q273" s="175" t="str">
        <f t="shared" si="38"/>
        <v/>
      </c>
      <c r="R273" s="175" t="str">
        <f t="shared" si="38"/>
        <v/>
      </c>
      <c r="S273" s="175" t="str">
        <f t="shared" si="38"/>
        <v/>
      </c>
      <c r="T273" s="175" t="str">
        <f t="shared" si="38"/>
        <v/>
      </c>
      <c r="U273" s="175" t="str">
        <f t="shared" si="38"/>
        <v/>
      </c>
      <c r="V273" s="175" t="str">
        <f t="shared" si="38"/>
        <v/>
      </c>
      <c r="W273" s="175" t="str">
        <f t="shared" si="38"/>
        <v/>
      </c>
      <c r="X273" s="175" t="str">
        <f t="shared" si="38"/>
        <v/>
      </c>
      <c r="Y273" s="175" t="str">
        <f t="shared" si="38"/>
        <v/>
      </c>
      <c r="Z273" s="175" t="str">
        <f t="shared" si="38"/>
        <v/>
      </c>
      <c r="AA273" s="175" t="str">
        <f t="shared" si="38"/>
        <v/>
      </c>
      <c r="AB273" s="175" t="str">
        <f t="shared" si="38"/>
        <v/>
      </c>
      <c r="AC273" s="175" t="str">
        <f t="shared" si="38"/>
        <v/>
      </c>
      <c r="AD273" s="175" t="str">
        <f t="shared" si="38"/>
        <v/>
      </c>
      <c r="AE273" s="175" t="str">
        <f t="shared" si="38"/>
        <v/>
      </c>
      <c r="AF273" s="175" t="str">
        <f t="shared" si="38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39">IF(B241&lt;100,"",B241-1500)</f>
        <v/>
      </c>
      <c r="C274" s="175" t="str">
        <f t="shared" si="39"/>
        <v/>
      </c>
      <c r="D274" s="175" t="str">
        <f t="shared" si="39"/>
        <v/>
      </c>
      <c r="E274" s="175" t="str">
        <f t="shared" si="39"/>
        <v/>
      </c>
      <c r="F274" s="175" t="str">
        <f t="shared" si="39"/>
        <v/>
      </c>
      <c r="G274" s="175" t="str">
        <f t="shared" si="39"/>
        <v/>
      </c>
      <c r="H274" s="175" t="str">
        <f t="shared" si="39"/>
        <v/>
      </c>
      <c r="I274" s="175" t="str">
        <f t="shared" si="39"/>
        <v/>
      </c>
      <c r="J274" s="175" t="str">
        <f t="shared" si="39"/>
        <v/>
      </c>
      <c r="K274" s="175" t="str">
        <f t="shared" si="39"/>
        <v/>
      </c>
      <c r="L274" s="175" t="str">
        <f t="shared" si="39"/>
        <v/>
      </c>
      <c r="M274" s="175" t="str">
        <f t="shared" si="39"/>
        <v/>
      </c>
      <c r="N274" s="175" t="str">
        <f t="shared" si="39"/>
        <v/>
      </c>
      <c r="O274" s="175" t="str">
        <f t="shared" si="39"/>
        <v/>
      </c>
      <c r="P274" s="175" t="str">
        <f t="shared" si="39"/>
        <v/>
      </c>
      <c r="Q274" s="175" t="str">
        <f t="shared" si="39"/>
        <v/>
      </c>
      <c r="R274" s="175" t="str">
        <f t="shared" si="39"/>
        <v/>
      </c>
      <c r="S274" s="175" t="str">
        <f t="shared" si="39"/>
        <v/>
      </c>
      <c r="T274" s="175" t="str">
        <f t="shared" si="39"/>
        <v/>
      </c>
      <c r="U274" s="175" t="str">
        <f t="shared" si="39"/>
        <v/>
      </c>
      <c r="V274" s="175" t="str">
        <f t="shared" si="39"/>
        <v/>
      </c>
      <c r="W274" s="175" t="str">
        <f t="shared" si="39"/>
        <v/>
      </c>
      <c r="X274" s="175" t="str">
        <f t="shared" si="39"/>
        <v/>
      </c>
      <c r="Y274" s="175" t="str">
        <f t="shared" si="39"/>
        <v/>
      </c>
      <c r="Z274" s="175" t="str">
        <f t="shared" si="39"/>
        <v/>
      </c>
      <c r="AA274" s="175" t="str">
        <f t="shared" si="39"/>
        <v/>
      </c>
      <c r="AB274" s="175" t="str">
        <f t="shared" si="39"/>
        <v/>
      </c>
      <c r="AC274" s="175" t="str">
        <f t="shared" si="39"/>
        <v/>
      </c>
      <c r="AD274" s="175" t="str">
        <f t="shared" si="39"/>
        <v/>
      </c>
      <c r="AE274" s="175" t="str">
        <f t="shared" si="39"/>
        <v/>
      </c>
      <c r="AF274" s="175" t="str">
        <f t="shared" si="39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52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26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B16:D16 D111:AF111 D113:AF119 C17:S17 E14:S16 E12:AF12 T14:AF17">
    <cfRule type="expression" dxfId="5864" priority="522">
      <formula>B$9&gt;=20/24</formula>
    </cfRule>
    <cfRule type="expression" dxfId="5863" priority="523">
      <formula>AND(B$9&gt;=14/24,B$9&lt;20/24)</formula>
    </cfRule>
    <cfRule type="expression" dxfId="5862" priority="524">
      <formula>AND(B$9&gt;=8/24,B$9&lt;14/24)</formula>
    </cfRule>
    <cfRule type="expression" dxfId="5861" priority="525">
      <formula>B$9&lt;8/24</formula>
    </cfRule>
  </conditionalFormatting>
  <conditionalFormatting sqref="AL4:AL6">
    <cfRule type="iconSet" priority="521">
      <iconSet iconSet="3TrafficLights2" reverse="1">
        <cfvo type="percent" val="0"/>
        <cfvo type="num" val="1"/>
        <cfvo type="num" val="1"/>
      </iconSet>
    </cfRule>
  </conditionalFormatting>
  <conditionalFormatting sqref="AG67 B16:D16 C17:S17 E14:S16 E12:AF12 T14:AF17">
    <cfRule type="expression" dxfId="5860" priority="520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5859" priority="519">
      <formula>$AH12=0</formula>
    </cfRule>
  </conditionalFormatting>
  <conditionalFormatting sqref="A116">
    <cfRule type="expression" dxfId="5858" priority="518">
      <formula>$AH116=0</formula>
    </cfRule>
  </conditionalFormatting>
  <conditionalFormatting sqref="AL44">
    <cfRule type="iconSet" priority="517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5857" priority="516">
      <formula>$AH47=0</formula>
    </cfRule>
  </conditionalFormatting>
  <conditionalFormatting sqref="A100">
    <cfRule type="expression" dxfId="5856" priority="515">
      <formula>$AH100=0</formula>
    </cfRule>
  </conditionalFormatting>
  <conditionalFormatting sqref="A20">
    <cfRule type="expression" dxfId="5855" priority="514">
      <formula>$AH20=0</formula>
    </cfRule>
  </conditionalFormatting>
  <conditionalFormatting sqref="A199:A204">
    <cfRule type="expression" dxfId="5854" priority="513">
      <formula>$AH199=0</formula>
    </cfRule>
  </conditionalFormatting>
  <conditionalFormatting sqref="A193:A198">
    <cfRule type="expression" dxfId="5853" priority="512">
      <formula>$AH193=0</formula>
    </cfRule>
  </conditionalFormatting>
  <conditionalFormatting sqref="A60">
    <cfRule type="expression" dxfId="5852" priority="511">
      <formula>$AH60=0</formula>
    </cfRule>
  </conditionalFormatting>
  <conditionalFormatting sqref="A96">
    <cfRule type="expression" dxfId="5851" priority="510">
      <formula>$AH96=0</formula>
    </cfRule>
  </conditionalFormatting>
  <conditionalFormatting sqref="AD101:AF101 E101:Y101">
    <cfRule type="expression" dxfId="5850" priority="506">
      <formula>E$9&gt;=20/24</formula>
    </cfRule>
    <cfRule type="expression" dxfId="5849" priority="507">
      <formula>AND(E$9&gt;=14/24,E$9&lt;20/24)</formula>
    </cfRule>
    <cfRule type="expression" dxfId="5848" priority="508">
      <formula>AND(E$9&gt;=8/24,E$9&lt;14/24)</formula>
    </cfRule>
    <cfRule type="expression" dxfId="5847" priority="509">
      <formula>E$9&lt;8/24</formula>
    </cfRule>
  </conditionalFormatting>
  <conditionalFormatting sqref="AL45">
    <cfRule type="iconSet" priority="50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846" priority="528">
      <formula>C$9&gt;=20/24</formula>
    </cfRule>
    <cfRule type="expression" dxfId="5845" priority="529">
      <formula>AND(C$9&gt;=14/24,C$9&lt;20/24)</formula>
    </cfRule>
    <cfRule type="expression" dxfId="5844" priority="530">
      <formula>AND(C$9&gt;=8/24,C$9&lt;14/24)</formula>
    </cfRule>
    <cfRule type="expression" dxfId="5843" priority="531">
      <formula>C$9&lt;8/24</formula>
    </cfRule>
  </conditionalFormatting>
  <conditionalFormatting sqref="A236">
    <cfRule type="expression" dxfId="5842" priority="532">
      <formula>$AH236=0</formula>
    </cfRule>
  </conditionalFormatting>
  <conditionalFormatting sqref="AG248">
    <cfRule type="expression" dxfId="5841" priority="533">
      <formula>B$9&gt;=20/24</formula>
    </cfRule>
    <cfRule type="expression" dxfId="5840" priority="534">
      <formula>AND(B$9&gt;=14/24,B$9&lt;20/24)</formula>
    </cfRule>
    <cfRule type="expression" dxfId="5839" priority="535">
      <formula>AND(B$9&gt;=8/24,B$9&lt;14/24)</formula>
    </cfRule>
    <cfRule type="expression" dxfId="5838" priority="536">
      <formula>B$9&lt;8/24</formula>
    </cfRule>
  </conditionalFormatting>
  <conditionalFormatting sqref="S8">
    <cfRule type="expression" dxfId="5837" priority="501">
      <formula>U$9&gt;=20/24</formula>
    </cfRule>
    <cfRule type="expression" dxfId="5836" priority="502">
      <formula>AND(U$9&gt;=14/24,U$9&lt;20/24)</formula>
    </cfRule>
    <cfRule type="expression" dxfId="5835" priority="503">
      <formula>AND(U$9&gt;=8/24,U$9&lt;14/24)</formula>
    </cfRule>
    <cfRule type="expression" dxfId="5834" priority="504">
      <formula>U$9&lt;8/24</formula>
    </cfRule>
  </conditionalFormatting>
  <conditionalFormatting sqref="AB8">
    <cfRule type="expression" dxfId="5833" priority="497">
      <formula>AD$9&gt;=20/24</formula>
    </cfRule>
    <cfRule type="expression" dxfId="5832" priority="498">
      <formula>AND(AD$9&gt;=14/24,AD$9&lt;20/24)</formula>
    </cfRule>
    <cfRule type="expression" dxfId="5831" priority="499">
      <formula>AND(AD$9&gt;=8/24,AD$9&lt;14/24)</formula>
    </cfRule>
    <cfRule type="expression" dxfId="5830" priority="500">
      <formula>AD$9&lt;8/24</formula>
    </cfRule>
  </conditionalFormatting>
  <conditionalFormatting sqref="AH248:AX248">
    <cfRule type="expression" dxfId="5829" priority="537">
      <formula>AG$9&gt;=20/24</formula>
    </cfRule>
    <cfRule type="expression" dxfId="5828" priority="538">
      <formula>AND(AG$9&gt;=14/24,AG$9&lt;20/24)</formula>
    </cfRule>
    <cfRule type="expression" dxfId="5827" priority="539">
      <formula>AND(AG$9&gt;=8/24,AG$9&lt;14/24)</formula>
    </cfRule>
    <cfRule type="expression" dxfId="5826" priority="540">
      <formula>AG$9&lt;8/24</formula>
    </cfRule>
  </conditionalFormatting>
  <conditionalFormatting sqref="T248">
    <cfRule type="expression" dxfId="5825" priority="541">
      <formula>AX$9&gt;=20/24</formula>
    </cfRule>
    <cfRule type="expression" dxfId="5824" priority="542">
      <formula>AND(AX$9&gt;=14/24,AX$9&lt;20/24)</formula>
    </cfRule>
    <cfRule type="expression" dxfId="5823" priority="543">
      <formula>AND(AX$9&gt;=8/24,AX$9&lt;14/24)</formula>
    </cfRule>
    <cfRule type="expression" dxfId="5822" priority="544">
      <formula>AX$9&lt;8/24</formula>
    </cfRule>
  </conditionalFormatting>
  <conditionalFormatting sqref="A117:A119">
    <cfRule type="expression" dxfId="5821" priority="496">
      <formula>$AH117=0</formula>
    </cfRule>
  </conditionalFormatting>
  <conditionalFormatting sqref="Q56:R59 S59:AF59 E73:AF73">
    <cfRule type="expression" dxfId="5820" priority="492">
      <formula>E$9&gt;=20/24</formula>
    </cfRule>
    <cfRule type="expression" dxfId="5819" priority="493">
      <formula>AND(E$9&gt;=14/24,E$9&lt;20/24)</formula>
    </cfRule>
    <cfRule type="expression" dxfId="5818" priority="494">
      <formula>AND(E$9&gt;=8/24,E$9&lt;14/24)</formula>
    </cfRule>
    <cfRule type="expression" dxfId="5817" priority="495">
      <formula>E$9&lt;8/24</formula>
    </cfRule>
  </conditionalFormatting>
  <conditionalFormatting sqref="Q55:R55">
    <cfRule type="expression" dxfId="5816" priority="488">
      <formula>Q$9&gt;=20/24</formula>
    </cfRule>
    <cfRule type="expression" dxfId="5815" priority="489">
      <formula>AND(Q$9&gt;=14/24,Q$9&lt;20/24)</formula>
    </cfRule>
    <cfRule type="expression" dxfId="5814" priority="490">
      <formula>AND(Q$9&gt;=8/24,Q$9&lt;14/24)</formula>
    </cfRule>
    <cfRule type="expression" dxfId="5813" priority="491">
      <formula>Q$9&lt;8/24</formula>
    </cfRule>
  </conditionalFormatting>
  <conditionalFormatting sqref="Q55:R59 S59:AF59">
    <cfRule type="expression" dxfId="5812" priority="487">
      <formula>Q55&gt;$AG55</formula>
    </cfRule>
  </conditionalFormatting>
  <conditionalFormatting sqref="D88:AF88 X98:AF98 AE102:AF102 X49:AF49 M102:Y108 AF103:AF108 E74:AF75">
    <cfRule type="expression" dxfId="5811" priority="483">
      <formula>D$9&gt;=20/24</formula>
    </cfRule>
    <cfRule type="expression" dxfId="5810" priority="484">
      <formula>AND(D$9&gt;=14/24,D$9&lt;20/24)</formula>
    </cfRule>
    <cfRule type="expression" dxfId="5809" priority="485">
      <formula>AND(D$9&gt;=8/24,D$9&lt;14/24)</formula>
    </cfRule>
    <cfRule type="expression" dxfId="5808" priority="486">
      <formula>D$9&lt;8/24</formula>
    </cfRule>
  </conditionalFormatting>
  <conditionalFormatting sqref="X49:AF49">
    <cfRule type="expression" dxfId="5807" priority="482">
      <formula>X49&gt;$AG49</formula>
    </cfRule>
  </conditionalFormatting>
  <conditionalFormatting sqref="S55:AF58">
    <cfRule type="expression" dxfId="5806" priority="478">
      <formula>S$9&gt;=20/24</formula>
    </cfRule>
    <cfRule type="expression" dxfId="5805" priority="479">
      <formula>AND(S$9&gt;=14/24,S$9&lt;20/24)</formula>
    </cfRule>
    <cfRule type="expression" dxfId="5804" priority="480">
      <formula>AND(S$9&gt;=8/24,S$9&lt;14/24)</formula>
    </cfRule>
    <cfRule type="expression" dxfId="5803" priority="481">
      <formula>S$9&lt;8/24</formula>
    </cfRule>
  </conditionalFormatting>
  <conditionalFormatting sqref="S55:AF58">
    <cfRule type="expression" dxfId="5802" priority="477">
      <formula>S55&gt;$AG55</formula>
    </cfRule>
  </conditionalFormatting>
  <conditionalFormatting sqref="C99:AF99 D90:AF90">
    <cfRule type="expression" dxfId="5801" priority="473">
      <formula>C$9&gt;=20/24</formula>
    </cfRule>
    <cfRule type="expression" dxfId="5800" priority="474">
      <formula>AND(C$9&gt;=14/24,C$9&lt;20/24)</formula>
    </cfRule>
    <cfRule type="expression" dxfId="5799" priority="475">
      <formula>AND(C$9&gt;=8/24,C$9&lt;14/24)</formula>
    </cfRule>
    <cfRule type="expression" dxfId="5798" priority="476">
      <formula>C$9&lt;8/24</formula>
    </cfRule>
  </conditionalFormatting>
  <conditionalFormatting sqref="T49:W49">
    <cfRule type="expression" dxfId="5797" priority="469">
      <formula>T$9&gt;=20/24</formula>
    </cfRule>
    <cfRule type="expression" dxfId="5796" priority="470">
      <formula>AND(T$9&gt;=14/24,T$9&lt;20/24)</formula>
    </cfRule>
    <cfRule type="expression" dxfId="5795" priority="471">
      <formula>AND(T$9&gt;=8/24,T$9&lt;14/24)</formula>
    </cfRule>
    <cfRule type="expression" dxfId="5794" priority="472">
      <formula>T$9&lt;8/24</formula>
    </cfRule>
  </conditionalFormatting>
  <conditionalFormatting sqref="T49:W49">
    <cfRule type="expression" dxfId="5793" priority="468">
      <formula>T49&gt;$AG49</formula>
    </cfRule>
  </conditionalFormatting>
  <conditionalFormatting sqref="E56:P57">
    <cfRule type="expression" dxfId="5792" priority="464">
      <formula>E$9&gt;=20/24</formula>
    </cfRule>
    <cfRule type="expression" dxfId="5791" priority="465">
      <formula>AND(E$9&gt;=14/24,E$9&lt;20/24)</formula>
    </cfRule>
    <cfRule type="expression" dxfId="5790" priority="466">
      <formula>AND(E$9&gt;=8/24,E$9&lt;14/24)</formula>
    </cfRule>
    <cfRule type="expression" dxfId="5789" priority="467">
      <formula>E$9&lt;8/24</formula>
    </cfRule>
  </conditionalFormatting>
  <conditionalFormatting sqref="E55:P55">
    <cfRule type="expression" dxfId="5788" priority="460">
      <formula>E$9&gt;=20/24</formula>
    </cfRule>
    <cfRule type="expression" dxfId="5787" priority="461">
      <formula>AND(E$9&gt;=14/24,E$9&lt;20/24)</formula>
    </cfRule>
    <cfRule type="expression" dxfId="5786" priority="462">
      <formula>AND(E$9&gt;=8/24,E$9&lt;14/24)</formula>
    </cfRule>
    <cfRule type="expression" dxfId="5785" priority="463">
      <formula>E$9&lt;8/24</formula>
    </cfRule>
  </conditionalFormatting>
  <conditionalFormatting sqref="E55:P57">
    <cfRule type="expression" dxfId="5784" priority="459">
      <formula>E55&gt;$AG55</formula>
    </cfRule>
  </conditionalFormatting>
  <conditionalFormatting sqref="AG72 AG89 E102:L108">
    <cfRule type="expression" dxfId="5783" priority="455">
      <formula>E$9&gt;=20/24</formula>
    </cfRule>
    <cfRule type="expression" dxfId="5782" priority="456">
      <formula>AND(E$9&gt;=14/24,E$9&lt;20/24)</formula>
    </cfRule>
    <cfRule type="expression" dxfId="5781" priority="457">
      <formula>AND(E$9&gt;=8/24,E$9&lt;14/24)</formula>
    </cfRule>
    <cfRule type="expression" dxfId="5780" priority="458">
      <formula>E$9&lt;8/24</formula>
    </cfRule>
  </conditionalFormatting>
  <conditionalFormatting sqref="AG50 AG68 AG72">
    <cfRule type="expression" dxfId="5779" priority="454">
      <formula>AG50&gt;$AG50</formula>
    </cfRule>
  </conditionalFormatting>
  <conditionalFormatting sqref="A45">
    <cfRule type="expression" dxfId="5778" priority="448">
      <formula>$AH45=0</formula>
    </cfRule>
  </conditionalFormatting>
  <conditionalFormatting sqref="X93:AF97">
    <cfRule type="expression" dxfId="5777" priority="444">
      <formula>X$9&gt;=20/24</formula>
    </cfRule>
    <cfRule type="expression" dxfId="5776" priority="445">
      <formula>AND(X$9&gt;=14/24,X$9&lt;20/24)</formula>
    </cfRule>
    <cfRule type="expression" dxfId="5775" priority="446">
      <formula>AND(X$9&gt;=8/24,X$9&lt;14/24)</formula>
    </cfRule>
    <cfRule type="expression" dxfId="5774" priority="447">
      <formula>X$9&lt;8/24</formula>
    </cfRule>
  </conditionalFormatting>
  <conditionalFormatting sqref="AL47 AL43 AL24:AL34 AL40:AL41 AL19:AL22 AL36:AL38 AL7:AL17">
    <cfRule type="iconSet" priority="545">
      <iconSet iconSet="3TrafficLights2" reverse="1">
        <cfvo type="percent" val="0"/>
        <cfvo type="num" val="1"/>
        <cfvo type="num" val="1"/>
      </iconSet>
    </cfRule>
  </conditionalFormatting>
  <conditionalFormatting sqref="Q51:AF53">
    <cfRule type="expression" dxfId="5773" priority="440">
      <formula>Q$9&gt;=20/24</formula>
    </cfRule>
    <cfRule type="expression" dxfId="5772" priority="441">
      <formula>AND(Q$9&gt;=14/24,Q$9&lt;20/24)</formula>
    </cfRule>
    <cfRule type="expression" dxfId="5771" priority="442">
      <formula>AND(Q$9&gt;=8/24,Q$9&lt;14/24)</formula>
    </cfRule>
    <cfRule type="expression" dxfId="5770" priority="443">
      <formula>Q$9&lt;8/24</formula>
    </cfRule>
  </conditionalFormatting>
  <conditionalFormatting sqref="Q51:AF53">
    <cfRule type="expression" dxfId="5769" priority="439">
      <formula>Q51&gt;$AG51</formula>
    </cfRule>
  </conditionalFormatting>
  <conditionalFormatting sqref="AG54">
    <cfRule type="expression" dxfId="5768" priority="435">
      <formula>AG$9&gt;=20/24</formula>
    </cfRule>
    <cfRule type="expression" dxfId="5767" priority="436">
      <formula>AND(AG$9&gt;=14/24,AG$9&lt;20/24)</formula>
    </cfRule>
    <cfRule type="expression" dxfId="5766" priority="437">
      <formula>AND(AG$9&gt;=8/24,AG$9&lt;14/24)</formula>
    </cfRule>
    <cfRule type="expression" dxfId="5765" priority="438">
      <formula>AG$9&lt;8/24</formula>
    </cfRule>
  </conditionalFormatting>
  <conditionalFormatting sqref="AG54">
    <cfRule type="expression" dxfId="5764" priority="434">
      <formula>AG54&gt;$AG54</formula>
    </cfRule>
  </conditionalFormatting>
  <conditionalFormatting sqref="C109:AF109">
    <cfRule type="expression" dxfId="5763" priority="430">
      <formula>C$9&gt;=20/24</formula>
    </cfRule>
    <cfRule type="expression" dxfId="5762" priority="431">
      <formula>AND(C$9&gt;=14/24,C$9&lt;20/24)</formula>
    </cfRule>
    <cfRule type="expression" dxfId="5761" priority="432">
      <formula>AND(C$9&gt;=8/24,C$9&lt;14/24)</formula>
    </cfRule>
    <cfRule type="expression" dxfId="5760" priority="433">
      <formula>C$9&lt;8/24</formula>
    </cfRule>
  </conditionalFormatting>
  <conditionalFormatting sqref="AL42">
    <cfRule type="iconSet" priority="429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5759" priority="428">
      <formula>$AH42=0</formula>
    </cfRule>
  </conditionalFormatting>
  <conditionalFormatting sqref="A92">
    <cfRule type="expression" dxfId="5758" priority="426">
      <formula>$AH92=0</formula>
    </cfRule>
  </conditionalFormatting>
  <conditionalFormatting sqref="A89">
    <cfRule type="expression" dxfId="5757" priority="427">
      <formula>$AH89=0</formula>
    </cfRule>
  </conditionalFormatting>
  <conditionalFormatting sqref="D112:AF112">
    <cfRule type="expression" dxfId="5756" priority="422">
      <formula>D$9&gt;=20/24</formula>
    </cfRule>
    <cfRule type="expression" dxfId="5755" priority="423">
      <formula>AND(D$9&gt;=14/24,D$9&lt;20/24)</formula>
    </cfRule>
    <cfRule type="expression" dxfId="5754" priority="424">
      <formula>AND(D$9&gt;=8/24,D$9&lt;14/24)</formula>
    </cfRule>
    <cfRule type="expression" dxfId="5753" priority="425">
      <formula>D$9&lt;8/24</formula>
    </cfRule>
  </conditionalFormatting>
  <conditionalFormatting sqref="A112">
    <cfRule type="expression" dxfId="5752" priority="421">
      <formula>$AH112=0</formula>
    </cfRule>
  </conditionalFormatting>
  <conditionalFormatting sqref="A23">
    <cfRule type="expression" dxfId="5751" priority="419">
      <formula>$AH23=0</formula>
    </cfRule>
  </conditionalFormatting>
  <conditionalFormatting sqref="AL23">
    <cfRule type="iconSet" priority="420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5750" priority="417">
      <formula>$AH39=0</formula>
    </cfRule>
  </conditionalFormatting>
  <conditionalFormatting sqref="AL39">
    <cfRule type="iconSet" priority="418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5749" priority="413">
      <formula>Z$9&gt;=20/24</formula>
    </cfRule>
    <cfRule type="expression" dxfId="5748" priority="414">
      <formula>AND(Z$9&gt;=14/24,Z$9&lt;20/24)</formula>
    </cfRule>
    <cfRule type="expression" dxfId="5747" priority="415">
      <formula>AND(Z$9&gt;=8/24,Z$9&lt;14/24)</formula>
    </cfRule>
    <cfRule type="expression" dxfId="5746" priority="416">
      <formula>Z$9&lt;8/24</formula>
    </cfRule>
  </conditionalFormatting>
  <conditionalFormatting sqref="Z102:AD108 AE103:AE108">
    <cfRule type="expression" dxfId="5745" priority="409">
      <formula>Z$9&gt;=20/24</formula>
    </cfRule>
    <cfRule type="expression" dxfId="5744" priority="410">
      <formula>AND(Z$9&gt;=14/24,Z$9&lt;20/24)</formula>
    </cfRule>
    <cfRule type="expression" dxfId="5743" priority="411">
      <formula>AND(Z$9&gt;=8/24,Z$9&lt;14/24)</formula>
    </cfRule>
    <cfRule type="expression" dxfId="5742" priority="412">
      <formula>Z$9&lt;8/24</formula>
    </cfRule>
  </conditionalFormatting>
  <conditionalFormatting sqref="C111 C113:C119">
    <cfRule type="expression" dxfId="5741" priority="405">
      <formula>C$9&gt;=20/24</formula>
    </cfRule>
    <cfRule type="expression" dxfId="5740" priority="406">
      <formula>AND(C$9&gt;=14/24,C$9&lt;20/24)</formula>
    </cfRule>
    <cfRule type="expression" dxfId="5739" priority="407">
      <formula>AND(C$9&gt;=8/24,C$9&lt;14/24)</formula>
    </cfRule>
    <cfRule type="expression" dxfId="5738" priority="408">
      <formula>C$9&lt;8/24</formula>
    </cfRule>
  </conditionalFormatting>
  <conditionalFormatting sqref="E49:S49">
    <cfRule type="expression" dxfId="5737" priority="401">
      <formula>E$9&gt;=20/24</formula>
    </cfRule>
    <cfRule type="expression" dxfId="5736" priority="402">
      <formula>AND(E$9&gt;=14/24,E$9&lt;20/24)</formula>
    </cfRule>
    <cfRule type="expression" dxfId="5735" priority="403">
      <formula>AND(E$9&gt;=8/24,E$9&lt;14/24)</formula>
    </cfRule>
    <cfRule type="expression" dxfId="5734" priority="404">
      <formula>E$9&lt;8/24</formula>
    </cfRule>
  </conditionalFormatting>
  <conditionalFormatting sqref="E49:S49">
    <cfRule type="expression" dxfId="5733" priority="400">
      <formula>E49&gt;$AG49</formula>
    </cfRule>
  </conditionalFormatting>
  <conditionalFormatting sqref="C101:D101">
    <cfRule type="expression" dxfId="5732" priority="396">
      <formula>C$9&gt;=20/24</formula>
    </cfRule>
    <cfRule type="expression" dxfId="5731" priority="397">
      <formula>AND(C$9&gt;=14/24,C$9&lt;20/24)</formula>
    </cfRule>
    <cfRule type="expression" dxfId="5730" priority="398">
      <formula>AND(C$9&gt;=8/24,C$9&lt;14/24)</formula>
    </cfRule>
    <cfRule type="expression" dxfId="5729" priority="399">
      <formula>C$9&lt;8/24</formula>
    </cfRule>
  </conditionalFormatting>
  <conditionalFormatting sqref="C88 C98:W98 C85:AF87 F76:M76 M77:M83 N76:N83 R77:R78 O76:R76 O77:Q83 K69:AF71 S76:AF78">
    <cfRule type="expression" dxfId="5728" priority="392">
      <formula>C$9&gt;=20/24</formula>
    </cfRule>
    <cfRule type="expression" dxfId="5727" priority="393">
      <formula>AND(C$9&gt;=14/24,C$9&lt;20/24)</formula>
    </cfRule>
    <cfRule type="expression" dxfId="5726" priority="394">
      <formula>AND(C$9&gt;=8/24,C$9&lt;14/24)</formula>
    </cfRule>
    <cfRule type="expression" dxfId="5725" priority="395">
      <formula>C$9&lt;8/24</formula>
    </cfRule>
  </conditionalFormatting>
  <conditionalFormatting sqref="E58:L58 C59:L59 M58:P59 K69:AF71">
    <cfRule type="expression" dxfId="5724" priority="391">
      <formula>C58&gt;$AG58</formula>
    </cfRule>
  </conditionalFormatting>
  <conditionalFormatting sqref="C73:D73">
    <cfRule type="expression" dxfId="5723" priority="337">
      <formula>C$9&gt;=20/24</formula>
    </cfRule>
    <cfRule type="expression" dxfId="5722" priority="338">
      <formula>AND(C$9&gt;=14/24,C$9&lt;20/24)</formula>
    </cfRule>
    <cfRule type="expression" dxfId="5721" priority="339">
      <formula>AND(C$9&gt;=8/24,C$9&lt;14/24)</formula>
    </cfRule>
    <cfRule type="expression" dxfId="5720" priority="340">
      <formula>C$9&lt;8/24</formula>
    </cfRule>
  </conditionalFormatting>
  <conditionalFormatting sqref="C89:AF89 C91:AF91 C100:AF100 C72:AF72">
    <cfRule type="expression" dxfId="5719" priority="387">
      <formula>C$9&gt;=20/24</formula>
    </cfRule>
    <cfRule type="expression" dxfId="5718" priority="388">
      <formula>AND(C$9&gt;=14/24,C$9&lt;20/24)</formula>
    </cfRule>
    <cfRule type="expression" dxfId="5717" priority="389">
      <formula>AND(C$9&gt;=8/24,C$9&lt;14/24)</formula>
    </cfRule>
    <cfRule type="expression" dxfId="5716" priority="390">
      <formula>C$9&lt;8/24</formula>
    </cfRule>
  </conditionalFormatting>
  <conditionalFormatting sqref="D67:AF68 C72:AF72">
    <cfRule type="expression" dxfId="5715" priority="386">
      <formula>C67&gt;$AG67</formula>
    </cfRule>
  </conditionalFormatting>
  <conditionalFormatting sqref="C84:AF84">
    <cfRule type="expression" dxfId="5714" priority="382">
      <formula>C$9&gt;=20/24</formula>
    </cfRule>
    <cfRule type="expression" dxfId="5713" priority="383">
      <formula>AND(C$9&gt;=14/24,C$9&lt;20/24)</formula>
    </cfRule>
    <cfRule type="expression" dxfId="5712" priority="384">
      <formula>AND(C$9&gt;=8/24,C$9&lt;14/24)</formula>
    </cfRule>
    <cfRule type="expression" dxfId="5711" priority="385">
      <formula>C$9&lt;8/24</formula>
    </cfRule>
  </conditionalFormatting>
  <conditionalFormatting sqref="C93:W97">
    <cfRule type="expression" dxfId="5710" priority="378">
      <formula>C$9&gt;=20/24</formula>
    </cfRule>
    <cfRule type="expression" dxfId="5709" priority="379">
      <formula>AND(C$9&gt;=14/24,C$9&lt;20/24)</formula>
    </cfRule>
    <cfRule type="expression" dxfId="5708" priority="380">
      <formula>AND(C$9&gt;=8/24,C$9&lt;14/24)</formula>
    </cfRule>
    <cfRule type="expression" dxfId="5707" priority="381">
      <formula>C$9&lt;8/24</formula>
    </cfRule>
  </conditionalFormatting>
  <conditionalFormatting sqref="D54:AF54">
    <cfRule type="expression" dxfId="5706" priority="374">
      <formula>D$9&gt;=20/24</formula>
    </cfRule>
    <cfRule type="expression" dxfId="5705" priority="375">
      <formula>AND(D$9&gt;=14/24,D$9&lt;20/24)</formula>
    </cfRule>
    <cfRule type="expression" dxfId="5704" priority="376">
      <formula>AND(D$9&gt;=8/24,D$9&lt;14/24)</formula>
    </cfRule>
    <cfRule type="expression" dxfId="5703" priority="377">
      <formula>D$9&lt;8/24</formula>
    </cfRule>
  </conditionalFormatting>
  <conditionalFormatting sqref="D54:AF54">
    <cfRule type="expression" dxfId="5702" priority="373">
      <formula>D54&gt;$AG54</formula>
    </cfRule>
  </conditionalFormatting>
  <conditionalFormatting sqref="C112">
    <cfRule type="expression" dxfId="5701" priority="369">
      <formula>C$9&gt;=20/24</formula>
    </cfRule>
    <cfRule type="expression" dxfId="5700" priority="370">
      <formula>AND(C$9&gt;=14/24,C$9&lt;20/24)</formula>
    </cfRule>
    <cfRule type="expression" dxfId="5699" priority="371">
      <formula>AND(C$9&gt;=8/24,C$9&lt;14/24)</formula>
    </cfRule>
    <cfRule type="expression" dxfId="5698" priority="372">
      <formula>C$9&lt;8/24</formula>
    </cfRule>
  </conditionalFormatting>
  <conditionalFormatting sqref="Y13:AF13">
    <cfRule type="expression" dxfId="5697" priority="359">
      <formula>Y$9&gt;=20/24</formula>
    </cfRule>
    <cfRule type="expression" dxfId="5696" priority="360">
      <formula>AND(Y$9&gt;=14/24,Y$9&lt;20/24)</formula>
    </cfRule>
    <cfRule type="expression" dxfId="5695" priority="361">
      <formula>AND(Y$9&gt;=8/24,Y$9&lt;14/24)</formula>
    </cfRule>
    <cfRule type="expression" dxfId="5694" priority="362">
      <formula>Y$9&lt;8/24</formula>
    </cfRule>
  </conditionalFormatting>
  <conditionalFormatting sqref="Y13:AF13">
    <cfRule type="expression" dxfId="5693" priority="358">
      <formula>Y13&gt;$AG13</formula>
    </cfRule>
  </conditionalFormatting>
  <conditionalFormatting sqref="R79:AF83">
    <cfRule type="expression" dxfId="5692" priority="350">
      <formula>R$9&gt;=20/24</formula>
    </cfRule>
    <cfRule type="expression" dxfId="5691" priority="351">
      <formula>AND(R$9&gt;=14/24,R$9&lt;20/24)</formula>
    </cfRule>
    <cfRule type="expression" dxfId="5690" priority="352">
      <formula>AND(R$9&gt;=8/24,R$9&lt;14/24)</formula>
    </cfRule>
    <cfRule type="expression" dxfId="5689" priority="353">
      <formula>R$9&lt;8/24</formula>
    </cfRule>
  </conditionalFormatting>
  <conditionalFormatting sqref="AL80:AN80 AL86:AN86 AN81:AN82">
    <cfRule type="expression" dxfId="5688" priority="346">
      <formula>AL$9&gt;=20/24</formula>
    </cfRule>
    <cfRule type="expression" dxfId="5687" priority="347">
      <formula>AND(AL$9&gt;=14/24,AL$9&lt;20/24)</formula>
    </cfRule>
    <cfRule type="expression" dxfId="5686" priority="348">
      <formula>AND(AL$9&gt;=8/24,AL$9&lt;14/24)</formula>
    </cfRule>
    <cfRule type="expression" dxfId="5685" priority="349">
      <formula>AL$9&lt;8/24</formula>
    </cfRule>
  </conditionalFormatting>
  <conditionalFormatting sqref="AN83:AN84">
    <cfRule type="expression" dxfId="5684" priority="342">
      <formula>AN$9&gt;=20/24</formula>
    </cfRule>
    <cfRule type="expression" dxfId="5683" priority="343">
      <formula>AND(AN$9&gt;=14/24,AN$9&lt;20/24)</formula>
    </cfRule>
    <cfRule type="expression" dxfId="5682" priority="344">
      <formula>AND(AN$9&gt;=8/24,AN$9&lt;14/24)</formula>
    </cfRule>
    <cfRule type="expression" dxfId="5681" priority="345">
      <formula>AN$9&lt;8/24</formula>
    </cfRule>
  </conditionalFormatting>
  <conditionalFormatting sqref="AL81:AM85">
    <cfRule type="expression" dxfId="5680" priority="546">
      <formula>AJ$9&gt;=20/24</formula>
    </cfRule>
    <cfRule type="expression" dxfId="5679" priority="547">
      <formula>AND(AJ$9&gt;=14/24,AJ$9&lt;20/24)</formula>
    </cfRule>
    <cfRule type="expression" dxfId="5678" priority="548">
      <formula>AND(AJ$9&gt;=8/24,AJ$9&lt;14/24)</formula>
    </cfRule>
    <cfRule type="expression" dxfId="5677" priority="549">
      <formula>AJ$9&lt;8/24</formula>
    </cfRule>
  </conditionalFormatting>
  <conditionalFormatting sqref="A120">
    <cfRule type="expression" dxfId="5676" priority="341">
      <formula>$AH120=0</formula>
    </cfRule>
  </conditionalFormatting>
  <conditionalFormatting sqref="C74:D75 C102:D102">
    <cfRule type="expression" dxfId="5675" priority="328">
      <formula>C$9&gt;=20/24</formula>
    </cfRule>
    <cfRule type="expression" dxfId="5674" priority="329">
      <formula>AND(C$9&gt;=14/24,C$9&lt;20/24)</formula>
    </cfRule>
    <cfRule type="expression" dxfId="5673" priority="330">
      <formula>AND(C$9&gt;=8/24,C$9&lt;14/24)</formula>
    </cfRule>
    <cfRule type="expression" dxfId="5672" priority="331">
      <formula>C$9&lt;8/24</formula>
    </cfRule>
  </conditionalFormatting>
  <conditionalFormatting sqref="C90">
    <cfRule type="expression" dxfId="5671" priority="323">
      <formula>C$9&gt;=20/24</formula>
    </cfRule>
    <cfRule type="expression" dxfId="5670" priority="324">
      <formula>AND(C$9&gt;=14/24,C$9&lt;20/24)</formula>
    </cfRule>
    <cfRule type="expression" dxfId="5669" priority="325">
      <formula>AND(C$9&gt;=8/24,C$9&lt;14/24)</formula>
    </cfRule>
    <cfRule type="expression" dxfId="5668" priority="326">
      <formula>C$9&lt;8/24</formula>
    </cfRule>
  </conditionalFormatting>
  <conditionalFormatting sqref="I60:AF60">
    <cfRule type="expression" dxfId="5667" priority="314">
      <formula>I$9&gt;=20/24</formula>
    </cfRule>
    <cfRule type="expression" dxfId="5666" priority="315">
      <formula>AND(I$9&gt;=14/24,I$9&lt;20/24)</formula>
    </cfRule>
    <cfRule type="expression" dxfId="5665" priority="316">
      <formula>AND(I$9&gt;=8/24,I$9&lt;14/24)</formula>
    </cfRule>
    <cfRule type="expression" dxfId="5664" priority="317">
      <formula>I$9&lt;8/24</formula>
    </cfRule>
  </conditionalFormatting>
  <conditionalFormatting sqref="I60:AF60">
    <cfRule type="expression" dxfId="5663" priority="313">
      <formula>I60&gt;$AG60</formula>
    </cfRule>
  </conditionalFormatting>
  <conditionalFormatting sqref="C49:D49">
    <cfRule type="expression" dxfId="5662" priority="243">
      <formula>C$9&gt;=20/24</formula>
    </cfRule>
    <cfRule type="expression" dxfId="5661" priority="244">
      <formula>AND(C$9&gt;=14/24,C$9&lt;20/24)</formula>
    </cfRule>
    <cfRule type="expression" dxfId="5660" priority="245">
      <formula>AND(C$9&gt;=8/24,C$9&lt;14/24)</formula>
    </cfRule>
    <cfRule type="expression" dxfId="5659" priority="246">
      <formula>C$9&lt;8/24</formula>
    </cfRule>
  </conditionalFormatting>
  <conditionalFormatting sqref="I50:AF50">
    <cfRule type="expression" dxfId="5658" priority="308">
      <formula>I50&gt;$AG50</formula>
    </cfRule>
  </conditionalFormatting>
  <conditionalFormatting sqref="I63:P66 Q61:AF66">
    <cfRule type="expression" dxfId="5657" priority="304">
      <formula>I$9&gt;=20/24</formula>
    </cfRule>
    <cfRule type="expression" dxfId="5656" priority="305">
      <formula>AND(I$9&gt;=14/24,I$9&lt;20/24)</formula>
    </cfRule>
    <cfRule type="expression" dxfId="5655" priority="306">
      <formula>AND(I$9&gt;=8/24,I$9&lt;14/24)</formula>
    </cfRule>
    <cfRule type="expression" dxfId="5654" priority="307">
      <formula>I$9&lt;8/24</formula>
    </cfRule>
  </conditionalFormatting>
  <conditionalFormatting sqref="I63:P66 Q61:AF66">
    <cfRule type="expression" dxfId="5653" priority="303">
      <formula>I61&gt;$AG61</formula>
    </cfRule>
  </conditionalFormatting>
  <conditionalFormatting sqref="A11">
    <cfRule type="expression" dxfId="5652" priority="298">
      <formula>$AH11=0</formula>
    </cfRule>
  </conditionalFormatting>
  <conditionalFormatting sqref="Y11:AF11">
    <cfRule type="expression" dxfId="5651" priority="294">
      <formula>Y$9&gt;=20/24</formula>
    </cfRule>
    <cfRule type="expression" dxfId="5650" priority="295">
      <formula>AND(Y$9&gt;=14/24,Y$9&lt;20/24)</formula>
    </cfRule>
    <cfRule type="expression" dxfId="5649" priority="296">
      <formula>AND(Y$9&gt;=8/24,Y$9&lt;14/24)</formula>
    </cfRule>
    <cfRule type="expression" dxfId="5648" priority="297">
      <formula>Y$9&lt;8/24</formula>
    </cfRule>
  </conditionalFormatting>
  <conditionalFormatting sqref="Y11:AF11">
    <cfRule type="expression" dxfId="5647" priority="293">
      <formula>Y11&gt;$AG11</formula>
    </cfRule>
  </conditionalFormatting>
  <conditionalFormatting sqref="A18">
    <cfRule type="expression" dxfId="5646" priority="291">
      <formula>$AH18=0</formula>
    </cfRule>
  </conditionalFormatting>
  <conditionalFormatting sqref="AL18">
    <cfRule type="iconSet" priority="292">
      <iconSet iconSet="3TrafficLights2" reverse="1">
        <cfvo type="percent" val="0"/>
        <cfvo type="num" val="1"/>
        <cfvo type="num" val="1"/>
      </iconSet>
    </cfRule>
  </conditionalFormatting>
  <conditionalFormatting sqref="Y18:AF18">
    <cfRule type="expression" dxfId="5645" priority="287">
      <formula>Y$9&gt;=20/24</formula>
    </cfRule>
    <cfRule type="expression" dxfId="5644" priority="288">
      <formula>AND(Y$9&gt;=14/24,Y$9&lt;20/24)</formula>
    </cfRule>
    <cfRule type="expression" dxfId="5643" priority="289">
      <formula>AND(Y$9&gt;=8/24,Y$9&lt;14/24)</formula>
    </cfRule>
    <cfRule type="expression" dxfId="5642" priority="290">
      <formula>Y$9&lt;8/24</formula>
    </cfRule>
  </conditionalFormatting>
  <conditionalFormatting sqref="Y18:AF18">
    <cfRule type="expression" dxfId="5641" priority="286">
      <formula>Y18&gt;$AG18</formula>
    </cfRule>
  </conditionalFormatting>
  <conditionalFormatting sqref="A35">
    <cfRule type="expression" dxfId="5640" priority="284">
      <formula>$AH35=0</formula>
    </cfRule>
  </conditionalFormatting>
  <conditionalFormatting sqref="AL35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A46">
    <cfRule type="expression" dxfId="5639" priority="277">
      <formula>$AH46=0</formula>
    </cfRule>
  </conditionalFormatting>
  <conditionalFormatting sqref="AL46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D120:AF120">
    <cfRule type="expression" dxfId="5638" priority="268">
      <formula>D$9&gt;=20/24</formula>
    </cfRule>
    <cfRule type="expression" dxfId="5637" priority="269">
      <formula>AND(D$9&gt;=14/24,D$9&lt;20/24)</formula>
    </cfRule>
    <cfRule type="expression" dxfId="5636" priority="270">
      <formula>AND(D$9&gt;=8/24,D$9&lt;14/24)</formula>
    </cfRule>
    <cfRule type="expression" dxfId="5635" priority="271">
      <formula>D$9&lt;8/24</formula>
    </cfRule>
  </conditionalFormatting>
  <conditionalFormatting sqref="C120">
    <cfRule type="expression" dxfId="5634" priority="264">
      <formula>C$9&gt;=20/24</formula>
    </cfRule>
    <cfRule type="expression" dxfId="5633" priority="265">
      <formula>AND(C$9&gt;=14/24,C$9&lt;20/24)</formula>
    </cfRule>
    <cfRule type="expression" dxfId="5632" priority="266">
      <formula>AND(C$9&gt;=8/24,C$9&lt;14/24)</formula>
    </cfRule>
    <cfRule type="expression" dxfId="5631" priority="267">
      <formula>C$9&lt;8/24</formula>
    </cfRule>
  </conditionalFormatting>
  <conditionalFormatting sqref="C49:D49">
    <cfRule type="expression" dxfId="5630" priority="242">
      <formula>C49&gt;$AG49</formula>
    </cfRule>
  </conditionalFormatting>
  <conditionalFormatting sqref="I24:Q25 F39:Q39 F27:Q27 F45:Q45 E19:Q20 R36:AB40 R19:AB22 E23:AB23 R24:AB28 I33:Q34 R42:AB45 F41:AB41 AC19:AF28 R30:AF34 AC36:AF45">
    <cfRule type="expression" dxfId="5629" priority="212">
      <formula>E$9&gt;=20/24</formula>
    </cfRule>
    <cfRule type="expression" dxfId="5628" priority="213">
      <formula>AND(E$9&gt;=14/24,E$9&lt;20/24)</formula>
    </cfRule>
    <cfRule type="expression" dxfId="5627" priority="214">
      <formula>AND(E$9&gt;=8/24,E$9&lt;14/24)</formula>
    </cfRule>
    <cfRule type="expression" dxfId="5626" priority="215">
      <formula>E$9&lt;8/24</formula>
    </cfRule>
  </conditionalFormatting>
  <conditionalFormatting sqref="I24:Q25 F39:Q39 F27:Q27 F45:Q45 E19:Q20 R36:AB40 R19:AB22 E23:AB23 R24:AB28 I33:Q34 R42:AB45 F41:AB41 AC19:AF28 R30:AF34 AC36:AF45">
    <cfRule type="expression" dxfId="5625" priority="211">
      <formula>E19&gt;$AG19</formula>
    </cfRule>
  </conditionalFormatting>
  <conditionalFormatting sqref="C67:C68">
    <cfRule type="expression" dxfId="5624" priority="202">
      <formula>C67&gt;$AG67</formula>
    </cfRule>
  </conditionalFormatting>
  <conditionalFormatting sqref="C54">
    <cfRule type="expression" dxfId="5623" priority="194">
      <formula>C$9&gt;=20/24</formula>
    </cfRule>
    <cfRule type="expression" dxfId="5622" priority="195">
      <formula>AND(C$9&gt;=14/24,C$9&lt;20/24)</formula>
    </cfRule>
    <cfRule type="expression" dxfId="5621" priority="196">
      <formula>AND(C$9&gt;=8/24,C$9&lt;14/24)</formula>
    </cfRule>
    <cfRule type="expression" dxfId="5620" priority="197">
      <formula>C$9&lt;8/24</formula>
    </cfRule>
  </conditionalFormatting>
  <conditionalFormatting sqref="C54">
    <cfRule type="expression" dxfId="5619" priority="193">
      <formula>C54&gt;$AG54</formula>
    </cfRule>
  </conditionalFormatting>
  <conditionalFormatting sqref="R47:AF47">
    <cfRule type="expression" dxfId="5618" priority="187">
      <formula>R47&gt;$AG47</formula>
    </cfRule>
  </conditionalFormatting>
  <conditionalFormatting sqref="E13:X13">
    <cfRule type="expression" dxfId="5617" priority="183">
      <formula>E$9&gt;=20/24</formula>
    </cfRule>
    <cfRule type="expression" dxfId="5616" priority="184">
      <formula>AND(E$9&gt;=14/24,E$9&lt;20/24)</formula>
    </cfRule>
    <cfRule type="expression" dxfId="5615" priority="185">
      <formula>AND(E$9&gt;=8/24,E$9&lt;14/24)</formula>
    </cfRule>
    <cfRule type="expression" dxfId="5614" priority="186">
      <formula>E$9&lt;8/24</formula>
    </cfRule>
  </conditionalFormatting>
  <conditionalFormatting sqref="E13:X13">
    <cfRule type="expression" dxfId="5613" priority="182">
      <formula>E13&gt;$AG13</formula>
    </cfRule>
  </conditionalFormatting>
  <conditionalFormatting sqref="R47:AF47">
    <cfRule type="expression" dxfId="5612" priority="178">
      <formula>R$9&gt;=20/24</formula>
    </cfRule>
    <cfRule type="expression" dxfId="5611" priority="179">
      <formula>AND(R$9&gt;=14/24,R$9&lt;20/24)</formula>
    </cfRule>
    <cfRule type="expression" dxfId="5610" priority="180">
      <formula>AND(R$9&gt;=8/24,R$9&lt;14/24)</formula>
    </cfRule>
    <cfRule type="expression" dxfId="5609" priority="181">
      <formula>R$9&lt;8/24</formula>
    </cfRule>
  </conditionalFormatting>
  <conditionalFormatting sqref="R48:AF48">
    <cfRule type="expression" dxfId="5608" priority="174">
      <formula>R$9&gt;=20/24</formula>
    </cfRule>
    <cfRule type="expression" dxfId="5607" priority="175">
      <formula>AND(R$9&gt;=14/24,R$9&lt;20/24)</formula>
    </cfRule>
    <cfRule type="expression" dxfId="5606" priority="176">
      <formula>AND(R$9&gt;=8/24,R$9&lt;14/24)</formula>
    </cfRule>
    <cfRule type="expression" dxfId="5605" priority="177">
      <formula>R$9&lt;8/24</formula>
    </cfRule>
  </conditionalFormatting>
  <conditionalFormatting sqref="R48:AF48">
    <cfRule type="expression" dxfId="5604" priority="173">
      <formula>R48&gt;$AG48</formula>
    </cfRule>
  </conditionalFormatting>
  <conditionalFormatting sqref="C50:H50">
    <cfRule type="expression" dxfId="5603" priority="172">
      <formula>C50&gt;$AG50</formula>
    </cfRule>
  </conditionalFormatting>
  <conditionalFormatting sqref="E11:X11">
    <cfRule type="expression" dxfId="5602" priority="168">
      <formula>E$9&gt;=20/24</formula>
    </cfRule>
    <cfRule type="expression" dxfId="5601" priority="169">
      <formula>AND(E$9&gt;=14/24,E$9&lt;20/24)</formula>
    </cfRule>
    <cfRule type="expression" dxfId="5600" priority="170">
      <formula>AND(E$9&gt;=8/24,E$9&lt;14/24)</formula>
    </cfRule>
    <cfRule type="expression" dxfId="5599" priority="171">
      <formula>E$9&lt;8/24</formula>
    </cfRule>
  </conditionalFormatting>
  <conditionalFormatting sqref="E11:X11">
    <cfRule type="expression" dxfId="5598" priority="167">
      <formula>E11&gt;$AG11</formula>
    </cfRule>
  </conditionalFormatting>
  <conditionalFormatting sqref="R18:X18">
    <cfRule type="expression" dxfId="5597" priority="163">
      <formula>R$9&gt;=20/24</formula>
    </cfRule>
    <cfRule type="expression" dxfId="5596" priority="164">
      <formula>AND(R$9&gt;=14/24,R$9&lt;20/24)</formula>
    </cfRule>
    <cfRule type="expression" dxfId="5595" priority="165">
      <formula>AND(R$9&gt;=8/24,R$9&lt;14/24)</formula>
    </cfRule>
    <cfRule type="expression" dxfId="5594" priority="166">
      <formula>R$9&lt;8/24</formula>
    </cfRule>
  </conditionalFormatting>
  <conditionalFormatting sqref="R18:X18">
    <cfRule type="expression" dxfId="5593" priority="162">
      <formula>R18&gt;$AG18</formula>
    </cfRule>
  </conditionalFormatting>
  <conditionalFormatting sqref="R35:AF35">
    <cfRule type="expression" dxfId="5592" priority="158">
      <formula>R$9&gt;=20/24</formula>
    </cfRule>
    <cfRule type="expression" dxfId="5591" priority="159">
      <formula>AND(R$9&gt;=14/24,R$9&lt;20/24)</formula>
    </cfRule>
    <cfRule type="expression" dxfId="5590" priority="160">
      <formula>AND(R$9&gt;=8/24,R$9&lt;14/24)</formula>
    </cfRule>
    <cfRule type="expression" dxfId="5589" priority="161">
      <formula>R$9&lt;8/24</formula>
    </cfRule>
  </conditionalFormatting>
  <conditionalFormatting sqref="R35:AF35">
    <cfRule type="expression" dxfId="5588" priority="157">
      <formula>R35&gt;$AG35</formula>
    </cfRule>
  </conditionalFormatting>
  <conditionalFormatting sqref="R46:AF46">
    <cfRule type="expression" dxfId="5587" priority="156">
      <formula>R46&gt;$AG46</formula>
    </cfRule>
  </conditionalFormatting>
  <conditionalFormatting sqref="R46:AF46">
    <cfRule type="expression" dxfId="5586" priority="152">
      <formula>R$9&gt;=20/24</formula>
    </cfRule>
    <cfRule type="expression" dxfId="5585" priority="153">
      <formula>AND(R$9&gt;=14/24,R$9&lt;20/24)</formula>
    </cfRule>
    <cfRule type="expression" dxfId="5584" priority="154">
      <formula>AND(R$9&gt;=8/24,R$9&lt;14/24)</formula>
    </cfRule>
    <cfRule type="expression" dxfId="5583" priority="155">
      <formula>R$9&lt;8/24</formula>
    </cfRule>
  </conditionalFormatting>
  <conditionalFormatting sqref="B111 B113:B119 B12:D12 B14:D15 B17">
    <cfRule type="expression" dxfId="5582" priority="118">
      <formula>B$9&gt;=20/24</formula>
    </cfRule>
    <cfRule type="expression" dxfId="5581" priority="119">
      <formula>AND(B$9&gt;=14/24,B$9&lt;20/24)</formula>
    </cfRule>
    <cfRule type="expression" dxfId="5580" priority="120">
      <formula>AND(B$9&gt;=8/24,B$9&lt;14/24)</formula>
    </cfRule>
    <cfRule type="expression" dxfId="5579" priority="121">
      <formula>B$9&lt;8/24</formula>
    </cfRule>
  </conditionalFormatting>
  <conditionalFormatting sqref="B12:D12 B14:D15 B17">
    <cfRule type="expression" dxfId="5578" priority="117">
      <formula>B12&gt;$AG12</formula>
    </cfRule>
  </conditionalFormatting>
  <conditionalFormatting sqref="B101">
    <cfRule type="expression" dxfId="5577" priority="113">
      <formula>B$9&gt;=20/24</formula>
    </cfRule>
    <cfRule type="expression" dxfId="5576" priority="114">
      <formula>AND(B$9&gt;=14/24,B$9&lt;20/24)</formula>
    </cfRule>
    <cfRule type="expression" dxfId="5575" priority="115">
      <formula>AND(B$9&gt;=8/24,B$9&lt;14/24)</formula>
    </cfRule>
    <cfRule type="expression" dxfId="5574" priority="116">
      <formula>B$9&lt;8/24</formula>
    </cfRule>
  </conditionalFormatting>
  <conditionalFormatting sqref="B73">
    <cfRule type="expression" dxfId="5573" priority="109">
      <formula>B$9&gt;=20/24</formula>
    </cfRule>
    <cfRule type="expression" dxfId="5572" priority="110">
      <formula>AND(B$9&gt;=14/24,B$9&lt;20/24)</formula>
    </cfRule>
    <cfRule type="expression" dxfId="5571" priority="111">
      <formula>AND(B$9&gt;=8/24,B$9&lt;14/24)</formula>
    </cfRule>
    <cfRule type="expression" dxfId="5570" priority="112">
      <formula>B$9&lt;8/24</formula>
    </cfRule>
  </conditionalFormatting>
  <conditionalFormatting sqref="B88 B98 B102:B108 B49 B74:B75 C103:D108 B69:J71">
    <cfRule type="expression" dxfId="5569" priority="105">
      <formula>B$9&gt;=20/24</formula>
    </cfRule>
    <cfRule type="expression" dxfId="5568" priority="106">
      <formula>AND(B$9&gt;=14/24,B$9&lt;20/24)</formula>
    </cfRule>
    <cfRule type="expression" dxfId="5567" priority="107">
      <formula>AND(B$9&gt;=8/24,B$9&lt;14/24)</formula>
    </cfRule>
    <cfRule type="expression" dxfId="5566" priority="108">
      <formula>B$9&lt;8/24</formula>
    </cfRule>
  </conditionalFormatting>
  <conditionalFormatting sqref="B49 B69:J71">
    <cfRule type="expression" dxfId="5565" priority="104">
      <formula>B49&gt;$AG49</formula>
    </cfRule>
  </conditionalFormatting>
  <conditionalFormatting sqref="B55:D58 B59 B60:H60">
    <cfRule type="expression" dxfId="5564" priority="100">
      <formula>B$9&gt;=20/24</formula>
    </cfRule>
    <cfRule type="expression" dxfId="5563" priority="101">
      <formula>AND(B$9&gt;=14/24,B$9&lt;20/24)</formula>
    </cfRule>
    <cfRule type="expression" dxfId="5562" priority="102">
      <formula>AND(B$9&gt;=8/24,B$9&lt;14/24)</formula>
    </cfRule>
    <cfRule type="expression" dxfId="5561" priority="103">
      <formula>B$9&lt;8/24</formula>
    </cfRule>
  </conditionalFormatting>
  <conditionalFormatting sqref="B55:D58 B59 B60:H60">
    <cfRule type="expression" dxfId="5560" priority="99">
      <formula>B55&gt;$AG55</formula>
    </cfRule>
  </conditionalFormatting>
  <conditionalFormatting sqref="B99 B90">
    <cfRule type="expression" dxfId="5559" priority="95">
      <formula>B$9&gt;=20/24</formula>
    </cfRule>
    <cfRule type="expression" dxfId="5558" priority="96">
      <formula>AND(B$9&gt;=14/24,B$9&lt;20/24)</formula>
    </cfRule>
    <cfRule type="expression" dxfId="5557" priority="97">
      <formula>AND(B$9&gt;=8/24,B$9&lt;14/24)</formula>
    </cfRule>
    <cfRule type="expression" dxfId="5556" priority="98">
      <formula>B$9&lt;8/24</formula>
    </cfRule>
  </conditionalFormatting>
  <conditionalFormatting sqref="B93:B97">
    <cfRule type="expression" dxfId="5555" priority="91">
      <formula>B$9&gt;=20/24</formula>
    </cfRule>
    <cfRule type="expression" dxfId="5554" priority="92">
      <formula>AND(B$9&gt;=14/24,B$9&lt;20/24)</formula>
    </cfRule>
    <cfRule type="expression" dxfId="5553" priority="93">
      <formula>AND(B$9&gt;=8/24,B$9&lt;14/24)</formula>
    </cfRule>
    <cfRule type="expression" dxfId="5552" priority="94">
      <formula>B$9&lt;8/24</formula>
    </cfRule>
  </conditionalFormatting>
  <conditionalFormatting sqref="B51:P53">
    <cfRule type="expression" dxfId="5551" priority="87">
      <formula>B$9&gt;=20/24</formula>
    </cfRule>
    <cfRule type="expression" dxfId="5550" priority="88">
      <formula>AND(B$9&gt;=14/24,B$9&lt;20/24)</formula>
    </cfRule>
    <cfRule type="expression" dxfId="5549" priority="89">
      <formula>AND(B$9&gt;=8/24,B$9&lt;14/24)</formula>
    </cfRule>
    <cfRule type="expression" dxfId="5548" priority="90">
      <formula>B$9&lt;8/24</formula>
    </cfRule>
  </conditionalFormatting>
  <conditionalFormatting sqref="B51:P53">
    <cfRule type="expression" dxfId="5547" priority="86">
      <formula>B51&gt;$AG51</formula>
    </cfRule>
  </conditionalFormatting>
  <conditionalFormatting sqref="B109">
    <cfRule type="expression" dxfId="5546" priority="82">
      <formula>B$9&gt;=20/24</formula>
    </cfRule>
    <cfRule type="expression" dxfId="5545" priority="83">
      <formula>AND(B$9&gt;=14/24,B$9&lt;20/24)</formula>
    </cfRule>
    <cfRule type="expression" dxfId="5544" priority="84">
      <formula>AND(B$9&gt;=8/24,B$9&lt;14/24)</formula>
    </cfRule>
    <cfRule type="expression" dxfId="5543" priority="85">
      <formula>B$9&lt;8/24</formula>
    </cfRule>
  </conditionalFormatting>
  <conditionalFormatting sqref="B112">
    <cfRule type="expression" dxfId="5542" priority="78">
      <formula>B$9&gt;=20/24</formula>
    </cfRule>
    <cfRule type="expression" dxfId="5541" priority="79">
      <formula>AND(B$9&gt;=14/24,B$9&lt;20/24)</formula>
    </cfRule>
    <cfRule type="expression" dxfId="5540" priority="80">
      <formula>AND(B$9&gt;=8/24,B$9&lt;14/24)</formula>
    </cfRule>
    <cfRule type="expression" dxfId="5539" priority="81">
      <formula>B$9&lt;8/24</formula>
    </cfRule>
  </conditionalFormatting>
  <conditionalFormatting sqref="B19:D28 E24:E28 B36:E45 F24:H26 B32:H34 E21:Q22 I26:Q26 F28:Q28 I32:Q32 F36:Q38 F40:Q40 F42:Q44 B30:Q30 B29:AF29">
    <cfRule type="expression" dxfId="5538" priority="74">
      <formula>B$9&gt;=20/24</formula>
    </cfRule>
    <cfRule type="expression" dxfId="5537" priority="75">
      <formula>AND(B$9&gt;=14/24,B$9&lt;20/24)</formula>
    </cfRule>
    <cfRule type="expression" dxfId="5536" priority="76">
      <formula>AND(B$9&gt;=8/24,B$9&lt;14/24)</formula>
    </cfRule>
    <cfRule type="expression" dxfId="5535" priority="77">
      <formula>B$9&lt;8/24</formula>
    </cfRule>
  </conditionalFormatting>
  <conditionalFormatting sqref="B19:D28 E24:E28 B36:E45 F24:H26 B32:H34 E21:Q22 I26:Q26 F28:Q28 I32:Q32 F36:Q38 F40:Q40 F42:Q44 B30:Q30 B29:AF29">
    <cfRule type="expression" dxfId="5534" priority="73">
      <formula>B19&gt;$AG19</formula>
    </cfRule>
  </conditionalFormatting>
  <conditionalFormatting sqref="B85:B87 B76:E78 F77:L78">
    <cfRule type="expression" dxfId="5533" priority="69">
      <formula>B$9&gt;=20/24</formula>
    </cfRule>
    <cfRule type="expression" dxfId="5532" priority="70">
      <formula>AND(B$9&gt;=14/24,B$9&lt;20/24)</formula>
    </cfRule>
    <cfRule type="expression" dxfId="5531" priority="71">
      <formula>AND(B$9&gt;=8/24,B$9&lt;14/24)</formula>
    </cfRule>
    <cfRule type="expression" dxfId="5530" priority="72">
      <formula>B$9&lt;8/24</formula>
    </cfRule>
  </conditionalFormatting>
  <conditionalFormatting sqref="B89 B91 B100 B72">
    <cfRule type="expression" dxfId="5529" priority="65">
      <formula>B$9&gt;=20/24</formula>
    </cfRule>
    <cfRule type="expression" dxfId="5528" priority="66">
      <formula>AND(B$9&gt;=14/24,B$9&lt;20/24)</formula>
    </cfRule>
    <cfRule type="expression" dxfId="5527" priority="67">
      <formula>AND(B$9&gt;=8/24,B$9&lt;14/24)</formula>
    </cfRule>
    <cfRule type="expression" dxfId="5526" priority="68">
      <formula>B$9&lt;8/24</formula>
    </cfRule>
  </conditionalFormatting>
  <conditionalFormatting sqref="B67:B68 B72">
    <cfRule type="expression" dxfId="5525" priority="64">
      <formula>B67&gt;$AG67</formula>
    </cfRule>
  </conditionalFormatting>
  <conditionalFormatting sqref="B84">
    <cfRule type="expression" dxfId="5524" priority="60">
      <formula>B$9&gt;=20/24</formula>
    </cfRule>
    <cfRule type="expression" dxfId="5523" priority="61">
      <formula>AND(B$9&gt;=14/24,B$9&lt;20/24)</formula>
    </cfRule>
    <cfRule type="expression" dxfId="5522" priority="62">
      <formula>AND(B$9&gt;=8/24,B$9&lt;14/24)</formula>
    </cfRule>
    <cfRule type="expression" dxfId="5521" priority="63">
      <formula>B$9&lt;8/24</formula>
    </cfRule>
  </conditionalFormatting>
  <conditionalFormatting sqref="B54">
    <cfRule type="expression" dxfId="5520" priority="56">
      <formula>B$9&gt;=20/24</formula>
    </cfRule>
    <cfRule type="expression" dxfId="5519" priority="57">
      <formula>AND(B$9&gt;=14/24,B$9&lt;20/24)</formula>
    </cfRule>
    <cfRule type="expression" dxfId="5518" priority="58">
      <formula>AND(B$9&gt;=8/24,B$9&lt;14/24)</formula>
    </cfRule>
    <cfRule type="expression" dxfId="5517" priority="59">
      <formula>B$9&lt;8/24</formula>
    </cfRule>
  </conditionalFormatting>
  <conditionalFormatting sqref="B54">
    <cfRule type="expression" dxfId="5516" priority="55">
      <formula>B54&gt;$AG54</formula>
    </cfRule>
  </conditionalFormatting>
  <conditionalFormatting sqref="B61:H66 I61:P62">
    <cfRule type="expression" dxfId="5515" priority="51">
      <formula>B$9&gt;=20/24</formula>
    </cfRule>
    <cfRule type="expression" dxfId="5514" priority="52">
      <formula>AND(B$9&gt;=14/24,B$9&lt;20/24)</formula>
    </cfRule>
    <cfRule type="expression" dxfId="5513" priority="53">
      <formula>AND(B$9&gt;=8/24,B$9&lt;14/24)</formula>
    </cfRule>
    <cfRule type="expression" dxfId="5512" priority="54">
      <formula>B$9&lt;8/24</formula>
    </cfRule>
  </conditionalFormatting>
  <conditionalFormatting sqref="B61:H66 I61:P62">
    <cfRule type="expression" dxfId="5511" priority="50">
      <formula>B61&gt;$AG61</formula>
    </cfRule>
  </conditionalFormatting>
  <conditionalFormatting sqref="B47:Q47">
    <cfRule type="expression" dxfId="5510" priority="49">
      <formula>B47&gt;$AG47</formula>
    </cfRule>
  </conditionalFormatting>
  <conditionalFormatting sqref="B13:D13">
    <cfRule type="expression" dxfId="5509" priority="45">
      <formula>B$9&gt;=20/24</formula>
    </cfRule>
    <cfRule type="expression" dxfId="5508" priority="46">
      <formula>AND(B$9&gt;=14/24,B$9&lt;20/24)</formula>
    </cfRule>
    <cfRule type="expression" dxfId="5507" priority="47">
      <formula>AND(B$9&gt;=8/24,B$9&lt;14/24)</formula>
    </cfRule>
    <cfRule type="expression" dxfId="5506" priority="48">
      <formula>B$9&lt;8/24</formula>
    </cfRule>
  </conditionalFormatting>
  <conditionalFormatting sqref="B13:D13">
    <cfRule type="expression" dxfId="5505" priority="44">
      <formula>B13&gt;$AG13</formula>
    </cfRule>
  </conditionalFormatting>
  <conditionalFormatting sqref="B47:Q47">
    <cfRule type="expression" dxfId="5504" priority="40">
      <formula>B$9&gt;=20/24</formula>
    </cfRule>
    <cfRule type="expression" dxfId="5503" priority="41">
      <formula>AND(B$9&gt;=14/24,B$9&lt;20/24)</formula>
    </cfRule>
    <cfRule type="expression" dxfId="5502" priority="42">
      <formula>AND(B$9&gt;=8/24,B$9&lt;14/24)</formula>
    </cfRule>
    <cfRule type="expression" dxfId="5501" priority="43">
      <formula>B$9&lt;8/24</formula>
    </cfRule>
  </conditionalFormatting>
  <conditionalFormatting sqref="B79:L83">
    <cfRule type="expression" dxfId="5500" priority="36">
      <formula>B$9&gt;=20/24</formula>
    </cfRule>
    <cfRule type="expression" dxfId="5499" priority="37">
      <formula>AND(B$9&gt;=14/24,B$9&lt;20/24)</formula>
    </cfRule>
    <cfRule type="expression" dxfId="5498" priority="38">
      <formula>AND(B$9&gt;=8/24,B$9&lt;14/24)</formula>
    </cfRule>
    <cfRule type="expression" dxfId="5497" priority="39">
      <formula>B$9&lt;8/24</formula>
    </cfRule>
  </conditionalFormatting>
  <conditionalFormatting sqref="B48:Q48">
    <cfRule type="expression" dxfId="5496" priority="32">
      <formula>B$9&gt;=20/24</formula>
    </cfRule>
    <cfRule type="expression" dxfId="5495" priority="33">
      <formula>AND(B$9&gt;=14/24,B$9&lt;20/24)</formula>
    </cfRule>
    <cfRule type="expression" dxfId="5494" priority="34">
      <formula>AND(B$9&gt;=8/24,B$9&lt;14/24)</formula>
    </cfRule>
    <cfRule type="expression" dxfId="5493" priority="35">
      <formula>B$9&lt;8/24</formula>
    </cfRule>
  </conditionalFormatting>
  <conditionalFormatting sqref="B48:Q48">
    <cfRule type="expression" dxfId="5492" priority="31">
      <formula>B48&gt;$AG48</formula>
    </cfRule>
  </conditionalFormatting>
  <conditionalFormatting sqref="B50">
    <cfRule type="expression" dxfId="5491" priority="30">
      <formula>B50&gt;$AG50</formula>
    </cfRule>
  </conditionalFormatting>
  <conditionalFormatting sqref="B11:D11">
    <cfRule type="expression" dxfId="5490" priority="26">
      <formula>B$9&gt;=20/24</formula>
    </cfRule>
    <cfRule type="expression" dxfId="5489" priority="27">
      <formula>AND(B$9&gt;=14/24,B$9&lt;20/24)</formula>
    </cfRule>
    <cfRule type="expression" dxfId="5488" priority="28">
      <formula>AND(B$9&gt;=8/24,B$9&lt;14/24)</formula>
    </cfRule>
    <cfRule type="expression" dxfId="5487" priority="29">
      <formula>B$9&lt;8/24</formula>
    </cfRule>
  </conditionalFormatting>
  <conditionalFormatting sqref="B11:D11">
    <cfRule type="expression" dxfId="5486" priority="25">
      <formula>B11&gt;$AG11</formula>
    </cfRule>
  </conditionalFormatting>
  <conditionalFormatting sqref="B18:Q18">
    <cfRule type="expression" dxfId="5485" priority="21">
      <formula>B$9&gt;=20/24</formula>
    </cfRule>
    <cfRule type="expression" dxfId="5484" priority="22">
      <formula>AND(B$9&gt;=14/24,B$9&lt;20/24)</formula>
    </cfRule>
    <cfRule type="expression" dxfId="5483" priority="23">
      <formula>AND(B$9&gt;=8/24,B$9&lt;14/24)</formula>
    </cfRule>
    <cfRule type="expression" dxfId="5482" priority="24">
      <formula>B$9&lt;8/24</formula>
    </cfRule>
  </conditionalFormatting>
  <conditionalFormatting sqref="B18:Q18">
    <cfRule type="expression" dxfId="5481" priority="20">
      <formula>B18&gt;$AG18</formula>
    </cfRule>
  </conditionalFormatting>
  <conditionalFormatting sqref="B35:Q35">
    <cfRule type="expression" dxfId="5480" priority="16">
      <formula>B$9&gt;=20/24</formula>
    </cfRule>
    <cfRule type="expression" dxfId="5479" priority="17">
      <formula>AND(B$9&gt;=14/24,B$9&lt;20/24)</formula>
    </cfRule>
    <cfRule type="expression" dxfId="5478" priority="18">
      <formula>AND(B$9&gt;=8/24,B$9&lt;14/24)</formula>
    </cfRule>
    <cfRule type="expression" dxfId="5477" priority="19">
      <formula>B$9&lt;8/24</formula>
    </cfRule>
  </conditionalFormatting>
  <conditionalFormatting sqref="B35:Q35">
    <cfRule type="expression" dxfId="5476" priority="15">
      <formula>B35&gt;$AG35</formula>
    </cfRule>
  </conditionalFormatting>
  <conditionalFormatting sqref="B46:Q46">
    <cfRule type="expression" dxfId="5475" priority="14">
      <formula>B46&gt;$AG46</formula>
    </cfRule>
  </conditionalFormatting>
  <conditionalFormatting sqref="B46:Q46">
    <cfRule type="expression" dxfId="5474" priority="10">
      <formula>B$9&gt;=20/24</formula>
    </cfRule>
    <cfRule type="expression" dxfId="5473" priority="11">
      <formula>AND(B$9&gt;=14/24,B$9&lt;20/24)</formula>
    </cfRule>
    <cfRule type="expression" dxfId="5472" priority="12">
      <formula>AND(B$9&gt;=8/24,B$9&lt;14/24)</formula>
    </cfRule>
    <cfRule type="expression" dxfId="5471" priority="13">
      <formula>B$9&lt;8/24</formula>
    </cfRule>
  </conditionalFormatting>
  <conditionalFormatting sqref="B120">
    <cfRule type="expression" dxfId="5470" priority="6">
      <formula>B$9&gt;=20/24</formula>
    </cfRule>
    <cfRule type="expression" dxfId="5469" priority="7">
      <formula>AND(B$9&gt;=14/24,B$9&lt;20/24)</formula>
    </cfRule>
    <cfRule type="expression" dxfId="5468" priority="8">
      <formula>AND(B$9&gt;=8/24,B$9&lt;14/24)</formula>
    </cfRule>
    <cfRule type="expression" dxfId="5467" priority="9">
      <formula>B$9&lt;8/24</formula>
    </cfRule>
  </conditionalFormatting>
  <conditionalFormatting sqref="B31:Q31">
    <cfRule type="expression" dxfId="5466" priority="2">
      <formula>B$9&gt;=20/24</formula>
    </cfRule>
    <cfRule type="expression" dxfId="5465" priority="3">
      <formula>AND(B$9&gt;=14/24,B$9&lt;20/24)</formula>
    </cfRule>
    <cfRule type="expression" dxfId="5464" priority="4">
      <formula>AND(B$9&gt;=8/24,B$9&lt;14/24)</formula>
    </cfRule>
    <cfRule type="expression" dxfId="5463" priority="5">
      <formula>B$9&lt;8/24</formula>
    </cfRule>
  </conditionalFormatting>
  <conditionalFormatting sqref="B31:Q31">
    <cfRule type="expression" dxfId="5462" priority="1">
      <formula>B31&gt;$AG31</formula>
    </cfRule>
  </conditionalFormatting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BE06-03BD-4442-84CE-3CF23EB7D9B5}">
  <dimension ref="A1:CJ281"/>
  <sheetViews>
    <sheetView zoomScale="90" zoomScaleNormal="90" workbookViewId="0">
      <pane xSplit="1" ySplit="10" topLeftCell="B67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H11" sqref="AH11:AI12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2080/03/28</v>
      </c>
      <c r="C4" s="187"/>
      <c r="D4" s="187"/>
      <c r="E4" s="188" t="str">
        <f ca="1">"2079/"&amp;"12/"&amp;INT(MID(CELL("filename",G6),FIND("]",CELL("filename",G6))+1,200))</f>
        <v>2079/12/28</v>
      </c>
      <c r="F4" s="188"/>
      <c r="G4" s="188"/>
      <c r="H4" s="188" t="str">
        <f ca="1">TEXT(E4,"dddd")</f>
        <v>Thursday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5</v>
      </c>
      <c r="C5" s="30">
        <f t="shared" si="0"/>
        <v>5</v>
      </c>
      <c r="D5" s="30">
        <f t="shared" si="0"/>
        <v>5</v>
      </c>
      <c r="E5" s="30">
        <f t="shared" si="0"/>
        <v>10.9</v>
      </c>
      <c r="F5" s="30">
        <f t="shared" si="0"/>
        <v>17</v>
      </c>
      <c r="G5" s="30">
        <f t="shared" si="0"/>
        <v>20</v>
      </c>
      <c r="H5" s="30">
        <f t="shared" si="0"/>
        <v>17</v>
      </c>
      <c r="I5" s="30">
        <f t="shared" si="0"/>
        <v>17.600000000000001</v>
      </c>
      <c r="J5" s="30">
        <f t="shared" si="0"/>
        <v>17.66</v>
      </c>
      <c r="K5" s="30">
        <f t="shared" si="0"/>
        <v>16.7</v>
      </c>
      <c r="L5" s="30">
        <f t="shared" si="0"/>
        <v>22.1</v>
      </c>
      <c r="M5" s="30">
        <f t="shared" si="0"/>
        <v>30.8</v>
      </c>
      <c r="N5" s="30">
        <f t="shared" si="0"/>
        <v>29.8</v>
      </c>
      <c r="O5" s="30">
        <f t="shared" si="0"/>
        <v>6.1</v>
      </c>
      <c r="P5" s="30">
        <f t="shared" si="0"/>
        <v>5</v>
      </c>
      <c r="Q5" s="30">
        <f t="shared" si="0"/>
        <v>5</v>
      </c>
      <c r="R5" s="30">
        <f t="shared" si="0"/>
        <v>6</v>
      </c>
      <c r="S5" s="30">
        <f t="shared" si="0"/>
        <v>25</v>
      </c>
      <c r="T5" s="30">
        <f t="shared" si="0"/>
        <v>2</v>
      </c>
      <c r="U5" s="30">
        <f t="shared" si="0"/>
        <v>2</v>
      </c>
      <c r="V5" s="30">
        <f t="shared" si="0"/>
        <v>0</v>
      </c>
      <c r="W5" s="30">
        <f t="shared" si="0"/>
        <v>0</v>
      </c>
      <c r="X5" s="30">
        <f t="shared" si="0"/>
        <v>33.74</v>
      </c>
      <c r="Y5" s="30">
        <f t="shared" si="0"/>
        <v>33.74</v>
      </c>
      <c r="Z5" s="30">
        <f t="shared" si="0"/>
        <v>36.1</v>
      </c>
      <c r="AA5" s="30">
        <f t="shared" si="0"/>
        <v>46.2</v>
      </c>
      <c r="AB5" s="30">
        <f t="shared" si="0"/>
        <v>49</v>
      </c>
      <c r="AC5" s="30">
        <f t="shared" si="0"/>
        <v>20</v>
      </c>
      <c r="AD5" s="30">
        <f t="shared" si="0"/>
        <v>20</v>
      </c>
      <c r="AE5" s="30">
        <f t="shared" si="0"/>
        <v>30</v>
      </c>
      <c r="AF5" s="30">
        <f>B84</f>
        <v>20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e">
        <f>"Base Load="&amp;ROUND(MIN($B$7:$AF$7),0)</f>
        <v>#REF!</v>
      </c>
      <c r="B7" s="35">
        <f t="shared" ref="B7:AF7" si="1">B91</f>
        <v>1997.7400000000002</v>
      </c>
      <c r="C7" s="35">
        <f t="shared" si="1"/>
        <v>1971.8400000000001</v>
      </c>
      <c r="D7" s="35">
        <f t="shared" si="1"/>
        <v>1938.7400000000002</v>
      </c>
      <c r="E7" s="35">
        <f t="shared" si="1"/>
        <v>1901.04</v>
      </c>
      <c r="F7" s="35">
        <f t="shared" si="1"/>
        <v>1842.54</v>
      </c>
      <c r="G7" s="35">
        <f t="shared" si="1"/>
        <v>1166.3399999999999</v>
      </c>
      <c r="H7" s="35">
        <f t="shared" si="1"/>
        <v>912.14</v>
      </c>
      <c r="I7" s="35" t="e">
        <f t="shared" si="1"/>
        <v>#REF!</v>
      </c>
      <c r="J7" s="35">
        <f t="shared" si="1"/>
        <v>1885.1399999999999</v>
      </c>
      <c r="K7" s="35">
        <f t="shared" si="1"/>
        <v>1866.5000000000002</v>
      </c>
      <c r="L7" s="35">
        <f t="shared" si="1"/>
        <v>1862.24</v>
      </c>
      <c r="M7" s="35">
        <f t="shared" si="1"/>
        <v>1956.8400000000001</v>
      </c>
      <c r="N7" s="35">
        <f>N91</f>
        <v>2017.84</v>
      </c>
      <c r="O7" s="35">
        <f t="shared" si="1"/>
        <v>1989.34</v>
      </c>
      <c r="P7" s="35">
        <f t="shared" si="1"/>
        <v>1965.04</v>
      </c>
      <c r="Q7" s="35">
        <f t="shared" si="1"/>
        <v>1963.94</v>
      </c>
      <c r="R7" s="35">
        <f t="shared" si="1"/>
        <v>1943.3400000000001</v>
      </c>
      <c r="S7" s="35">
        <f t="shared" si="1"/>
        <v>1913.14</v>
      </c>
      <c r="T7" s="35">
        <f t="shared" si="1"/>
        <v>2025.54</v>
      </c>
      <c r="U7" s="35">
        <f t="shared" si="1"/>
        <v>2021.0400000000002</v>
      </c>
      <c r="V7" s="35">
        <f t="shared" si="1"/>
        <v>2021.0400000000002</v>
      </c>
      <c r="W7" s="35">
        <f t="shared" si="1"/>
        <v>1928.44</v>
      </c>
      <c r="X7" s="35">
        <f t="shared" si="1"/>
        <v>1862.24</v>
      </c>
      <c r="Y7" s="35">
        <f t="shared" si="1"/>
        <v>1839.38</v>
      </c>
      <c r="Z7" s="35">
        <f t="shared" si="1"/>
        <v>1839.38</v>
      </c>
      <c r="AA7" s="35">
        <f t="shared" si="1"/>
        <v>1952.6399999999999</v>
      </c>
      <c r="AB7" s="35">
        <f t="shared" si="1"/>
        <v>1960.3400000000001</v>
      </c>
      <c r="AC7" s="35">
        <f t="shared" si="1"/>
        <v>1961.3400000000001</v>
      </c>
      <c r="AD7" s="35">
        <f t="shared" si="1"/>
        <v>1932.3400000000001</v>
      </c>
      <c r="AE7" s="35">
        <f t="shared" si="1"/>
        <v>1893.3400000000001</v>
      </c>
      <c r="AF7" s="35">
        <f t="shared" si="1"/>
        <v>1889.24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82</v>
      </c>
      <c r="C11" s="45">
        <v>90</v>
      </c>
      <c r="D11" s="45">
        <v>90</v>
      </c>
      <c r="E11" s="45">
        <v>90</v>
      </c>
      <c r="F11" s="45">
        <v>82</v>
      </c>
      <c r="G11" s="45">
        <v>82</v>
      </c>
      <c r="H11" s="45"/>
      <c r="I11" s="45">
        <v>82.4</v>
      </c>
      <c r="J11" s="45">
        <v>82.4</v>
      </c>
      <c r="K11" s="45">
        <v>82.4</v>
      </c>
      <c r="L11" s="45">
        <v>82.4</v>
      </c>
      <c r="M11" s="45">
        <v>82.5</v>
      </c>
      <c r="N11" s="45">
        <v>82.5</v>
      </c>
      <c r="O11" s="45">
        <v>82.5</v>
      </c>
      <c r="P11" s="45">
        <v>82.5</v>
      </c>
      <c r="Q11" s="45">
        <v>82.5</v>
      </c>
      <c r="R11" s="45">
        <v>82.5</v>
      </c>
      <c r="S11" s="45">
        <v>82.5</v>
      </c>
      <c r="T11" s="45">
        <v>82.5</v>
      </c>
      <c r="U11" s="45">
        <v>90.6</v>
      </c>
      <c r="V11" s="45">
        <v>90.6</v>
      </c>
      <c r="W11" s="45">
        <v>0</v>
      </c>
      <c r="X11" s="45">
        <v>0</v>
      </c>
      <c r="Y11" s="45">
        <v>60.5</v>
      </c>
      <c r="Z11" s="45">
        <v>60.5</v>
      </c>
      <c r="AA11" s="45">
        <v>60.5</v>
      </c>
      <c r="AB11" s="45">
        <v>60.5</v>
      </c>
      <c r="AC11" s="45">
        <v>87</v>
      </c>
      <c r="AD11" s="45">
        <v>87</v>
      </c>
      <c r="AE11" s="45">
        <v>87</v>
      </c>
      <c r="AF11" s="45">
        <v>86.9</v>
      </c>
      <c r="AG11" s="46">
        <v>86</v>
      </c>
      <c r="AH11" s="47">
        <f t="shared" ref="AH11:AH76" si="2">MAX(B11:AF11)</f>
        <v>90.6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26</v>
      </c>
      <c r="C12" s="45">
        <v>26</v>
      </c>
      <c r="D12" s="45">
        <v>26</v>
      </c>
      <c r="E12" s="45">
        <v>10</v>
      </c>
      <c r="F12" s="45">
        <v>10</v>
      </c>
      <c r="G12" s="45"/>
      <c r="H12" s="45"/>
      <c r="I12" s="45">
        <v>10</v>
      </c>
      <c r="J12" s="45">
        <v>10</v>
      </c>
      <c r="K12" s="45">
        <v>10</v>
      </c>
      <c r="L12" s="45">
        <v>10</v>
      </c>
      <c r="M12" s="45">
        <v>10</v>
      </c>
      <c r="N12" s="45">
        <v>10</v>
      </c>
      <c r="O12" s="45">
        <v>10</v>
      </c>
      <c r="P12" s="45">
        <v>27</v>
      </c>
      <c r="Q12" s="45">
        <v>27</v>
      </c>
      <c r="R12" s="45">
        <v>10</v>
      </c>
      <c r="S12" s="45">
        <v>10</v>
      </c>
      <c r="T12" s="45">
        <v>27</v>
      </c>
      <c r="U12" s="45">
        <v>27</v>
      </c>
      <c r="V12" s="45">
        <v>27</v>
      </c>
      <c r="W12" s="45">
        <v>27</v>
      </c>
      <c r="X12" s="45">
        <v>27</v>
      </c>
      <c r="Y12" s="45">
        <v>27</v>
      </c>
      <c r="Z12" s="45">
        <v>27</v>
      </c>
      <c r="AA12" s="45">
        <v>27</v>
      </c>
      <c r="AB12" s="45">
        <v>27</v>
      </c>
      <c r="AC12" s="45">
        <v>27</v>
      </c>
      <c r="AD12" s="45">
        <v>27</v>
      </c>
      <c r="AE12" s="45">
        <v>20</v>
      </c>
      <c r="AF12" s="45">
        <v>20</v>
      </c>
      <c r="AG12" s="49">
        <v>54</v>
      </c>
      <c r="AH12" s="47">
        <f t="shared" si="2"/>
        <v>27</v>
      </c>
      <c r="AI12" s="48">
        <f t="shared" si="3"/>
        <v>10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54.7</v>
      </c>
      <c r="C13" s="45">
        <v>54.7</v>
      </c>
      <c r="D13" s="45">
        <v>54.7</v>
      </c>
      <c r="E13" s="45">
        <v>54.7</v>
      </c>
      <c r="F13" s="45">
        <v>55.1</v>
      </c>
      <c r="G13" s="45">
        <v>55.1</v>
      </c>
      <c r="H13" s="45">
        <v>55.1</v>
      </c>
      <c r="I13" s="45">
        <v>55.1</v>
      </c>
      <c r="J13" s="45">
        <v>55.1</v>
      </c>
      <c r="K13" s="45">
        <v>55.1</v>
      </c>
      <c r="L13" s="45">
        <v>55.1</v>
      </c>
      <c r="M13" s="45">
        <v>55.1</v>
      </c>
      <c r="N13" s="45">
        <v>54.7</v>
      </c>
      <c r="O13" s="45">
        <v>54.7</v>
      </c>
      <c r="P13" s="45">
        <v>54.7</v>
      </c>
      <c r="Q13" s="45">
        <v>54.7</v>
      </c>
      <c r="R13" s="45">
        <v>54.7</v>
      </c>
      <c r="S13" s="45">
        <v>54.7</v>
      </c>
      <c r="T13" s="45">
        <v>54.7</v>
      </c>
      <c r="U13" s="45">
        <v>54.9</v>
      </c>
      <c r="V13" s="45">
        <v>54.9</v>
      </c>
      <c r="W13" s="45">
        <v>54.9</v>
      </c>
      <c r="X13" s="45">
        <v>54.9</v>
      </c>
      <c r="Y13" s="45">
        <v>54.9</v>
      </c>
      <c r="Z13" s="45">
        <v>54.9</v>
      </c>
      <c r="AA13" s="45">
        <v>54.9</v>
      </c>
      <c r="AB13" s="45">
        <v>54.9</v>
      </c>
      <c r="AC13" s="45">
        <v>55</v>
      </c>
      <c r="AD13" s="45">
        <v>55</v>
      </c>
      <c r="AE13" s="45">
        <v>55</v>
      </c>
      <c r="AF13" s="45">
        <v>55</v>
      </c>
      <c r="AG13" s="46">
        <v>52.4</v>
      </c>
      <c r="AH13" s="47">
        <f t="shared" si="2"/>
        <v>55.1</v>
      </c>
      <c r="AI13" s="48">
        <f t="shared" si="3"/>
        <v>54.7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50.6</v>
      </c>
      <c r="C14" s="50">
        <v>50.6</v>
      </c>
      <c r="D14" s="50">
        <v>50.6</v>
      </c>
      <c r="E14" s="50">
        <v>50.6</v>
      </c>
      <c r="F14" s="50">
        <v>50.6</v>
      </c>
      <c r="G14" s="50">
        <v>0</v>
      </c>
      <c r="H14" s="50"/>
      <c r="I14" s="50">
        <v>50.5</v>
      </c>
      <c r="J14" s="50">
        <v>50.5</v>
      </c>
      <c r="K14" s="50">
        <v>50.5</v>
      </c>
      <c r="L14" s="50">
        <v>50.5</v>
      </c>
      <c r="M14" s="50">
        <v>50.5</v>
      </c>
      <c r="N14" s="50">
        <v>50.5</v>
      </c>
      <c r="O14" s="50">
        <v>50.5</v>
      </c>
      <c r="P14" s="50">
        <v>50.5</v>
      </c>
      <c r="Q14" s="50">
        <v>50.5</v>
      </c>
      <c r="R14" s="50">
        <v>50.5</v>
      </c>
      <c r="S14" s="50">
        <v>50.5</v>
      </c>
      <c r="T14" s="50">
        <v>50.5</v>
      </c>
      <c r="U14" s="50">
        <v>50.4</v>
      </c>
      <c r="V14" s="50">
        <v>50.4</v>
      </c>
      <c r="W14" s="50">
        <v>50.4</v>
      </c>
      <c r="X14" s="50">
        <v>50.4</v>
      </c>
      <c r="Y14" s="50">
        <v>50.4</v>
      </c>
      <c r="Z14" s="50">
        <v>50.4</v>
      </c>
      <c r="AA14" s="50">
        <v>50.4</v>
      </c>
      <c r="AB14" s="50">
        <v>50.4</v>
      </c>
      <c r="AC14" s="50">
        <v>50.4</v>
      </c>
      <c r="AD14" s="50">
        <v>50.4</v>
      </c>
      <c r="AE14" s="50">
        <v>50.4</v>
      </c>
      <c r="AF14" s="50">
        <v>50.4</v>
      </c>
      <c r="AG14" s="49">
        <v>50</v>
      </c>
      <c r="AH14" s="47">
        <f t="shared" si="2"/>
        <v>50.6</v>
      </c>
      <c r="AI14" s="48">
        <f t="shared" si="3"/>
        <v>0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46</v>
      </c>
      <c r="C15" s="45">
        <v>46</v>
      </c>
      <c r="D15" s="45">
        <v>46</v>
      </c>
      <c r="E15" s="45">
        <v>46</v>
      </c>
      <c r="F15" s="45">
        <v>40</v>
      </c>
      <c r="G15" s="45">
        <v>0</v>
      </c>
      <c r="H15" s="45"/>
      <c r="I15" s="45">
        <v>0</v>
      </c>
      <c r="J15" s="45">
        <v>0</v>
      </c>
      <c r="K15" s="45">
        <v>0</v>
      </c>
      <c r="L15" s="45">
        <v>0</v>
      </c>
      <c r="M15" s="45">
        <v>37</v>
      </c>
      <c r="N15" s="45">
        <v>37</v>
      </c>
      <c r="O15" s="45">
        <v>37</v>
      </c>
      <c r="P15" s="45">
        <v>37</v>
      </c>
      <c r="Q15" s="45">
        <v>37</v>
      </c>
      <c r="R15" s="45">
        <v>45.8</v>
      </c>
      <c r="S15" s="45">
        <v>45.8</v>
      </c>
      <c r="T15" s="45">
        <v>45.8</v>
      </c>
      <c r="U15" s="45">
        <v>45.7</v>
      </c>
      <c r="V15" s="45">
        <v>45.7</v>
      </c>
      <c r="W15" s="45">
        <v>45.7</v>
      </c>
      <c r="X15" s="45">
        <v>45.7</v>
      </c>
      <c r="Y15" s="45">
        <v>45.7</v>
      </c>
      <c r="Z15" s="45">
        <v>45.7</v>
      </c>
      <c r="AA15" s="45">
        <v>45.7</v>
      </c>
      <c r="AB15" s="45">
        <v>45.7</v>
      </c>
      <c r="AC15" s="45">
        <v>45.7</v>
      </c>
      <c r="AD15" s="45">
        <v>45.7</v>
      </c>
      <c r="AE15" s="45">
        <v>45.7</v>
      </c>
      <c r="AF15" s="45">
        <v>45.7</v>
      </c>
      <c r="AG15" s="49">
        <v>45</v>
      </c>
      <c r="AH15" s="47">
        <f t="shared" si="2"/>
        <v>46</v>
      </c>
      <c r="AI15" s="48">
        <f t="shared" si="3"/>
        <v>0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0</v>
      </c>
      <c r="H16" s="45"/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18.5</v>
      </c>
      <c r="Z16" s="45">
        <v>18.5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 t="shared" si="2"/>
        <v>44</v>
      </c>
      <c r="AI16" s="48">
        <f t="shared" si="3"/>
        <v>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31</v>
      </c>
      <c r="C17" s="45">
        <v>31</v>
      </c>
      <c r="D17" s="45">
        <v>31</v>
      </c>
      <c r="E17" s="45">
        <v>31</v>
      </c>
      <c r="F17" s="45">
        <v>21</v>
      </c>
      <c r="G17" s="45">
        <v>0</v>
      </c>
      <c r="H17" s="45"/>
      <c r="I17" s="45">
        <v>28</v>
      </c>
      <c r="J17" s="45">
        <v>32.5</v>
      </c>
      <c r="K17" s="45">
        <v>32.5</v>
      </c>
      <c r="L17" s="45">
        <v>32.5</v>
      </c>
      <c r="M17" s="45">
        <v>32.5</v>
      </c>
      <c r="N17" s="45">
        <v>32.5</v>
      </c>
      <c r="O17" s="45">
        <v>32.5</v>
      </c>
      <c r="P17" s="45">
        <v>32.5</v>
      </c>
      <c r="Q17" s="45">
        <v>32.5</v>
      </c>
      <c r="R17" s="45">
        <v>32.5</v>
      </c>
      <c r="S17" s="45">
        <v>32.5</v>
      </c>
      <c r="T17" s="45">
        <v>32.5</v>
      </c>
      <c r="U17" s="45">
        <v>32.5</v>
      </c>
      <c r="V17" s="45">
        <v>32.5</v>
      </c>
      <c r="W17" s="45">
        <v>32.5</v>
      </c>
      <c r="X17" s="45">
        <v>32.5</v>
      </c>
      <c r="Y17" s="45">
        <v>0</v>
      </c>
      <c r="Z17" s="45">
        <v>0</v>
      </c>
      <c r="AA17" s="45">
        <v>0</v>
      </c>
      <c r="AB17" s="45">
        <v>40</v>
      </c>
      <c r="AC17" s="45">
        <v>36</v>
      </c>
      <c r="AD17" s="45">
        <v>36</v>
      </c>
      <c r="AE17" s="45">
        <v>36</v>
      </c>
      <c r="AF17" s="45">
        <v>36</v>
      </c>
      <c r="AG17" s="49">
        <v>42</v>
      </c>
      <c r="AH17" s="47">
        <f t="shared" si="2"/>
        <v>40</v>
      </c>
      <c r="AI17" s="48">
        <f t="shared" si="3"/>
        <v>0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 t="s">
        <v>296</v>
      </c>
      <c r="H18" s="45"/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9">
        <v>38.46</v>
      </c>
      <c r="AH18" s="47">
        <f t="shared" si="2"/>
        <v>38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 t="s">
        <v>297</v>
      </c>
      <c r="H19" s="45"/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24</v>
      </c>
      <c r="O19" s="45">
        <v>24</v>
      </c>
      <c r="P19" s="45">
        <v>24</v>
      </c>
      <c r="Q19" s="45">
        <v>24</v>
      </c>
      <c r="R19" s="45">
        <v>24</v>
      </c>
      <c r="S19" s="45">
        <v>24</v>
      </c>
      <c r="T19" s="45">
        <v>24</v>
      </c>
      <c r="U19" s="45">
        <v>24</v>
      </c>
      <c r="V19" s="45">
        <v>24</v>
      </c>
      <c r="W19" s="45">
        <v>24</v>
      </c>
      <c r="X19" s="45">
        <v>24</v>
      </c>
      <c r="Y19" s="45">
        <v>24</v>
      </c>
      <c r="Z19" s="45">
        <v>24</v>
      </c>
      <c r="AA19" s="45">
        <v>24</v>
      </c>
      <c r="AB19" s="45">
        <v>24</v>
      </c>
      <c r="AC19" s="45">
        <v>24</v>
      </c>
      <c r="AD19" s="45">
        <v>24</v>
      </c>
      <c r="AE19" s="45">
        <v>12</v>
      </c>
      <c r="AF19" s="45">
        <v>12</v>
      </c>
      <c r="AG19" s="49">
        <v>36</v>
      </c>
      <c r="AH19" s="47">
        <f t="shared" si="2"/>
        <v>36</v>
      </c>
      <c r="AI19" s="48">
        <f t="shared" si="3"/>
        <v>12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30</v>
      </c>
      <c r="C20" s="45">
        <v>15</v>
      </c>
      <c r="D20" s="45">
        <v>15</v>
      </c>
      <c r="E20" s="45">
        <v>15</v>
      </c>
      <c r="F20" s="45">
        <v>5.5</v>
      </c>
      <c r="G20" s="45"/>
      <c r="H20" s="45"/>
      <c r="I20" s="45">
        <v>5</v>
      </c>
      <c r="J20" s="45">
        <v>5</v>
      </c>
      <c r="K20" s="45">
        <v>5</v>
      </c>
      <c r="L20" s="45">
        <v>5</v>
      </c>
      <c r="M20" s="45">
        <v>11.1</v>
      </c>
      <c r="N20" s="45">
        <v>11.1</v>
      </c>
      <c r="O20" s="45">
        <v>11.1</v>
      </c>
      <c r="P20" s="45">
        <v>15</v>
      </c>
      <c r="Q20" s="45">
        <v>15</v>
      </c>
      <c r="R20" s="45">
        <v>6</v>
      </c>
      <c r="S20" s="45">
        <v>6</v>
      </c>
      <c r="T20" s="45">
        <v>30</v>
      </c>
      <c r="U20" s="45">
        <v>30</v>
      </c>
      <c r="V20" s="45">
        <v>30</v>
      </c>
      <c r="W20" s="45">
        <v>30</v>
      </c>
      <c r="X20" s="45">
        <v>30</v>
      </c>
      <c r="Y20" s="45">
        <v>15</v>
      </c>
      <c r="Z20" s="45">
        <v>15</v>
      </c>
      <c r="AA20" s="45">
        <v>15</v>
      </c>
      <c r="AB20" s="45">
        <v>15</v>
      </c>
      <c r="AC20" s="45">
        <v>15</v>
      </c>
      <c r="AD20" s="45">
        <v>15</v>
      </c>
      <c r="AE20" s="45">
        <v>15</v>
      </c>
      <c r="AF20" s="45">
        <v>15</v>
      </c>
      <c r="AG20" s="51">
        <v>30</v>
      </c>
      <c r="AH20" s="47">
        <f t="shared" si="2"/>
        <v>30</v>
      </c>
      <c r="AI20" s="48">
        <f t="shared" si="3"/>
        <v>5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20.9</v>
      </c>
      <c r="C21" s="45">
        <v>20.9</v>
      </c>
      <c r="D21" s="45">
        <v>20.9</v>
      </c>
      <c r="E21" s="45">
        <v>20.9</v>
      </c>
      <c r="F21" s="45">
        <v>20.9</v>
      </c>
      <c r="G21" s="45">
        <v>21</v>
      </c>
      <c r="H21" s="45"/>
      <c r="I21" s="45">
        <v>10.6</v>
      </c>
      <c r="J21" s="45">
        <v>10.6</v>
      </c>
      <c r="K21" s="45">
        <v>10.6</v>
      </c>
      <c r="L21" s="45">
        <v>10.6</v>
      </c>
      <c r="M21" s="45">
        <v>20.8</v>
      </c>
      <c r="N21" s="45">
        <v>20.8</v>
      </c>
      <c r="O21" s="45">
        <v>20.8</v>
      </c>
      <c r="P21" s="45">
        <v>20.8</v>
      </c>
      <c r="Q21" s="45">
        <v>20.8</v>
      </c>
      <c r="R21" s="45">
        <v>20.8</v>
      </c>
      <c r="S21" s="45">
        <v>20.8</v>
      </c>
      <c r="T21" s="45">
        <v>20.8</v>
      </c>
      <c r="U21" s="45">
        <v>20.8</v>
      </c>
      <c r="V21" s="45">
        <v>20.8</v>
      </c>
      <c r="W21" s="45">
        <v>20.8</v>
      </c>
      <c r="X21" s="45">
        <v>20.8</v>
      </c>
      <c r="Y21" s="45">
        <v>20.8</v>
      </c>
      <c r="Z21" s="45">
        <v>20.8</v>
      </c>
      <c r="AA21" s="45">
        <v>20.8</v>
      </c>
      <c r="AB21" s="45">
        <v>20.8</v>
      </c>
      <c r="AC21" s="45">
        <v>20.8</v>
      </c>
      <c r="AD21" s="45">
        <v>20.8</v>
      </c>
      <c r="AE21" s="45">
        <v>20.8</v>
      </c>
      <c r="AF21" s="45">
        <v>20.8</v>
      </c>
      <c r="AG21" s="49">
        <v>24.2</v>
      </c>
      <c r="AH21" s="47">
        <f t="shared" si="2"/>
        <v>21</v>
      </c>
      <c r="AI21" s="48">
        <f t="shared" si="3"/>
        <v>10.6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21.1</v>
      </c>
      <c r="C22" s="45">
        <v>21.1</v>
      </c>
      <c r="D22" s="45">
        <v>21.1</v>
      </c>
      <c r="E22" s="45">
        <v>21.1</v>
      </c>
      <c r="F22" s="45">
        <v>21</v>
      </c>
      <c r="G22" s="45">
        <v>21</v>
      </c>
      <c r="H22" s="45"/>
      <c r="I22" s="45">
        <v>10</v>
      </c>
      <c r="J22" s="45">
        <v>10</v>
      </c>
      <c r="K22" s="45">
        <v>10</v>
      </c>
      <c r="L22" s="45">
        <v>10</v>
      </c>
      <c r="M22" s="45">
        <v>20.7</v>
      </c>
      <c r="N22" s="45">
        <v>20.7</v>
      </c>
      <c r="O22" s="45">
        <v>20.7</v>
      </c>
      <c r="P22" s="45">
        <v>20.7</v>
      </c>
      <c r="Q22" s="45">
        <v>20.7</v>
      </c>
      <c r="R22" s="45">
        <v>20.7</v>
      </c>
      <c r="S22" s="45">
        <v>20.7</v>
      </c>
      <c r="T22" s="45">
        <v>20.7</v>
      </c>
      <c r="U22" s="45">
        <v>20.7</v>
      </c>
      <c r="V22" s="45">
        <v>20.7</v>
      </c>
      <c r="W22" s="45">
        <v>20.7</v>
      </c>
      <c r="X22" s="45">
        <v>20.7</v>
      </c>
      <c r="Y22" s="45">
        <v>20.7</v>
      </c>
      <c r="Z22" s="45">
        <v>20.7</v>
      </c>
      <c r="AA22" s="45">
        <v>20.7</v>
      </c>
      <c r="AB22" s="45">
        <v>20.7</v>
      </c>
      <c r="AC22" s="45">
        <v>20.7</v>
      </c>
      <c r="AD22" s="45">
        <v>20.7</v>
      </c>
      <c r="AE22" s="45">
        <v>20.7</v>
      </c>
      <c r="AF22" s="45">
        <v>20.7</v>
      </c>
      <c r="AG22" s="49">
        <v>28</v>
      </c>
      <c r="AH22" s="47">
        <f t="shared" si="2"/>
        <v>21.1</v>
      </c>
      <c r="AI22" s="48">
        <f t="shared" si="3"/>
        <v>10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9</v>
      </c>
      <c r="D23" s="45">
        <v>9</v>
      </c>
      <c r="E23" s="45">
        <v>4</v>
      </c>
      <c r="F23" s="45">
        <v>4</v>
      </c>
      <c r="G23" s="45"/>
      <c r="H23" s="45"/>
      <c r="I23" s="45">
        <v>4</v>
      </c>
      <c r="J23" s="45">
        <v>4</v>
      </c>
      <c r="K23" s="45">
        <v>4</v>
      </c>
      <c r="L23" s="45">
        <v>4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4</v>
      </c>
      <c r="S23" s="45">
        <v>4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4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24.5</v>
      </c>
      <c r="C24" s="45">
        <v>24.5</v>
      </c>
      <c r="D24" s="45">
        <v>24.5</v>
      </c>
      <c r="E24" s="45">
        <v>24.5</v>
      </c>
      <c r="F24" s="45">
        <v>24.5</v>
      </c>
      <c r="G24" s="45"/>
      <c r="H24" s="45"/>
      <c r="I24" s="45">
        <v>25.2</v>
      </c>
      <c r="J24" s="45">
        <v>25.2</v>
      </c>
      <c r="K24" s="45">
        <v>25.2</v>
      </c>
      <c r="L24" s="45">
        <v>25.2</v>
      </c>
      <c r="M24" s="45">
        <v>25.2</v>
      </c>
      <c r="N24" s="45">
        <v>25</v>
      </c>
      <c r="O24" s="45">
        <v>25</v>
      </c>
      <c r="P24" s="45">
        <v>25</v>
      </c>
      <c r="Q24" s="45">
        <v>25</v>
      </c>
      <c r="R24" s="45">
        <v>25</v>
      </c>
      <c r="S24" s="45">
        <v>25</v>
      </c>
      <c r="T24" s="45">
        <v>25</v>
      </c>
      <c r="U24" s="45">
        <v>25</v>
      </c>
      <c r="V24" s="45">
        <v>25</v>
      </c>
      <c r="W24" s="45">
        <v>25</v>
      </c>
      <c r="X24" s="45">
        <v>25</v>
      </c>
      <c r="Y24" s="45">
        <v>12</v>
      </c>
      <c r="Z24" s="45">
        <v>12</v>
      </c>
      <c r="AA24" s="45">
        <v>12</v>
      </c>
      <c r="AB24" s="45">
        <v>25</v>
      </c>
      <c r="AC24" s="45">
        <v>25</v>
      </c>
      <c r="AD24" s="45">
        <v>25</v>
      </c>
      <c r="AE24" s="45">
        <v>24</v>
      </c>
      <c r="AF24" s="45">
        <v>24</v>
      </c>
      <c r="AG24" s="49">
        <v>25</v>
      </c>
      <c r="AH24" s="47">
        <f t="shared" si="2"/>
        <v>25.2</v>
      </c>
      <c r="AI24" s="48">
        <f t="shared" si="3"/>
        <v>12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/>
      <c r="H25" s="45"/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0</v>
      </c>
      <c r="E26" s="45">
        <v>0</v>
      </c>
      <c r="F26" s="45">
        <v>0</v>
      </c>
      <c r="G26" s="45"/>
      <c r="H26" s="45"/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0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25</v>
      </c>
      <c r="C27" s="45">
        <v>13</v>
      </c>
      <c r="D27" s="45">
        <v>13</v>
      </c>
      <c r="E27" s="45">
        <v>4</v>
      </c>
      <c r="F27" s="45">
        <v>4</v>
      </c>
      <c r="G27" s="45"/>
      <c r="H27" s="45"/>
      <c r="I27" s="45">
        <v>4</v>
      </c>
      <c r="J27" s="45">
        <v>4</v>
      </c>
      <c r="K27" s="45">
        <v>4</v>
      </c>
      <c r="L27" s="45">
        <v>4</v>
      </c>
      <c r="M27" s="45">
        <v>4</v>
      </c>
      <c r="N27" s="45">
        <v>4</v>
      </c>
      <c r="O27" s="45">
        <v>4</v>
      </c>
      <c r="P27" s="45">
        <v>4</v>
      </c>
      <c r="Q27" s="45">
        <v>4</v>
      </c>
      <c r="R27" s="45">
        <v>4</v>
      </c>
      <c r="S27" s="45">
        <v>4</v>
      </c>
      <c r="T27" s="45">
        <v>17.5</v>
      </c>
      <c r="U27" s="45">
        <v>17.5</v>
      </c>
      <c r="V27" s="45">
        <v>17.5</v>
      </c>
      <c r="W27" s="45">
        <v>17.5</v>
      </c>
      <c r="X27" s="45">
        <v>17.5</v>
      </c>
      <c r="Y27" s="45">
        <v>17.5</v>
      </c>
      <c r="Z27" s="45">
        <v>17.5</v>
      </c>
      <c r="AA27" s="45">
        <v>17.5</v>
      </c>
      <c r="AB27" s="45">
        <v>25</v>
      </c>
      <c r="AC27" s="45">
        <v>25</v>
      </c>
      <c r="AD27" s="45">
        <v>25</v>
      </c>
      <c r="AE27" s="45">
        <v>20</v>
      </c>
      <c r="AF27" s="45">
        <v>20</v>
      </c>
      <c r="AG27" s="49">
        <v>25</v>
      </c>
      <c r="AH27" s="47">
        <f t="shared" si="2"/>
        <v>25</v>
      </c>
      <c r="AI27" s="48">
        <f t="shared" si="3"/>
        <v>4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24.6</v>
      </c>
      <c r="C28" s="45">
        <v>24.6</v>
      </c>
      <c r="D28" s="45">
        <v>24.6</v>
      </c>
      <c r="E28" s="45">
        <v>24.6</v>
      </c>
      <c r="F28" s="45">
        <v>24.8</v>
      </c>
      <c r="G28" s="45">
        <v>24.6</v>
      </c>
      <c r="H28" s="45"/>
      <c r="I28" s="45">
        <v>24.5</v>
      </c>
      <c r="J28" s="45">
        <v>24.5</v>
      </c>
      <c r="K28" s="45">
        <v>24.5</v>
      </c>
      <c r="L28" s="45">
        <v>24.5</v>
      </c>
      <c r="M28" s="45">
        <v>24.5</v>
      </c>
      <c r="N28" s="45">
        <v>24.5</v>
      </c>
      <c r="O28" s="45">
        <v>24.5</v>
      </c>
      <c r="P28" s="45">
        <v>18</v>
      </c>
      <c r="Q28" s="45">
        <v>18</v>
      </c>
      <c r="R28" s="45">
        <v>24.8</v>
      </c>
      <c r="S28" s="45">
        <v>24.8</v>
      </c>
      <c r="T28" s="45">
        <v>24.8</v>
      </c>
      <c r="U28" s="45">
        <v>24.8</v>
      </c>
      <c r="V28" s="45">
        <v>24.8</v>
      </c>
      <c r="W28" s="45">
        <v>24.8</v>
      </c>
      <c r="X28" s="45">
        <v>24.8</v>
      </c>
      <c r="Y28" s="45">
        <v>24.8</v>
      </c>
      <c r="Z28" s="45">
        <v>24.8</v>
      </c>
      <c r="AA28" s="45">
        <v>24.8</v>
      </c>
      <c r="AB28" s="45">
        <v>24.8</v>
      </c>
      <c r="AC28" s="45">
        <v>24.8</v>
      </c>
      <c r="AD28" s="45">
        <v>24.8</v>
      </c>
      <c r="AE28" s="45">
        <v>24.8</v>
      </c>
      <c r="AF28" s="45">
        <v>24.8</v>
      </c>
      <c r="AG28" s="49">
        <v>23.5</v>
      </c>
      <c r="AH28" s="47">
        <f t="shared" si="2"/>
        <v>24.8</v>
      </c>
      <c r="AI28" s="48">
        <f t="shared" si="3"/>
        <v>18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22</v>
      </c>
      <c r="C29" s="45">
        <v>22</v>
      </c>
      <c r="D29" s="45">
        <v>22</v>
      </c>
      <c r="E29" s="45">
        <v>22</v>
      </c>
      <c r="F29" s="45">
        <v>0</v>
      </c>
      <c r="G29" s="45">
        <v>0</v>
      </c>
      <c r="H29" s="45"/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0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/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/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22</v>
      </c>
      <c r="C32" s="45">
        <v>22</v>
      </c>
      <c r="D32" s="45">
        <v>22</v>
      </c>
      <c r="E32" s="45">
        <v>22</v>
      </c>
      <c r="F32" s="45">
        <v>20.7</v>
      </c>
      <c r="G32" s="45">
        <v>0</v>
      </c>
      <c r="H32" s="45"/>
      <c r="I32" s="45">
        <v>21.5</v>
      </c>
      <c r="J32" s="45">
        <v>21.5</v>
      </c>
      <c r="K32" s="45">
        <v>21.5</v>
      </c>
      <c r="L32" s="45">
        <v>21.5</v>
      </c>
      <c r="M32" s="45">
        <v>21.5</v>
      </c>
      <c r="N32" s="45">
        <v>21.5</v>
      </c>
      <c r="O32" s="45">
        <v>21.5</v>
      </c>
      <c r="P32" s="45">
        <v>21.5</v>
      </c>
      <c r="Q32" s="45">
        <v>21.5</v>
      </c>
      <c r="R32" s="45">
        <v>22</v>
      </c>
      <c r="S32" s="45">
        <v>22</v>
      </c>
      <c r="T32" s="45">
        <v>22</v>
      </c>
      <c r="U32" s="45">
        <v>22</v>
      </c>
      <c r="V32" s="45">
        <v>22</v>
      </c>
      <c r="W32" s="45">
        <v>22</v>
      </c>
      <c r="X32" s="45">
        <v>22</v>
      </c>
      <c r="Y32" s="45">
        <v>22</v>
      </c>
      <c r="Z32" s="45">
        <v>22</v>
      </c>
      <c r="AA32" s="45">
        <v>22</v>
      </c>
      <c r="AB32" s="45">
        <v>22</v>
      </c>
      <c r="AC32" s="45">
        <v>22</v>
      </c>
      <c r="AD32" s="45">
        <v>22</v>
      </c>
      <c r="AE32" s="45">
        <v>22</v>
      </c>
      <c r="AF32" s="45">
        <v>22</v>
      </c>
      <c r="AG32" s="49">
        <v>22</v>
      </c>
      <c r="AH32" s="47">
        <f t="shared" si="2"/>
        <v>22</v>
      </c>
      <c r="AI32" s="48">
        <f t="shared" si="3"/>
        <v>0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10</v>
      </c>
      <c r="C33" s="45">
        <v>10</v>
      </c>
      <c r="D33" s="45">
        <v>10</v>
      </c>
      <c r="E33" s="45">
        <v>10</v>
      </c>
      <c r="F33" s="45">
        <v>10</v>
      </c>
      <c r="G33" s="45">
        <v>0</v>
      </c>
      <c r="H33" s="45"/>
      <c r="I33" s="45">
        <v>10</v>
      </c>
      <c r="J33" s="45">
        <v>10</v>
      </c>
      <c r="K33" s="45">
        <v>10</v>
      </c>
      <c r="L33" s="45">
        <v>10</v>
      </c>
      <c r="M33" s="45">
        <v>10</v>
      </c>
      <c r="N33" s="45">
        <v>10</v>
      </c>
      <c r="O33" s="45">
        <v>10</v>
      </c>
      <c r="P33" s="45">
        <v>10</v>
      </c>
      <c r="Q33" s="45">
        <v>10</v>
      </c>
      <c r="R33" s="45">
        <v>10</v>
      </c>
      <c r="S33" s="45">
        <v>10</v>
      </c>
      <c r="T33" s="45">
        <v>10</v>
      </c>
      <c r="U33" s="45">
        <v>10</v>
      </c>
      <c r="V33" s="45">
        <v>10</v>
      </c>
      <c r="W33" s="45">
        <v>10</v>
      </c>
      <c r="X33" s="45">
        <v>10</v>
      </c>
      <c r="Y33" s="45">
        <v>10</v>
      </c>
      <c r="Z33" s="45">
        <v>10</v>
      </c>
      <c r="AA33" s="45">
        <v>10</v>
      </c>
      <c r="AB33" s="45">
        <v>10</v>
      </c>
      <c r="AC33" s="45">
        <v>10</v>
      </c>
      <c r="AD33" s="45">
        <v>10</v>
      </c>
      <c r="AE33" s="45">
        <v>10</v>
      </c>
      <c r="AF33" s="45">
        <v>10</v>
      </c>
      <c r="AG33" s="49">
        <v>20</v>
      </c>
      <c r="AH33" s="47">
        <f t="shared" si="2"/>
        <v>10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/>
      <c r="I34" s="45">
        <v>4</v>
      </c>
      <c r="J34" s="45">
        <v>4</v>
      </c>
      <c r="K34" s="45">
        <v>4</v>
      </c>
      <c r="L34" s="45">
        <v>4</v>
      </c>
      <c r="M34" s="45">
        <v>4</v>
      </c>
      <c r="N34" s="45">
        <v>4</v>
      </c>
      <c r="O34" s="45">
        <v>4</v>
      </c>
      <c r="P34" s="45">
        <v>4</v>
      </c>
      <c r="Q34" s="45">
        <v>4</v>
      </c>
      <c r="R34" s="45">
        <v>4</v>
      </c>
      <c r="S34" s="45">
        <v>4</v>
      </c>
      <c r="T34" s="45">
        <v>4</v>
      </c>
      <c r="U34" s="45">
        <v>4</v>
      </c>
      <c r="V34" s="45">
        <v>4</v>
      </c>
      <c r="W34" s="45">
        <v>4</v>
      </c>
      <c r="X34" s="45">
        <v>4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9">
        <v>18</v>
      </c>
      <c r="AH34" s="47">
        <f t="shared" si="2"/>
        <v>4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/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/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0</v>
      </c>
      <c r="H37" s="45"/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0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0</v>
      </c>
      <c r="H38" s="45"/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0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6</v>
      </c>
      <c r="C39" s="45">
        <v>6</v>
      </c>
      <c r="D39" s="45">
        <v>6</v>
      </c>
      <c r="E39" s="45">
        <v>2</v>
      </c>
      <c r="F39" s="45">
        <v>2</v>
      </c>
      <c r="G39" s="45">
        <v>0</v>
      </c>
      <c r="H39" s="45"/>
      <c r="I39" s="45">
        <v>4</v>
      </c>
      <c r="J39" s="45">
        <v>4</v>
      </c>
      <c r="K39" s="45">
        <v>4</v>
      </c>
      <c r="L39" s="45">
        <v>4</v>
      </c>
      <c r="M39" s="45">
        <v>4</v>
      </c>
      <c r="N39" s="45">
        <v>4</v>
      </c>
      <c r="O39" s="45">
        <v>4</v>
      </c>
      <c r="P39" s="45">
        <v>4</v>
      </c>
      <c r="Q39" s="45">
        <v>4</v>
      </c>
      <c r="R39" s="45">
        <v>4</v>
      </c>
      <c r="S39" s="45">
        <v>4</v>
      </c>
      <c r="T39" s="45">
        <v>12</v>
      </c>
      <c r="U39" s="45">
        <v>12</v>
      </c>
      <c r="V39" s="45">
        <v>12</v>
      </c>
      <c r="W39" s="45">
        <v>12</v>
      </c>
      <c r="X39" s="45">
        <v>12</v>
      </c>
      <c r="Y39" s="45">
        <v>12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12</v>
      </c>
      <c r="AF39" s="45">
        <v>12</v>
      </c>
      <c r="AG39" s="49">
        <v>12</v>
      </c>
      <c r="AH39" s="47">
        <f t="shared" si="2"/>
        <v>12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0</v>
      </c>
      <c r="H40" s="45"/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0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12</v>
      </c>
      <c r="C41" s="45">
        <v>12</v>
      </c>
      <c r="D41" s="45">
        <v>12</v>
      </c>
      <c r="E41" s="45">
        <v>12</v>
      </c>
      <c r="F41" s="45">
        <v>12</v>
      </c>
      <c r="G41" s="45">
        <v>12</v>
      </c>
      <c r="H41" s="45"/>
      <c r="I41" s="45">
        <v>10</v>
      </c>
      <c r="J41" s="45">
        <v>10</v>
      </c>
      <c r="K41" s="45">
        <v>10</v>
      </c>
      <c r="L41" s="45">
        <v>10</v>
      </c>
      <c r="M41" s="45">
        <v>10</v>
      </c>
      <c r="N41" s="45">
        <v>10</v>
      </c>
      <c r="O41" s="45">
        <v>10</v>
      </c>
      <c r="P41" s="45">
        <v>10</v>
      </c>
      <c r="Q41" s="45">
        <v>10</v>
      </c>
      <c r="R41" s="45">
        <v>10</v>
      </c>
      <c r="S41" s="45">
        <v>10</v>
      </c>
      <c r="T41" s="45">
        <v>10</v>
      </c>
      <c r="U41" s="45">
        <v>10</v>
      </c>
      <c r="V41" s="45">
        <v>10</v>
      </c>
      <c r="W41" s="45">
        <v>10</v>
      </c>
      <c r="X41" s="45">
        <v>10</v>
      </c>
      <c r="Y41" s="45">
        <v>10</v>
      </c>
      <c r="Z41" s="45">
        <v>10</v>
      </c>
      <c r="AA41" s="45">
        <v>10</v>
      </c>
      <c r="AB41" s="45">
        <v>10</v>
      </c>
      <c r="AC41" s="45">
        <v>10</v>
      </c>
      <c r="AD41" s="45">
        <v>10</v>
      </c>
      <c r="AE41" s="45">
        <v>10</v>
      </c>
      <c r="AF41" s="45">
        <v>10</v>
      </c>
      <c r="AG41" s="49">
        <v>12</v>
      </c>
      <c r="AH41" s="47">
        <f t="shared" si="2"/>
        <v>12</v>
      </c>
      <c r="AI41" s="48">
        <f t="shared" si="3"/>
        <v>10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9</v>
      </c>
      <c r="C42" s="45">
        <v>9</v>
      </c>
      <c r="D42" s="45">
        <v>9</v>
      </c>
      <c r="E42" s="45">
        <v>9</v>
      </c>
      <c r="F42" s="45">
        <v>9</v>
      </c>
      <c r="G42" s="45">
        <v>9</v>
      </c>
      <c r="H42" s="45"/>
      <c r="I42" s="45">
        <v>9</v>
      </c>
      <c r="J42" s="45">
        <v>9</v>
      </c>
      <c r="K42" s="45">
        <v>9</v>
      </c>
      <c r="L42" s="45">
        <v>9</v>
      </c>
      <c r="M42" s="45">
        <v>9</v>
      </c>
      <c r="N42" s="45">
        <v>9</v>
      </c>
      <c r="O42" s="45">
        <v>9</v>
      </c>
      <c r="P42" s="45">
        <v>9</v>
      </c>
      <c r="Q42" s="45">
        <v>9</v>
      </c>
      <c r="R42" s="45">
        <v>9</v>
      </c>
      <c r="S42" s="45">
        <v>9</v>
      </c>
      <c r="T42" s="45">
        <v>9</v>
      </c>
      <c r="U42" s="45">
        <v>9</v>
      </c>
      <c r="V42" s="45">
        <v>9</v>
      </c>
      <c r="W42" s="45">
        <v>9</v>
      </c>
      <c r="X42" s="45">
        <v>9</v>
      </c>
      <c r="Y42" s="45">
        <v>9</v>
      </c>
      <c r="Z42" s="45">
        <v>9</v>
      </c>
      <c r="AA42" s="45">
        <v>9</v>
      </c>
      <c r="AB42" s="45">
        <v>9</v>
      </c>
      <c r="AC42" s="45">
        <v>9</v>
      </c>
      <c r="AD42" s="45">
        <v>9</v>
      </c>
      <c r="AE42" s="45">
        <v>9</v>
      </c>
      <c r="AF42" s="45">
        <v>9</v>
      </c>
      <c r="AG42" s="52">
        <v>22</v>
      </c>
      <c r="AH42" s="47">
        <f t="shared" si="2"/>
        <v>9</v>
      </c>
      <c r="AI42" s="48">
        <f t="shared" si="3"/>
        <v>9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11.3</v>
      </c>
      <c r="C43" s="45">
        <v>11.3</v>
      </c>
      <c r="D43" s="45">
        <v>11.3</v>
      </c>
      <c r="E43" s="45">
        <v>11.3</v>
      </c>
      <c r="F43" s="45">
        <v>11.3</v>
      </c>
      <c r="G43" s="45">
        <v>0</v>
      </c>
      <c r="H43" s="45"/>
      <c r="I43" s="45">
        <v>11.2</v>
      </c>
      <c r="J43" s="45">
        <v>11.2</v>
      </c>
      <c r="K43" s="45">
        <v>11.2</v>
      </c>
      <c r="L43" s="45">
        <v>11.2</v>
      </c>
      <c r="M43" s="45">
        <v>11.2</v>
      </c>
      <c r="N43" s="45">
        <v>11.2</v>
      </c>
      <c r="O43" s="45">
        <v>11.2</v>
      </c>
      <c r="P43" s="45">
        <v>11.2</v>
      </c>
      <c r="Q43" s="45">
        <v>11.2</v>
      </c>
      <c r="R43" s="45">
        <v>11.2</v>
      </c>
      <c r="S43" s="45">
        <v>11.2</v>
      </c>
      <c r="T43" s="45">
        <v>11.2</v>
      </c>
      <c r="U43" s="45">
        <v>11.2</v>
      </c>
      <c r="V43" s="45">
        <v>11.2</v>
      </c>
      <c r="W43" s="45">
        <v>11.2</v>
      </c>
      <c r="X43" s="45">
        <v>11.2</v>
      </c>
      <c r="Y43" s="45">
        <v>11.2</v>
      </c>
      <c r="Z43" s="45">
        <v>11.2</v>
      </c>
      <c r="AA43" s="45">
        <v>11.2</v>
      </c>
      <c r="AB43" s="45">
        <v>11.2</v>
      </c>
      <c r="AC43" s="45">
        <v>11.2</v>
      </c>
      <c r="AD43" s="45">
        <v>11.2</v>
      </c>
      <c r="AE43" s="45">
        <v>11.2</v>
      </c>
      <c r="AF43" s="45">
        <v>11.2</v>
      </c>
      <c r="AG43" s="51">
        <v>11.88</v>
      </c>
      <c r="AH43" s="47">
        <f t="shared" si="2"/>
        <v>11.3</v>
      </c>
      <c r="AI43" s="48">
        <f t="shared" si="3"/>
        <v>0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10.6</v>
      </c>
      <c r="H44" s="45"/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10.6</v>
      </c>
      <c r="AI44" s="48">
        <f t="shared" si="3"/>
        <v>10.199999999999999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0</v>
      </c>
      <c r="H45" s="45"/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0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/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10</v>
      </c>
      <c r="P46" s="45">
        <v>10</v>
      </c>
      <c r="Q46" s="45">
        <v>10</v>
      </c>
      <c r="R46" s="45">
        <v>10</v>
      </c>
      <c r="S46" s="45">
        <v>10</v>
      </c>
      <c r="T46" s="45">
        <v>10</v>
      </c>
      <c r="U46" s="45">
        <v>10</v>
      </c>
      <c r="V46" s="45">
        <v>10</v>
      </c>
      <c r="W46" s="45">
        <v>10</v>
      </c>
      <c r="X46" s="45">
        <v>10</v>
      </c>
      <c r="Y46" s="45">
        <v>10</v>
      </c>
      <c r="Z46" s="45">
        <v>10</v>
      </c>
      <c r="AA46" s="45">
        <v>10</v>
      </c>
      <c r="AB46" s="45">
        <v>10</v>
      </c>
      <c r="AC46" s="45">
        <v>10</v>
      </c>
      <c r="AD46" s="45">
        <v>10</v>
      </c>
      <c r="AE46" s="45">
        <v>10</v>
      </c>
      <c r="AF46" s="45">
        <v>10</v>
      </c>
      <c r="AG46" s="54">
        <v>10</v>
      </c>
      <c r="AH46" s="47">
        <f t="shared" si="2"/>
        <v>10</v>
      </c>
      <c r="AI46" s="48">
        <f t="shared" si="3"/>
        <v>10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/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" si="4">SUM(B11:B48)</f>
        <v>1074.9000000000001</v>
      </c>
      <c r="C50" s="59">
        <f t="shared" ref="C50:AF50" si="5">SUM(C11:C48)</f>
        <v>1055.9000000000001</v>
      </c>
      <c r="D50" s="59">
        <f t="shared" si="5"/>
        <v>1030.9000000000001</v>
      </c>
      <c r="E50" s="59">
        <f t="shared" si="5"/>
        <v>996.9</v>
      </c>
      <c r="F50" s="59">
        <f t="shared" si="5"/>
        <v>940.6</v>
      </c>
      <c r="G50" s="59">
        <f t="shared" si="5"/>
        <v>582.29999999999995</v>
      </c>
      <c r="H50" s="59">
        <f t="shared" si="5"/>
        <v>355.1</v>
      </c>
      <c r="I50" s="59">
        <f t="shared" si="5"/>
        <v>938.2</v>
      </c>
      <c r="J50" s="59">
        <f t="shared" si="5"/>
        <v>942.7</v>
      </c>
      <c r="K50" s="59">
        <f t="shared" si="5"/>
        <v>942.7</v>
      </c>
      <c r="L50" s="59">
        <f t="shared" si="5"/>
        <v>942.7</v>
      </c>
      <c r="M50" s="59">
        <f t="shared" si="5"/>
        <v>1011.8000000000002</v>
      </c>
      <c r="N50" s="59">
        <f t="shared" si="5"/>
        <v>999.2</v>
      </c>
      <c r="O50" s="59">
        <f t="shared" si="5"/>
        <v>999.2</v>
      </c>
      <c r="P50" s="59">
        <f t="shared" si="5"/>
        <v>1013.6000000000001</v>
      </c>
      <c r="Q50" s="59">
        <f t="shared" si="5"/>
        <v>1013.6000000000001</v>
      </c>
      <c r="R50" s="59">
        <f t="shared" si="5"/>
        <v>998.7</v>
      </c>
      <c r="S50" s="59">
        <f t="shared" si="5"/>
        <v>998.7</v>
      </c>
      <c r="T50" s="59">
        <f t="shared" si="5"/>
        <v>1066.2</v>
      </c>
      <c r="U50" s="59">
        <f t="shared" si="5"/>
        <v>1074.3000000000002</v>
      </c>
      <c r="V50" s="59">
        <f t="shared" si="5"/>
        <v>1074.3000000000002</v>
      </c>
      <c r="W50" s="59">
        <f t="shared" si="5"/>
        <v>983.7</v>
      </c>
      <c r="X50" s="59">
        <f t="shared" si="5"/>
        <v>983.7</v>
      </c>
      <c r="Y50" s="59">
        <f t="shared" si="5"/>
        <v>954.2</v>
      </c>
      <c r="Z50" s="59">
        <f t="shared" si="5"/>
        <v>954.2</v>
      </c>
      <c r="AA50" s="59">
        <f t="shared" si="5"/>
        <v>979.7</v>
      </c>
      <c r="AB50" s="59">
        <f t="shared" si="5"/>
        <v>1002.2</v>
      </c>
      <c r="AC50" s="59">
        <f t="shared" si="5"/>
        <v>1024.8000000000002</v>
      </c>
      <c r="AD50" s="59">
        <f t="shared" si="5"/>
        <v>1024.8000000000002</v>
      </c>
      <c r="AE50" s="59">
        <f t="shared" si="5"/>
        <v>999.80000000000018</v>
      </c>
      <c r="AF50" s="59">
        <f t="shared" si="5"/>
        <v>999.7</v>
      </c>
      <c r="AG50" s="60">
        <f>SUM(AG13:AG48)</f>
        <v>922.14</v>
      </c>
      <c r="AH50" s="47">
        <f t="shared" si="2"/>
        <v>1074.9000000000001</v>
      </c>
      <c r="AI50" s="48">
        <f t="shared" si="3"/>
        <v>355.1</v>
      </c>
      <c r="AK50" s="74"/>
    </row>
    <row r="51" spans="1:41" x14ac:dyDescent="0.25">
      <c r="A51" s="61" t="s">
        <v>67</v>
      </c>
      <c r="B51" s="62">
        <v>456</v>
      </c>
      <c r="C51" s="62">
        <v>456</v>
      </c>
      <c r="D51" s="62">
        <v>456</v>
      </c>
      <c r="E51" s="62">
        <v>456</v>
      </c>
      <c r="F51" s="62">
        <v>456</v>
      </c>
      <c r="G51" s="62">
        <v>456</v>
      </c>
      <c r="H51" s="62">
        <v>456</v>
      </c>
      <c r="I51" s="62">
        <v>456</v>
      </c>
      <c r="J51" s="62">
        <v>456</v>
      </c>
      <c r="K51" s="62">
        <v>456</v>
      </c>
      <c r="L51" s="62">
        <v>456</v>
      </c>
      <c r="M51" s="62">
        <v>456</v>
      </c>
      <c r="N51" s="62">
        <v>456</v>
      </c>
      <c r="O51" s="62">
        <v>456</v>
      </c>
      <c r="P51" s="62">
        <v>456</v>
      </c>
      <c r="Q51" s="62">
        <v>456</v>
      </c>
      <c r="R51" s="62">
        <v>456</v>
      </c>
      <c r="S51" s="62">
        <v>456</v>
      </c>
      <c r="T51" s="62">
        <v>456</v>
      </c>
      <c r="U51" s="62">
        <v>456</v>
      </c>
      <c r="V51" s="62">
        <v>456</v>
      </c>
      <c r="W51" s="62">
        <v>456</v>
      </c>
      <c r="X51" s="62">
        <v>456</v>
      </c>
      <c r="Y51" s="62">
        <v>456</v>
      </c>
      <c r="Z51" s="62">
        <v>456</v>
      </c>
      <c r="AA51" s="62">
        <v>456</v>
      </c>
      <c r="AB51" s="62">
        <v>456</v>
      </c>
      <c r="AC51" s="62">
        <v>456</v>
      </c>
      <c r="AD51" s="62">
        <v>456</v>
      </c>
      <c r="AE51" s="62">
        <v>456</v>
      </c>
      <c r="AF51" s="62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55</v>
      </c>
      <c r="V52" s="64">
        <v>55</v>
      </c>
      <c r="W52" s="64">
        <v>55</v>
      </c>
      <c r="X52" s="64">
        <v>55</v>
      </c>
      <c r="Y52" s="64">
        <v>55</v>
      </c>
      <c r="Z52" s="64">
        <v>55</v>
      </c>
      <c r="AA52" s="64">
        <v>55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55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22.5</v>
      </c>
      <c r="AK53" s="74"/>
    </row>
    <row r="54" spans="1:41" ht="15.75" thickBot="1" x14ac:dyDescent="0.3">
      <c r="A54" s="68" t="s">
        <v>70</v>
      </c>
      <c r="B54" s="59">
        <f t="shared" ref="B54" si="6">SUM(B51:B53)</f>
        <v>533.5</v>
      </c>
      <c r="C54" s="59">
        <f t="shared" ref="C54:AG54" si="7">SUM(C51:C53)</f>
        <v>533.5</v>
      </c>
      <c r="D54" s="59">
        <f t="shared" si="7"/>
        <v>533.5</v>
      </c>
      <c r="E54" s="59">
        <f t="shared" si="7"/>
        <v>533.5</v>
      </c>
      <c r="F54" s="59">
        <f t="shared" si="7"/>
        <v>533.5</v>
      </c>
      <c r="G54" s="59">
        <f t="shared" si="7"/>
        <v>533.5</v>
      </c>
      <c r="H54" s="59">
        <f t="shared" si="7"/>
        <v>533.5</v>
      </c>
      <c r="I54" s="59">
        <f t="shared" si="7"/>
        <v>533.5</v>
      </c>
      <c r="J54" s="59">
        <f t="shared" si="7"/>
        <v>533.5</v>
      </c>
      <c r="K54" s="59">
        <f t="shared" si="7"/>
        <v>533.5</v>
      </c>
      <c r="L54" s="59">
        <f t="shared" si="7"/>
        <v>533.5</v>
      </c>
      <c r="M54" s="59">
        <f t="shared" si="7"/>
        <v>533.5</v>
      </c>
      <c r="N54" s="59">
        <f t="shared" si="7"/>
        <v>533.5</v>
      </c>
      <c r="O54" s="59">
        <f t="shared" si="7"/>
        <v>533.5</v>
      </c>
      <c r="P54" s="59">
        <f t="shared" si="7"/>
        <v>533.5</v>
      </c>
      <c r="Q54" s="59">
        <f t="shared" si="7"/>
        <v>533.5</v>
      </c>
      <c r="R54" s="59">
        <f t="shared" si="7"/>
        <v>533.5</v>
      </c>
      <c r="S54" s="59">
        <f t="shared" si="7"/>
        <v>533.5</v>
      </c>
      <c r="T54" s="59">
        <f t="shared" si="7"/>
        <v>533.5</v>
      </c>
      <c r="U54" s="59">
        <f t="shared" si="7"/>
        <v>533.5</v>
      </c>
      <c r="V54" s="59">
        <f t="shared" si="7"/>
        <v>533.5</v>
      </c>
      <c r="W54" s="59">
        <f t="shared" si="7"/>
        <v>533.5</v>
      </c>
      <c r="X54" s="59">
        <f t="shared" si="7"/>
        <v>533.5</v>
      </c>
      <c r="Y54" s="59">
        <f t="shared" si="7"/>
        <v>533.5</v>
      </c>
      <c r="Z54" s="59">
        <f t="shared" si="7"/>
        <v>533.5</v>
      </c>
      <c r="AA54" s="59">
        <f t="shared" si="7"/>
        <v>533.5</v>
      </c>
      <c r="AB54" s="59">
        <f t="shared" si="7"/>
        <v>533.5</v>
      </c>
      <c r="AC54" s="59">
        <f t="shared" si="7"/>
        <v>533.5</v>
      </c>
      <c r="AD54" s="59">
        <f t="shared" si="7"/>
        <v>533.5</v>
      </c>
      <c r="AE54" s="59">
        <f t="shared" si="7"/>
        <v>533.5</v>
      </c>
      <c r="AF54" s="59">
        <f t="shared" si="7"/>
        <v>533.5</v>
      </c>
      <c r="AG54" s="60">
        <f t="shared" si="7"/>
        <v>538.1</v>
      </c>
      <c r="AH54" s="47">
        <f t="shared" si="2"/>
        <v>533.5</v>
      </c>
      <c r="AI54" s="48">
        <f t="shared" si="3"/>
        <v>533.5</v>
      </c>
      <c r="AK54" s="74"/>
    </row>
    <row r="55" spans="1:41" x14ac:dyDescent="0.25">
      <c r="A55" s="44" t="s">
        <v>71</v>
      </c>
      <c r="B55" s="45">
        <v>140</v>
      </c>
      <c r="C55" s="45">
        <v>140</v>
      </c>
      <c r="D55" s="45">
        <v>140</v>
      </c>
      <c r="E55" s="45">
        <v>140</v>
      </c>
      <c r="F55" s="45">
        <v>140</v>
      </c>
      <c r="G55" s="45"/>
      <c r="H55" s="45"/>
      <c r="I55" s="45">
        <v>47</v>
      </c>
      <c r="J55" s="45">
        <v>137.80000000000001</v>
      </c>
      <c r="K55" s="45">
        <v>137.80000000000001</v>
      </c>
      <c r="L55" s="45">
        <v>137.80000000000001</v>
      </c>
      <c r="M55" s="45">
        <v>137.80000000000001</v>
      </c>
      <c r="N55" s="45">
        <v>137.80000000000001</v>
      </c>
      <c r="O55" s="45">
        <v>137.80000000000001</v>
      </c>
      <c r="P55" s="45">
        <v>137.80000000000001</v>
      </c>
      <c r="Q55" s="45">
        <v>137.80000000000001</v>
      </c>
      <c r="R55" s="45">
        <v>137.80000000000001</v>
      </c>
      <c r="S55" s="45">
        <v>137.80000000000001</v>
      </c>
      <c r="T55" s="45">
        <v>140.19999999999999</v>
      </c>
      <c r="U55" s="45">
        <v>140.19999999999999</v>
      </c>
      <c r="V55" s="45">
        <v>140.19999999999999</v>
      </c>
      <c r="W55" s="45">
        <v>140.19999999999999</v>
      </c>
      <c r="X55" s="45">
        <v>104.5</v>
      </c>
      <c r="Y55" s="45">
        <v>91</v>
      </c>
      <c r="Z55" s="45">
        <v>91</v>
      </c>
      <c r="AA55" s="45">
        <v>140.19999999999999</v>
      </c>
      <c r="AB55" s="45">
        <v>139.6</v>
      </c>
      <c r="AC55" s="45">
        <v>139.6</v>
      </c>
      <c r="AD55" s="45">
        <v>139.6</v>
      </c>
      <c r="AE55" s="45">
        <v>139.6</v>
      </c>
      <c r="AF55" s="45">
        <v>139.6</v>
      </c>
      <c r="AG55" s="51">
        <v>144</v>
      </c>
      <c r="AH55" s="47">
        <f t="shared" si="2"/>
        <v>140.19999999999999</v>
      </c>
      <c r="AI55" s="48">
        <f t="shared" si="3"/>
        <v>47</v>
      </c>
      <c r="AK55" s="74"/>
    </row>
    <row r="56" spans="1:41" x14ac:dyDescent="0.25">
      <c r="A56" s="53" t="s">
        <v>72</v>
      </c>
      <c r="B56" s="45">
        <v>68.3</v>
      </c>
      <c r="C56" s="45">
        <v>68.3</v>
      </c>
      <c r="D56" s="45">
        <v>68.3</v>
      </c>
      <c r="E56" s="45">
        <v>68.3</v>
      </c>
      <c r="F56" s="45">
        <v>70</v>
      </c>
      <c r="G56" s="64"/>
      <c r="H56" s="64"/>
      <c r="I56" s="64">
        <v>70</v>
      </c>
      <c r="J56" s="64">
        <v>70</v>
      </c>
      <c r="K56" s="64">
        <v>70</v>
      </c>
      <c r="L56" s="64">
        <v>70</v>
      </c>
      <c r="M56" s="64">
        <v>70</v>
      </c>
      <c r="N56" s="64">
        <v>70</v>
      </c>
      <c r="O56" s="64">
        <v>70</v>
      </c>
      <c r="P56" s="64">
        <v>70</v>
      </c>
      <c r="Q56" s="64">
        <v>70</v>
      </c>
      <c r="R56" s="64">
        <v>70</v>
      </c>
      <c r="S56" s="64">
        <v>71.099999999999994</v>
      </c>
      <c r="T56" s="45">
        <v>70.400000000000006</v>
      </c>
      <c r="U56" s="45">
        <v>70.400000000000006</v>
      </c>
      <c r="V56" s="45">
        <v>70.400000000000006</v>
      </c>
      <c r="W56" s="45">
        <v>70.400000000000006</v>
      </c>
      <c r="X56" s="45">
        <v>70.400000000000006</v>
      </c>
      <c r="Y56" s="45">
        <v>70.8</v>
      </c>
      <c r="Z56" s="45">
        <v>70.8</v>
      </c>
      <c r="AA56" s="45">
        <v>70</v>
      </c>
      <c r="AB56" s="45">
        <v>70</v>
      </c>
      <c r="AC56" s="45">
        <v>70</v>
      </c>
      <c r="AD56" s="45">
        <v>70</v>
      </c>
      <c r="AE56" s="45">
        <v>70</v>
      </c>
      <c r="AF56" s="45">
        <v>70</v>
      </c>
      <c r="AG56" s="54">
        <v>70</v>
      </c>
      <c r="AH56" s="47">
        <f t="shared" si="2"/>
        <v>71.099999999999994</v>
      </c>
      <c r="AI56" s="48">
        <f t="shared" si="3"/>
        <v>68.3</v>
      </c>
      <c r="AK56" s="74"/>
    </row>
    <row r="57" spans="1:41" x14ac:dyDescent="0.25">
      <c r="A57" s="53" t="s">
        <v>73</v>
      </c>
      <c r="B57" s="45">
        <v>65.5</v>
      </c>
      <c r="C57" s="45">
        <v>65.5</v>
      </c>
      <c r="D57" s="45">
        <v>65.5</v>
      </c>
      <c r="E57" s="45">
        <v>65.5</v>
      </c>
      <c r="F57" s="45">
        <v>64.400000000000006</v>
      </c>
      <c r="G57" s="64"/>
      <c r="H57" s="64"/>
      <c r="I57" s="64">
        <v>64.400000000000006</v>
      </c>
      <c r="J57" s="64">
        <v>64.400000000000006</v>
      </c>
      <c r="K57" s="64">
        <v>64.400000000000006</v>
      </c>
      <c r="L57" s="64">
        <v>64.400000000000006</v>
      </c>
      <c r="M57" s="64">
        <v>64.400000000000006</v>
      </c>
      <c r="N57" s="64">
        <v>64.400000000000006</v>
      </c>
      <c r="O57" s="64">
        <v>64.400000000000006</v>
      </c>
      <c r="P57" s="64">
        <v>64.400000000000006</v>
      </c>
      <c r="Q57" s="64">
        <v>64.400000000000006</v>
      </c>
      <c r="R57" s="64">
        <v>64.400000000000006</v>
      </c>
      <c r="S57" s="64">
        <v>65.400000000000006</v>
      </c>
      <c r="T57" s="45">
        <v>65.5</v>
      </c>
      <c r="U57" s="45">
        <v>65.5</v>
      </c>
      <c r="V57" s="45">
        <v>65.5</v>
      </c>
      <c r="W57" s="45">
        <v>65.5</v>
      </c>
      <c r="X57" s="45">
        <v>65.5</v>
      </c>
      <c r="Y57" s="45">
        <v>65.900000000000006</v>
      </c>
      <c r="Z57" s="45">
        <v>65.900000000000006</v>
      </c>
      <c r="AA57" s="45">
        <v>65.2</v>
      </c>
      <c r="AB57" s="45">
        <v>65.2</v>
      </c>
      <c r="AC57" s="45">
        <v>65.2</v>
      </c>
      <c r="AD57" s="45">
        <v>65.2</v>
      </c>
      <c r="AE57" s="45">
        <v>65.2</v>
      </c>
      <c r="AF57" s="45">
        <v>65.2</v>
      </c>
      <c r="AG57" s="54">
        <v>69</v>
      </c>
      <c r="AH57" s="47">
        <f t="shared" si="2"/>
        <v>65.900000000000006</v>
      </c>
      <c r="AI57" s="48">
        <f t="shared" si="3"/>
        <v>64.400000000000006</v>
      </c>
      <c r="AK57" s="74"/>
    </row>
    <row r="58" spans="1:41" x14ac:dyDescent="0.25">
      <c r="A58" s="53" t="s">
        <v>74</v>
      </c>
      <c r="B58" s="45">
        <v>0</v>
      </c>
      <c r="C58" s="45">
        <v>0</v>
      </c>
      <c r="D58" s="45">
        <v>0</v>
      </c>
      <c r="E58" s="45">
        <v>0</v>
      </c>
      <c r="F58" s="45">
        <v>0</v>
      </c>
      <c r="G58" s="56"/>
      <c r="H58" s="56"/>
      <c r="I58" s="56">
        <v>0</v>
      </c>
      <c r="J58" s="56">
        <v>0</v>
      </c>
      <c r="K58" s="56">
        <v>0</v>
      </c>
      <c r="L58" s="56">
        <v>0</v>
      </c>
      <c r="M58" s="56">
        <v>0</v>
      </c>
      <c r="N58" s="56">
        <v>50.4</v>
      </c>
      <c r="O58" s="56">
        <v>50.4</v>
      </c>
      <c r="P58" s="56">
        <v>50.4</v>
      </c>
      <c r="Q58" s="56">
        <v>50.4</v>
      </c>
      <c r="R58" s="56">
        <v>50.4</v>
      </c>
      <c r="S58" s="56">
        <v>30.2</v>
      </c>
      <c r="T58" s="45">
        <v>30.5</v>
      </c>
      <c r="U58" s="45">
        <v>30.5</v>
      </c>
      <c r="V58" s="45">
        <v>30.5</v>
      </c>
      <c r="W58" s="45">
        <v>30.5</v>
      </c>
      <c r="X58" s="45">
        <v>0</v>
      </c>
      <c r="Y58" s="45">
        <v>0</v>
      </c>
      <c r="Z58" s="45">
        <v>0</v>
      </c>
      <c r="AA58" s="45">
        <v>0</v>
      </c>
      <c r="AB58" s="45">
        <v>0</v>
      </c>
      <c r="AC58" s="45">
        <v>0</v>
      </c>
      <c r="AD58" s="45">
        <v>0</v>
      </c>
      <c r="AE58" s="45">
        <v>0</v>
      </c>
      <c r="AF58" s="45">
        <v>0</v>
      </c>
      <c r="AG58" s="54">
        <v>60</v>
      </c>
      <c r="AH58" s="47">
        <f t="shared" si="2"/>
        <v>50.4</v>
      </c>
      <c r="AI58" s="48">
        <f t="shared" si="3"/>
        <v>0</v>
      </c>
      <c r="AK58" s="74"/>
    </row>
    <row r="59" spans="1:41" x14ac:dyDescent="0.25">
      <c r="A59" s="53" t="s">
        <v>75</v>
      </c>
      <c r="B59" s="64">
        <v>30</v>
      </c>
      <c r="C59" s="64">
        <v>30</v>
      </c>
      <c r="D59" s="64">
        <v>30</v>
      </c>
      <c r="E59" s="64">
        <v>30</v>
      </c>
      <c r="F59" s="64">
        <v>30</v>
      </c>
      <c r="G59" s="56">
        <v>30</v>
      </c>
      <c r="H59" s="56"/>
      <c r="I59" s="56">
        <v>30</v>
      </c>
      <c r="J59" s="56">
        <v>30</v>
      </c>
      <c r="K59" s="56">
        <v>30</v>
      </c>
      <c r="L59" s="56">
        <v>30</v>
      </c>
      <c r="M59" s="56">
        <v>30</v>
      </c>
      <c r="N59" s="56">
        <v>30</v>
      </c>
      <c r="O59" s="56">
        <v>30</v>
      </c>
      <c r="P59" s="56">
        <v>30</v>
      </c>
      <c r="Q59" s="56">
        <v>30</v>
      </c>
      <c r="R59" s="56">
        <v>30</v>
      </c>
      <c r="S59" s="56">
        <v>28</v>
      </c>
      <c r="T59" s="45">
        <v>28</v>
      </c>
      <c r="U59" s="45">
        <v>28</v>
      </c>
      <c r="V59" s="45">
        <v>28</v>
      </c>
      <c r="W59" s="45">
        <v>28</v>
      </c>
      <c r="X59" s="45">
        <v>28</v>
      </c>
      <c r="Y59" s="45">
        <v>28</v>
      </c>
      <c r="Z59" s="45">
        <v>28</v>
      </c>
      <c r="AA59" s="45">
        <v>28</v>
      </c>
      <c r="AB59" s="45">
        <v>28</v>
      </c>
      <c r="AC59" s="45">
        <v>28</v>
      </c>
      <c r="AD59" s="45">
        <v>28</v>
      </c>
      <c r="AE59" s="45">
        <v>14</v>
      </c>
      <c r="AF59" s="45">
        <v>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 t="s">
        <v>298</v>
      </c>
      <c r="H60" s="64"/>
      <c r="I60" s="64">
        <v>0</v>
      </c>
      <c r="J60" s="64">
        <v>0</v>
      </c>
      <c r="K60" s="64">
        <v>0</v>
      </c>
      <c r="L60" s="64">
        <v>0</v>
      </c>
      <c r="M60" s="64">
        <v>6.3</v>
      </c>
      <c r="N60" s="64">
        <v>13.6</v>
      </c>
      <c r="O60" s="64">
        <v>16.899999999999999</v>
      </c>
      <c r="P60" s="64">
        <v>11.9</v>
      </c>
      <c r="Q60" s="64">
        <v>11.9</v>
      </c>
      <c r="R60" s="64">
        <v>11.9</v>
      </c>
      <c r="S60" s="64">
        <v>0.8</v>
      </c>
      <c r="T60" s="45">
        <v>2.2999999999999998</v>
      </c>
      <c r="U60" s="45">
        <v>0</v>
      </c>
      <c r="V60" s="45">
        <v>0</v>
      </c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16.899999999999999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16</v>
      </c>
      <c r="C61" s="64">
        <v>16</v>
      </c>
      <c r="D61" s="64">
        <v>16</v>
      </c>
      <c r="E61" s="64">
        <v>16</v>
      </c>
      <c r="F61" s="64">
        <v>16</v>
      </c>
      <c r="G61" s="64" t="s">
        <v>299</v>
      </c>
      <c r="H61" s="64"/>
      <c r="I61" s="64">
        <v>16</v>
      </c>
      <c r="J61" s="64">
        <v>16</v>
      </c>
      <c r="K61" s="64">
        <v>16</v>
      </c>
      <c r="L61" s="64">
        <v>16</v>
      </c>
      <c r="M61" s="64">
        <v>16</v>
      </c>
      <c r="N61" s="64">
        <v>16</v>
      </c>
      <c r="O61" s="64">
        <v>16</v>
      </c>
      <c r="P61" s="64">
        <v>6</v>
      </c>
      <c r="Q61" s="64">
        <v>6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10</v>
      </c>
      <c r="AB61" s="64">
        <v>10</v>
      </c>
      <c r="AC61" s="64">
        <v>10</v>
      </c>
      <c r="AD61" s="64">
        <v>10</v>
      </c>
      <c r="AE61" s="64">
        <v>10</v>
      </c>
      <c r="AF61" s="64">
        <v>10</v>
      </c>
      <c r="AG61" s="54">
        <v>24</v>
      </c>
      <c r="AH61" s="47">
        <f t="shared" si="2"/>
        <v>16</v>
      </c>
      <c r="AI61" s="48">
        <f t="shared" si="3"/>
        <v>0</v>
      </c>
      <c r="AK61" s="74"/>
    </row>
    <row r="62" spans="1:41" x14ac:dyDescent="0.25">
      <c r="A62" s="53" t="s">
        <v>78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 t="s">
        <v>300</v>
      </c>
      <c r="H62" s="64"/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>
        <v>4</v>
      </c>
      <c r="P62" s="64">
        <v>4</v>
      </c>
      <c r="Q62" s="64">
        <v>4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2"/>
        <v>4</v>
      </c>
      <c r="AI62" s="48">
        <f t="shared" si="3"/>
        <v>4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12.7</v>
      </c>
      <c r="C63" s="64">
        <v>12.7</v>
      </c>
      <c r="D63" s="64">
        <v>12.7</v>
      </c>
      <c r="E63" s="64">
        <v>12.7</v>
      </c>
      <c r="F63" s="64">
        <v>4</v>
      </c>
      <c r="G63" s="64"/>
      <c r="H63" s="64"/>
      <c r="I63" s="64">
        <v>4</v>
      </c>
      <c r="J63" s="64">
        <v>4</v>
      </c>
      <c r="K63" s="64">
        <v>4</v>
      </c>
      <c r="L63" s="64">
        <v>4</v>
      </c>
      <c r="M63" s="64">
        <v>8.1999999999999993</v>
      </c>
      <c r="N63" s="64">
        <v>8.1999999999999993</v>
      </c>
      <c r="O63" s="64">
        <v>8.1999999999999993</v>
      </c>
      <c r="P63" s="64">
        <v>8.1999999999999993</v>
      </c>
      <c r="Q63" s="64">
        <v>8.1999999999999993</v>
      </c>
      <c r="R63" s="64">
        <v>4.5</v>
      </c>
      <c r="S63" s="64">
        <v>4.5</v>
      </c>
      <c r="T63" s="64">
        <v>4.5</v>
      </c>
      <c r="U63" s="64">
        <v>4.5</v>
      </c>
      <c r="V63" s="64">
        <v>4.5</v>
      </c>
      <c r="W63" s="64">
        <v>4.5</v>
      </c>
      <c r="X63" s="64">
        <v>4.5</v>
      </c>
      <c r="Y63" s="64">
        <v>4.5</v>
      </c>
      <c r="Z63" s="64">
        <v>4.5</v>
      </c>
      <c r="AA63" s="64">
        <v>4.5</v>
      </c>
      <c r="AB63" s="64">
        <v>4.5</v>
      </c>
      <c r="AC63" s="64">
        <v>4.5</v>
      </c>
      <c r="AD63" s="64">
        <v>4.5</v>
      </c>
      <c r="AE63" s="64">
        <v>4.5</v>
      </c>
      <c r="AF63" s="64">
        <v>4.5</v>
      </c>
      <c r="AG63" s="54">
        <v>14.1</v>
      </c>
      <c r="AH63" s="47">
        <f t="shared" si="2"/>
        <v>12.7</v>
      </c>
      <c r="AI63" s="48">
        <f t="shared" si="3"/>
        <v>4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14.1</v>
      </c>
      <c r="C64" s="64">
        <v>14.1</v>
      </c>
      <c r="D64" s="64">
        <v>14.1</v>
      </c>
      <c r="E64" s="64">
        <v>10.4</v>
      </c>
      <c r="F64" s="64">
        <v>10.4</v>
      </c>
      <c r="G64" s="64"/>
      <c r="H64" s="64"/>
      <c r="I64" s="64">
        <v>10.4</v>
      </c>
      <c r="J64" s="64">
        <v>10.4</v>
      </c>
      <c r="K64" s="64">
        <v>10.4</v>
      </c>
      <c r="L64" s="64">
        <v>10.4</v>
      </c>
      <c r="M64" s="64">
        <v>10.4</v>
      </c>
      <c r="N64" s="64">
        <v>10.4</v>
      </c>
      <c r="O64" s="64">
        <v>10.4</v>
      </c>
      <c r="P64" s="64">
        <v>10.4</v>
      </c>
      <c r="Q64" s="64">
        <v>10.4</v>
      </c>
      <c r="R64" s="64">
        <v>14.4</v>
      </c>
      <c r="S64" s="64">
        <v>14.4</v>
      </c>
      <c r="T64" s="64">
        <v>14.4</v>
      </c>
      <c r="U64" s="64">
        <v>14.4</v>
      </c>
      <c r="V64" s="64">
        <v>14.4</v>
      </c>
      <c r="W64" s="64">
        <v>14.4</v>
      </c>
      <c r="X64" s="64">
        <v>14.4</v>
      </c>
      <c r="Y64" s="64">
        <v>0</v>
      </c>
      <c r="Z64" s="64">
        <v>0</v>
      </c>
      <c r="AA64" s="64">
        <v>14</v>
      </c>
      <c r="AB64" s="64">
        <v>14</v>
      </c>
      <c r="AC64" s="64">
        <v>14</v>
      </c>
      <c r="AD64" s="64">
        <v>14</v>
      </c>
      <c r="AE64" s="64">
        <v>14</v>
      </c>
      <c r="AF64" s="64">
        <v>14</v>
      </c>
      <c r="AG64" s="54">
        <v>14</v>
      </c>
      <c r="AH64" s="47">
        <f t="shared" si="2"/>
        <v>14.4</v>
      </c>
      <c r="AI64" s="48">
        <f t="shared" si="3"/>
        <v>0</v>
      </c>
      <c r="AK64" s="74"/>
    </row>
    <row r="65" spans="1:40" x14ac:dyDescent="0.25">
      <c r="A65" s="53" t="s">
        <v>81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/>
      <c r="H65" s="64"/>
      <c r="I65" s="64">
        <v>9</v>
      </c>
      <c r="J65" s="64">
        <v>9</v>
      </c>
      <c r="K65" s="64">
        <v>9</v>
      </c>
      <c r="L65" s="64">
        <v>9</v>
      </c>
      <c r="M65" s="64">
        <v>9</v>
      </c>
      <c r="N65" s="64">
        <v>9</v>
      </c>
      <c r="O65" s="64">
        <v>9</v>
      </c>
      <c r="P65" s="64">
        <v>9</v>
      </c>
      <c r="Q65" s="64">
        <v>9</v>
      </c>
      <c r="R65" s="64">
        <v>9</v>
      </c>
      <c r="S65" s="64">
        <v>9</v>
      </c>
      <c r="T65" s="64">
        <v>9</v>
      </c>
      <c r="U65" s="64">
        <v>9</v>
      </c>
      <c r="V65" s="64">
        <v>9</v>
      </c>
      <c r="W65" s="64">
        <v>9</v>
      </c>
      <c r="X65" s="64">
        <v>9</v>
      </c>
      <c r="Y65" s="64">
        <v>9</v>
      </c>
      <c r="Z65" s="64">
        <v>9</v>
      </c>
      <c r="AA65" s="64">
        <v>9</v>
      </c>
      <c r="AB65" s="64">
        <v>9</v>
      </c>
      <c r="AC65" s="64">
        <v>9</v>
      </c>
      <c r="AD65" s="64">
        <v>9</v>
      </c>
      <c r="AE65" s="64">
        <v>9</v>
      </c>
      <c r="AF65" s="64">
        <v>9</v>
      </c>
      <c r="AG65" s="54">
        <v>10.050000000000001</v>
      </c>
      <c r="AH65" s="47">
        <f t="shared" si="2"/>
        <v>9</v>
      </c>
      <c r="AI65" s="48">
        <f t="shared" si="3"/>
        <v>9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/>
      <c r="H66" s="64"/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" si="8">SUM(B55:B67)</f>
        <v>369.34000000000003</v>
      </c>
      <c r="C68" s="59">
        <f t="shared" ref="C68:AG68" si="9">SUM(C55:C67)</f>
        <v>369.34000000000003</v>
      </c>
      <c r="D68" s="59">
        <f t="shared" si="9"/>
        <v>369.34000000000003</v>
      </c>
      <c r="E68" s="59">
        <f t="shared" si="9"/>
        <v>365.64</v>
      </c>
      <c r="F68" s="59">
        <f t="shared" si="9"/>
        <v>357.53999999999996</v>
      </c>
      <c r="G68" s="59">
        <f t="shared" si="9"/>
        <v>33.54</v>
      </c>
      <c r="H68" s="59">
        <f t="shared" si="9"/>
        <v>3.54</v>
      </c>
      <c r="I68" s="59">
        <f t="shared" si="9"/>
        <v>264.54000000000002</v>
      </c>
      <c r="J68" s="59">
        <f t="shared" si="9"/>
        <v>355.34000000000003</v>
      </c>
      <c r="K68" s="59">
        <f t="shared" si="9"/>
        <v>355.34000000000003</v>
      </c>
      <c r="L68" s="59">
        <f t="shared" si="9"/>
        <v>355.34000000000003</v>
      </c>
      <c r="M68" s="59">
        <f t="shared" si="9"/>
        <v>365.84000000000003</v>
      </c>
      <c r="N68" s="59">
        <f t="shared" si="9"/>
        <v>423.54</v>
      </c>
      <c r="O68" s="59">
        <f t="shared" si="9"/>
        <v>426.84</v>
      </c>
      <c r="P68" s="59">
        <f t="shared" si="9"/>
        <v>411.84</v>
      </c>
      <c r="Q68" s="59">
        <f t="shared" si="9"/>
        <v>411.84</v>
      </c>
      <c r="R68" s="59">
        <f t="shared" si="9"/>
        <v>406.14</v>
      </c>
      <c r="S68" s="59">
        <f t="shared" si="9"/>
        <v>374.94</v>
      </c>
      <c r="T68" s="59">
        <f t="shared" si="9"/>
        <v>378.54</v>
      </c>
      <c r="U68" s="59">
        <f t="shared" si="9"/>
        <v>376.24</v>
      </c>
      <c r="V68" s="59">
        <f t="shared" si="9"/>
        <v>376.24</v>
      </c>
      <c r="W68" s="59">
        <f t="shared" si="9"/>
        <v>376.24</v>
      </c>
      <c r="X68" s="59">
        <f t="shared" si="9"/>
        <v>310.03999999999996</v>
      </c>
      <c r="Y68" s="59">
        <f t="shared" si="9"/>
        <v>282.94000000000005</v>
      </c>
      <c r="Z68" s="59">
        <f t="shared" si="9"/>
        <v>282.94000000000005</v>
      </c>
      <c r="AA68" s="59">
        <f t="shared" si="9"/>
        <v>354.64</v>
      </c>
      <c r="AB68" s="59">
        <f t="shared" si="9"/>
        <v>354.04</v>
      </c>
      <c r="AC68" s="59">
        <f t="shared" si="9"/>
        <v>354.04</v>
      </c>
      <c r="AD68" s="59">
        <f t="shared" si="9"/>
        <v>354.04</v>
      </c>
      <c r="AE68" s="59">
        <f t="shared" si="9"/>
        <v>340.04</v>
      </c>
      <c r="AF68" s="59">
        <f t="shared" si="9"/>
        <v>326.04000000000002</v>
      </c>
      <c r="AG68" s="60">
        <f t="shared" si="9"/>
        <v>489.91</v>
      </c>
      <c r="AH68" s="47">
        <f t="shared" si="2"/>
        <v>426.84</v>
      </c>
      <c r="AI68" s="48">
        <f t="shared" si="3"/>
        <v>3.54</v>
      </c>
      <c r="AK68" s="74"/>
    </row>
    <row r="69" spans="1:40" x14ac:dyDescent="0.25">
      <c r="A69" s="44" t="s">
        <v>85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/>
      <c r="H69" s="45"/>
      <c r="I69" s="45">
        <v>40</v>
      </c>
      <c r="J69" s="45">
        <v>20</v>
      </c>
      <c r="K69" s="45">
        <v>10</v>
      </c>
      <c r="L69" s="45">
        <v>14</v>
      </c>
      <c r="M69" s="45">
        <v>14</v>
      </c>
      <c r="N69" s="45">
        <v>20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14</v>
      </c>
      <c r="U69" s="45">
        <v>20</v>
      </c>
      <c r="V69" s="45">
        <v>20</v>
      </c>
      <c r="W69" s="45">
        <v>20</v>
      </c>
      <c r="X69" s="45">
        <v>20</v>
      </c>
      <c r="Y69" s="45">
        <v>20</v>
      </c>
      <c r="Z69" s="45">
        <v>20</v>
      </c>
      <c r="AA69" s="45">
        <v>30</v>
      </c>
      <c r="AB69" s="45">
        <v>14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40</v>
      </c>
      <c r="AI69" s="48">
        <f t="shared" si="3"/>
        <v>0</v>
      </c>
      <c r="AK69" s="74"/>
    </row>
    <row r="70" spans="1:40" x14ac:dyDescent="0.25">
      <c r="A70" s="53" t="s">
        <v>86</v>
      </c>
      <c r="B70" s="64">
        <v>0</v>
      </c>
      <c r="C70" s="64">
        <v>5.2</v>
      </c>
      <c r="D70" s="64">
        <v>0</v>
      </c>
      <c r="E70" s="64">
        <v>0</v>
      </c>
      <c r="F70" s="64">
        <v>0</v>
      </c>
      <c r="G70" s="64"/>
      <c r="H70" s="64"/>
      <c r="I70" s="64">
        <v>20</v>
      </c>
      <c r="J70" s="64">
        <v>10</v>
      </c>
      <c r="K70" s="64">
        <v>5</v>
      </c>
      <c r="L70" s="64">
        <v>0</v>
      </c>
      <c r="M70" s="64">
        <v>7</v>
      </c>
      <c r="N70" s="64">
        <v>7.9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6</v>
      </c>
      <c r="U70" s="64">
        <v>10</v>
      </c>
      <c r="V70" s="64">
        <v>11</v>
      </c>
      <c r="W70" s="64">
        <v>11</v>
      </c>
      <c r="X70" s="64">
        <v>11</v>
      </c>
      <c r="Y70" s="64">
        <v>11</v>
      </c>
      <c r="Z70" s="64">
        <v>11</v>
      </c>
      <c r="AA70" s="64">
        <v>13.7</v>
      </c>
      <c r="AB70" s="64">
        <v>7.2</v>
      </c>
      <c r="AC70" s="64">
        <v>0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20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66">
        <v>0</v>
      </c>
      <c r="C71" s="66">
        <v>2.9</v>
      </c>
      <c r="D71" s="66">
        <v>0</v>
      </c>
      <c r="E71" s="66">
        <v>0</v>
      </c>
      <c r="F71" s="66">
        <v>0</v>
      </c>
      <c r="G71" s="66"/>
      <c r="H71" s="66"/>
      <c r="I71" s="66">
        <v>6.2</v>
      </c>
      <c r="J71" s="66">
        <v>6</v>
      </c>
      <c r="K71" s="66">
        <v>2.2999999999999998</v>
      </c>
      <c r="L71" s="66">
        <v>0</v>
      </c>
      <c r="M71" s="66">
        <v>2.6</v>
      </c>
      <c r="N71" s="66">
        <v>2.9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2.2999999999999998</v>
      </c>
      <c r="U71" s="66">
        <v>5</v>
      </c>
      <c r="V71" s="66">
        <v>4</v>
      </c>
      <c r="W71" s="66">
        <v>4</v>
      </c>
      <c r="X71" s="66">
        <v>4</v>
      </c>
      <c r="Y71" s="66">
        <v>4</v>
      </c>
      <c r="Z71" s="66">
        <v>4</v>
      </c>
      <c r="AA71" s="66">
        <v>5</v>
      </c>
      <c r="AB71" s="66">
        <v>3.2</v>
      </c>
      <c r="AC71" s="66">
        <v>0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6.2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 t="shared" ref="B72:K72" si="10">B69+B70+B71</f>
        <v>0</v>
      </c>
      <c r="C72" s="59">
        <f t="shared" si="10"/>
        <v>8.1</v>
      </c>
      <c r="D72" s="59">
        <f t="shared" si="10"/>
        <v>0</v>
      </c>
      <c r="E72" s="59">
        <f t="shared" si="10"/>
        <v>0</v>
      </c>
      <c r="F72" s="59">
        <f t="shared" si="10"/>
        <v>0</v>
      </c>
      <c r="G72" s="59">
        <f t="shared" si="10"/>
        <v>0</v>
      </c>
      <c r="H72" s="59">
        <f t="shared" si="10"/>
        <v>0</v>
      </c>
      <c r="I72" s="59">
        <f t="shared" si="10"/>
        <v>66.2</v>
      </c>
      <c r="J72" s="59">
        <f t="shared" si="10"/>
        <v>36</v>
      </c>
      <c r="K72" s="59">
        <f t="shared" si="10"/>
        <v>17.3</v>
      </c>
      <c r="L72" s="59">
        <f>L69+L70+L71</f>
        <v>14</v>
      </c>
      <c r="M72" s="59">
        <f t="shared" ref="M72:AF72" si="11">M69+M70+M71</f>
        <v>23.6</v>
      </c>
      <c r="N72" s="59">
        <f t="shared" si="11"/>
        <v>30.799999999999997</v>
      </c>
      <c r="O72" s="59">
        <f t="shared" si="11"/>
        <v>0</v>
      </c>
      <c r="P72" s="59">
        <f t="shared" si="11"/>
        <v>0</v>
      </c>
      <c r="Q72" s="59">
        <f t="shared" si="11"/>
        <v>0</v>
      </c>
      <c r="R72" s="59">
        <f t="shared" si="11"/>
        <v>0</v>
      </c>
      <c r="S72" s="59">
        <f t="shared" si="11"/>
        <v>0</v>
      </c>
      <c r="T72" s="59">
        <f t="shared" si="11"/>
        <v>22.3</v>
      </c>
      <c r="U72" s="59">
        <f t="shared" si="11"/>
        <v>35</v>
      </c>
      <c r="V72" s="59">
        <f t="shared" si="11"/>
        <v>35</v>
      </c>
      <c r="W72" s="59">
        <f t="shared" si="11"/>
        <v>35</v>
      </c>
      <c r="X72" s="59">
        <f t="shared" si="11"/>
        <v>35</v>
      </c>
      <c r="Y72" s="59">
        <f t="shared" si="11"/>
        <v>35</v>
      </c>
      <c r="Z72" s="59">
        <f t="shared" si="11"/>
        <v>35</v>
      </c>
      <c r="AA72" s="59">
        <f t="shared" si="11"/>
        <v>48.7</v>
      </c>
      <c r="AB72" s="59">
        <f t="shared" si="11"/>
        <v>24.4</v>
      </c>
      <c r="AC72" s="59">
        <f t="shared" si="11"/>
        <v>0</v>
      </c>
      <c r="AD72" s="59">
        <f t="shared" si="11"/>
        <v>0</v>
      </c>
      <c r="AE72" s="59">
        <f t="shared" si="11"/>
        <v>0</v>
      </c>
      <c r="AF72" s="59">
        <f t="shared" si="11"/>
        <v>0</v>
      </c>
      <c r="AG72" s="60">
        <f>SUM(AG69:AG71)</f>
        <v>106</v>
      </c>
      <c r="AH72" s="47">
        <f t="shared" si="2"/>
        <v>66.2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15</v>
      </c>
      <c r="C73" s="45"/>
      <c r="D73" s="45"/>
      <c r="E73" s="45"/>
      <c r="F73" s="45">
        <v>5.9</v>
      </c>
      <c r="G73" s="45">
        <v>12</v>
      </c>
      <c r="H73" s="45">
        <v>15</v>
      </c>
      <c r="I73" s="45">
        <v>12</v>
      </c>
      <c r="J73" s="45">
        <v>12.6</v>
      </c>
      <c r="K73" s="45">
        <v>12.66</v>
      </c>
      <c r="L73" s="45">
        <v>11.7</v>
      </c>
      <c r="M73" s="45">
        <v>17.100000000000001</v>
      </c>
      <c r="N73" s="45">
        <v>25.8</v>
      </c>
      <c r="O73" s="45">
        <v>24.8</v>
      </c>
      <c r="P73" s="45">
        <v>1.1000000000000001</v>
      </c>
      <c r="Q73" s="45">
        <v>-5</v>
      </c>
      <c r="R73" s="45">
        <v>-9</v>
      </c>
      <c r="S73" s="45">
        <v>1</v>
      </c>
      <c r="T73" s="45">
        <v>25</v>
      </c>
      <c r="U73" s="45">
        <v>2</v>
      </c>
      <c r="V73" s="45">
        <v>2</v>
      </c>
      <c r="W73" s="45">
        <v>-12</v>
      </c>
      <c r="X73" s="45">
        <v>-2.7</v>
      </c>
      <c r="Y73" s="45">
        <v>33.74</v>
      </c>
      <c r="Z73" s="45">
        <v>33.74</v>
      </c>
      <c r="AA73" s="45">
        <v>36.1</v>
      </c>
      <c r="AB73" s="45">
        <v>46.2</v>
      </c>
      <c r="AC73" s="45">
        <v>49</v>
      </c>
      <c r="AD73" s="45">
        <v>20</v>
      </c>
      <c r="AE73" s="45">
        <v>20</v>
      </c>
      <c r="AF73" s="45">
        <v>30</v>
      </c>
      <c r="AG73" s="51"/>
      <c r="AH73" s="47">
        <f t="shared" si="2"/>
        <v>49</v>
      </c>
      <c r="AI73" s="48">
        <f t="shared" si="3"/>
        <v>-12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-329</v>
      </c>
      <c r="C75" s="64">
        <v>-466</v>
      </c>
      <c r="D75" s="64">
        <v>-471</v>
      </c>
      <c r="E75" s="64">
        <v>-501</v>
      </c>
      <c r="F75" s="64">
        <v>-503</v>
      </c>
      <c r="G75" s="64">
        <v>-600</v>
      </c>
      <c r="H75" s="64">
        <v>-500</v>
      </c>
      <c r="I75" s="64">
        <v>-588</v>
      </c>
      <c r="J75" s="64">
        <v>-522</v>
      </c>
      <c r="K75" s="64">
        <v>-526</v>
      </c>
      <c r="L75" s="64">
        <v>-511</v>
      </c>
      <c r="M75" s="64">
        <v>-465</v>
      </c>
      <c r="N75" s="64">
        <v>-406</v>
      </c>
      <c r="O75" s="64">
        <v>-512</v>
      </c>
      <c r="P75" s="64">
        <v>-472</v>
      </c>
      <c r="Q75" s="64">
        <v>-472</v>
      </c>
      <c r="R75" s="64">
        <v>-459</v>
      </c>
      <c r="S75" s="64">
        <v>-411</v>
      </c>
      <c r="T75" s="64">
        <v>-415</v>
      </c>
      <c r="U75" s="64">
        <v>-430</v>
      </c>
      <c r="V75" s="64">
        <v>-437</v>
      </c>
      <c r="W75" s="64">
        <v>-422</v>
      </c>
      <c r="X75" s="64">
        <v>-377.4</v>
      </c>
      <c r="Y75" s="64">
        <v>-443.1</v>
      </c>
      <c r="Z75" s="64">
        <v>-443.1</v>
      </c>
      <c r="AA75" s="64">
        <v>-331.4</v>
      </c>
      <c r="AB75" s="64">
        <v>-378</v>
      </c>
      <c r="AC75" s="64">
        <v>-360</v>
      </c>
      <c r="AD75" s="64">
        <v>-350</v>
      </c>
      <c r="AE75" s="64">
        <v>-340</v>
      </c>
      <c r="AF75" s="64">
        <v>-346</v>
      </c>
      <c r="AG75" s="75"/>
      <c r="AH75" s="47">
        <f t="shared" si="2"/>
        <v>-329</v>
      </c>
      <c r="AI75" s="48">
        <f t="shared" si="3"/>
        <v>-600</v>
      </c>
      <c r="AK75" s="74"/>
    </row>
    <row r="76" spans="1:40" x14ac:dyDescent="0.25">
      <c r="A76" s="53" t="s">
        <v>92</v>
      </c>
      <c r="B76" s="76">
        <v>0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75"/>
      <c r="AH76" s="47">
        <f t="shared" si="2"/>
        <v>0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12">MAX(B77:AF77)</f>
        <v>0</v>
      </c>
      <c r="AI77" s="48">
        <f t="shared" ref="AI77:AI120" si="13">MIN(B77:AF77)</f>
        <v>0</v>
      </c>
      <c r="AK77" s="74"/>
    </row>
    <row r="78" spans="1:40" x14ac:dyDescent="0.25">
      <c r="A78" s="53" t="s">
        <v>94</v>
      </c>
      <c r="B78" s="77">
        <v>5</v>
      </c>
      <c r="C78" s="77">
        <v>5</v>
      </c>
      <c r="D78" s="77">
        <v>5</v>
      </c>
      <c r="E78" s="77">
        <v>5</v>
      </c>
      <c r="F78" s="77">
        <v>5</v>
      </c>
      <c r="G78" s="77">
        <v>5</v>
      </c>
      <c r="H78" s="77">
        <v>5</v>
      </c>
      <c r="I78" s="77">
        <v>5</v>
      </c>
      <c r="J78" s="77">
        <v>5</v>
      </c>
      <c r="K78" s="77">
        <v>5</v>
      </c>
      <c r="L78" s="77">
        <v>5</v>
      </c>
      <c r="M78" s="77">
        <v>5</v>
      </c>
      <c r="N78" s="77">
        <v>5</v>
      </c>
      <c r="O78" s="77">
        <v>5</v>
      </c>
      <c r="P78" s="77">
        <v>5</v>
      </c>
      <c r="Q78" s="77">
        <v>5</v>
      </c>
      <c r="R78" s="77">
        <v>5</v>
      </c>
      <c r="S78" s="77">
        <v>5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12"/>
        <v>5</v>
      </c>
      <c r="AI78" s="48">
        <f t="shared" si="13"/>
        <v>0</v>
      </c>
      <c r="AK78" s="74"/>
    </row>
    <row r="79" spans="1:40" ht="15.75" thickBot="1" x14ac:dyDescent="0.3">
      <c r="A79" s="53" t="s">
        <v>95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12"/>
        <v>0</v>
      </c>
      <c r="AI79" s="48">
        <f t="shared" si="13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12"/>
        <v>0</v>
      </c>
      <c r="AI80" s="48">
        <f t="shared" si="13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12"/>
        <v>0</v>
      </c>
      <c r="AI81" s="48">
        <f t="shared" si="13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77">
        <v>0</v>
      </c>
      <c r="C82" s="77">
        <v>0</v>
      </c>
      <c r="D82" s="77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12"/>
        <v>0</v>
      </c>
      <c r="AI82" s="48">
        <f t="shared" si="13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77">
        <v>0</v>
      </c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12"/>
        <v>0</v>
      </c>
      <c r="AI83" s="48">
        <f t="shared" si="13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" si="14">SUMIF(B73:B83,"&gt;0")</f>
        <v>20</v>
      </c>
      <c r="C84" s="59">
        <f t="shared" ref="C84:AF84" si="15">SUMIF(C73:C83,"&gt;0")</f>
        <v>5</v>
      </c>
      <c r="D84" s="59">
        <f t="shared" si="15"/>
        <v>5</v>
      </c>
      <c r="E84" s="59">
        <f t="shared" si="15"/>
        <v>5</v>
      </c>
      <c r="F84" s="59">
        <f t="shared" si="15"/>
        <v>10.9</v>
      </c>
      <c r="G84" s="59">
        <f t="shared" si="15"/>
        <v>17</v>
      </c>
      <c r="H84" s="59">
        <f t="shared" si="15"/>
        <v>20</v>
      </c>
      <c r="I84" s="59">
        <f t="shared" si="15"/>
        <v>17</v>
      </c>
      <c r="J84" s="59">
        <f t="shared" si="15"/>
        <v>17.600000000000001</v>
      </c>
      <c r="K84" s="59">
        <f t="shared" si="15"/>
        <v>17.66</v>
      </c>
      <c r="L84" s="59">
        <f t="shared" si="15"/>
        <v>16.7</v>
      </c>
      <c r="M84" s="59">
        <f t="shared" si="15"/>
        <v>22.1</v>
      </c>
      <c r="N84" s="59">
        <f t="shared" si="15"/>
        <v>30.8</v>
      </c>
      <c r="O84" s="59">
        <f t="shared" si="15"/>
        <v>29.8</v>
      </c>
      <c r="P84" s="59">
        <f t="shared" si="15"/>
        <v>6.1</v>
      </c>
      <c r="Q84" s="59">
        <f t="shared" si="15"/>
        <v>5</v>
      </c>
      <c r="R84" s="59">
        <f t="shared" si="15"/>
        <v>5</v>
      </c>
      <c r="S84" s="59">
        <f t="shared" si="15"/>
        <v>6</v>
      </c>
      <c r="T84" s="59">
        <f t="shared" si="15"/>
        <v>25</v>
      </c>
      <c r="U84" s="59">
        <f t="shared" si="15"/>
        <v>2</v>
      </c>
      <c r="V84" s="59">
        <f t="shared" si="15"/>
        <v>2</v>
      </c>
      <c r="W84" s="59">
        <f t="shared" si="15"/>
        <v>0</v>
      </c>
      <c r="X84" s="59">
        <f t="shared" si="15"/>
        <v>0</v>
      </c>
      <c r="Y84" s="59">
        <f t="shared" si="15"/>
        <v>33.74</v>
      </c>
      <c r="Z84" s="59">
        <f t="shared" si="15"/>
        <v>33.74</v>
      </c>
      <c r="AA84" s="59">
        <f t="shared" si="15"/>
        <v>36.1</v>
      </c>
      <c r="AB84" s="59">
        <f t="shared" si="15"/>
        <v>46.2</v>
      </c>
      <c r="AC84" s="59">
        <f t="shared" si="15"/>
        <v>49</v>
      </c>
      <c r="AD84" s="59">
        <f t="shared" si="15"/>
        <v>20</v>
      </c>
      <c r="AE84" s="59">
        <f t="shared" si="15"/>
        <v>20</v>
      </c>
      <c r="AF84" s="59">
        <f t="shared" si="15"/>
        <v>30</v>
      </c>
      <c r="AG84" s="88">
        <f>SUM(AG73:AG83)</f>
        <v>0</v>
      </c>
      <c r="AH84" s="47">
        <f t="shared" si="12"/>
        <v>49</v>
      </c>
      <c r="AI84" s="48">
        <f t="shared" si="13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2"/>
        <v>0</v>
      </c>
      <c r="AI85" s="48">
        <f t="shared" si="13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2"/>
        <v>0</v>
      </c>
      <c r="AI86" s="48">
        <f t="shared" si="13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2"/>
        <v>0</v>
      </c>
      <c r="AI87" s="48">
        <f t="shared" si="13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12"/>
        <v>0</v>
      </c>
      <c r="AI88" s="48">
        <f t="shared" si="13"/>
        <v>0</v>
      </c>
    </row>
    <row r="89" spans="1:40" ht="15.75" thickBot="1" x14ac:dyDescent="0.3">
      <c r="A89" s="73" t="s">
        <v>108</v>
      </c>
      <c r="B89" s="95">
        <f t="shared" ref="B89" si="16">B50+B54+B72+B68+B84+B88</f>
        <v>1997.7400000000002</v>
      </c>
      <c r="C89" s="95">
        <f t="shared" ref="C89:AG89" si="17">C50+C54+C72+C68+C84+C88</f>
        <v>1971.8400000000001</v>
      </c>
      <c r="D89" s="95">
        <f t="shared" si="17"/>
        <v>1938.7400000000002</v>
      </c>
      <c r="E89" s="95">
        <f t="shared" si="17"/>
        <v>1901.04</v>
      </c>
      <c r="F89" s="95">
        <f t="shared" si="17"/>
        <v>1842.54</v>
      </c>
      <c r="G89" s="95">
        <f t="shared" si="17"/>
        <v>1166.3399999999999</v>
      </c>
      <c r="H89" s="95">
        <f t="shared" si="17"/>
        <v>912.14</v>
      </c>
      <c r="I89" s="59"/>
      <c r="J89" s="95">
        <f t="shared" si="17"/>
        <v>1885.1399999999999</v>
      </c>
      <c r="K89" s="95">
        <f t="shared" si="17"/>
        <v>1866.5000000000002</v>
      </c>
      <c r="L89" s="95">
        <f t="shared" si="17"/>
        <v>1862.24</v>
      </c>
      <c r="M89" s="95">
        <f t="shared" si="17"/>
        <v>1956.8400000000001</v>
      </c>
      <c r="N89" s="95">
        <f t="shared" si="17"/>
        <v>2017.84</v>
      </c>
      <c r="O89" s="95">
        <f t="shared" si="17"/>
        <v>1989.34</v>
      </c>
      <c r="P89" s="95">
        <f t="shared" si="17"/>
        <v>1965.04</v>
      </c>
      <c r="Q89" s="95">
        <f t="shared" si="17"/>
        <v>1963.94</v>
      </c>
      <c r="R89" s="95">
        <f t="shared" si="17"/>
        <v>1943.3400000000001</v>
      </c>
      <c r="S89" s="95">
        <f t="shared" si="17"/>
        <v>1913.14</v>
      </c>
      <c r="T89" s="95">
        <f t="shared" si="17"/>
        <v>2025.54</v>
      </c>
      <c r="U89" s="95">
        <f t="shared" si="17"/>
        <v>2021.0400000000002</v>
      </c>
      <c r="V89" s="95">
        <f t="shared" si="17"/>
        <v>2021.0400000000002</v>
      </c>
      <c r="W89" s="95">
        <f t="shared" si="17"/>
        <v>1928.44</v>
      </c>
      <c r="X89" s="95">
        <f t="shared" si="17"/>
        <v>1862.24</v>
      </c>
      <c r="Y89" s="95">
        <f t="shared" si="17"/>
        <v>1839.38</v>
      </c>
      <c r="Z89" s="95">
        <f t="shared" si="17"/>
        <v>1839.38</v>
      </c>
      <c r="AA89" s="95">
        <f t="shared" si="17"/>
        <v>1952.6399999999999</v>
      </c>
      <c r="AB89" s="95">
        <f t="shared" si="17"/>
        <v>1960.3400000000001</v>
      </c>
      <c r="AC89" s="95">
        <f t="shared" si="17"/>
        <v>1961.3400000000001</v>
      </c>
      <c r="AD89" s="95">
        <f t="shared" si="17"/>
        <v>1932.3400000000001</v>
      </c>
      <c r="AE89" s="95">
        <f t="shared" si="17"/>
        <v>1893.3400000000001</v>
      </c>
      <c r="AF89" s="95">
        <f t="shared" si="17"/>
        <v>1889.24</v>
      </c>
      <c r="AG89" s="60">
        <f t="shared" si="17"/>
        <v>2111.5500000000002</v>
      </c>
      <c r="AH89" s="47">
        <f t="shared" si="12"/>
        <v>2025.54</v>
      </c>
      <c r="AI89" s="48">
        <f t="shared" si="13"/>
        <v>912.14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12"/>
        <v>0</v>
      </c>
      <c r="AI90" s="48">
        <f t="shared" si="13"/>
        <v>0</v>
      </c>
    </row>
    <row r="91" spans="1:40" ht="15.75" thickBot="1" x14ac:dyDescent="0.3">
      <c r="A91" s="73" t="s">
        <v>110</v>
      </c>
      <c r="B91" s="95">
        <f t="shared" ref="B91" si="18">B89+B90</f>
        <v>1997.7400000000002</v>
      </c>
      <c r="C91" s="95">
        <f t="shared" ref="C91:AF91" si="19">C89+C90</f>
        <v>1971.8400000000001</v>
      </c>
      <c r="D91" s="95">
        <f t="shared" si="19"/>
        <v>1938.7400000000002</v>
      </c>
      <c r="E91" s="95">
        <f t="shared" si="19"/>
        <v>1901.04</v>
      </c>
      <c r="F91" s="95">
        <f t="shared" si="19"/>
        <v>1842.54</v>
      </c>
      <c r="G91" s="95">
        <f t="shared" si="19"/>
        <v>1166.3399999999999</v>
      </c>
      <c r="H91" s="95">
        <f t="shared" si="19"/>
        <v>912.14</v>
      </c>
      <c r="I91" s="95" t="e">
        <f>#REF!+I90</f>
        <v>#REF!</v>
      </c>
      <c r="J91" s="95">
        <f t="shared" si="19"/>
        <v>1885.1399999999999</v>
      </c>
      <c r="K91" s="95">
        <f t="shared" si="19"/>
        <v>1866.5000000000002</v>
      </c>
      <c r="L91" s="95">
        <f t="shared" si="19"/>
        <v>1862.24</v>
      </c>
      <c r="M91" s="95">
        <f t="shared" si="19"/>
        <v>1956.8400000000001</v>
      </c>
      <c r="N91" s="95">
        <f t="shared" si="19"/>
        <v>2017.84</v>
      </c>
      <c r="O91" s="95">
        <f t="shared" si="19"/>
        <v>1989.34</v>
      </c>
      <c r="P91" s="95">
        <f t="shared" si="19"/>
        <v>1965.04</v>
      </c>
      <c r="Q91" s="95">
        <f t="shared" si="19"/>
        <v>1963.94</v>
      </c>
      <c r="R91" s="95">
        <f t="shared" si="19"/>
        <v>1943.3400000000001</v>
      </c>
      <c r="S91" s="95">
        <f t="shared" si="19"/>
        <v>1913.14</v>
      </c>
      <c r="T91" s="95">
        <f t="shared" si="19"/>
        <v>2025.54</v>
      </c>
      <c r="U91" s="95">
        <f t="shared" si="19"/>
        <v>2021.0400000000002</v>
      </c>
      <c r="V91" s="95">
        <f t="shared" si="19"/>
        <v>2021.0400000000002</v>
      </c>
      <c r="W91" s="95">
        <f t="shared" si="19"/>
        <v>1928.44</v>
      </c>
      <c r="X91" s="95">
        <f t="shared" si="19"/>
        <v>1862.24</v>
      </c>
      <c r="Y91" s="95">
        <f t="shared" si="19"/>
        <v>1839.38</v>
      </c>
      <c r="Z91" s="95">
        <f t="shared" si="19"/>
        <v>1839.38</v>
      </c>
      <c r="AA91" s="95">
        <f t="shared" si="19"/>
        <v>1952.6399999999999</v>
      </c>
      <c r="AB91" s="95">
        <f t="shared" si="19"/>
        <v>1960.3400000000001</v>
      </c>
      <c r="AC91" s="95">
        <f t="shared" si="19"/>
        <v>1961.3400000000001</v>
      </c>
      <c r="AD91" s="95">
        <f t="shared" si="19"/>
        <v>1932.3400000000001</v>
      </c>
      <c r="AE91" s="95">
        <f t="shared" si="19"/>
        <v>1893.3400000000001</v>
      </c>
      <c r="AF91" s="95">
        <f t="shared" si="19"/>
        <v>1889.24</v>
      </c>
      <c r="AG91" s="88">
        <f>AG88+AG84+AG72+AG68+AG50+AG90</f>
        <v>1573.45</v>
      </c>
      <c r="AH91" s="47" t="e">
        <f t="shared" si="12"/>
        <v>#REF!</v>
      </c>
      <c r="AI91" s="48" t="e">
        <f t="shared" si="13"/>
        <v>#REF!</v>
      </c>
    </row>
    <row r="92" spans="1:40" ht="15.75" thickBot="1" x14ac:dyDescent="0.3">
      <c r="A92" s="73" t="s">
        <v>111</v>
      </c>
      <c r="B92" s="95">
        <f t="shared" ref="B92" si="20">B91-B99</f>
        <v>1997.7400000000002</v>
      </c>
      <c r="C92" s="95">
        <f t="shared" ref="C92:AF92" si="21">C91-C99</f>
        <v>1971.8400000000001</v>
      </c>
      <c r="D92" s="95">
        <f t="shared" si="21"/>
        <v>1938.7400000000002</v>
      </c>
      <c r="E92" s="95">
        <f t="shared" si="21"/>
        <v>1901.04</v>
      </c>
      <c r="F92" s="95">
        <f t="shared" si="21"/>
        <v>1842.54</v>
      </c>
      <c r="G92" s="95">
        <f t="shared" si="21"/>
        <v>1166.3399999999999</v>
      </c>
      <c r="H92" s="95">
        <f t="shared" si="21"/>
        <v>912.14</v>
      </c>
      <c r="I92" s="95" t="e">
        <f t="shared" si="21"/>
        <v>#REF!</v>
      </c>
      <c r="J92" s="95">
        <f t="shared" si="21"/>
        <v>1885.1399999999999</v>
      </c>
      <c r="K92" s="95">
        <f t="shared" si="21"/>
        <v>1866.5000000000002</v>
      </c>
      <c r="L92" s="95">
        <f t="shared" si="21"/>
        <v>1862.24</v>
      </c>
      <c r="M92" s="95">
        <f t="shared" si="21"/>
        <v>1956.8400000000001</v>
      </c>
      <c r="N92" s="95">
        <f t="shared" si="21"/>
        <v>2017.84</v>
      </c>
      <c r="O92" s="95">
        <f t="shared" si="21"/>
        <v>1989.34</v>
      </c>
      <c r="P92" s="95">
        <f t="shared" si="21"/>
        <v>1965.04</v>
      </c>
      <c r="Q92" s="95">
        <f t="shared" si="21"/>
        <v>1963.94</v>
      </c>
      <c r="R92" s="95">
        <f t="shared" si="21"/>
        <v>1943.3400000000001</v>
      </c>
      <c r="S92" s="95">
        <f t="shared" si="21"/>
        <v>1913.14</v>
      </c>
      <c r="T92" s="95">
        <f t="shared" si="21"/>
        <v>2025.54</v>
      </c>
      <c r="U92" s="95">
        <f t="shared" si="21"/>
        <v>2021.0400000000002</v>
      </c>
      <c r="V92" s="95">
        <f t="shared" si="21"/>
        <v>2021.0400000000002</v>
      </c>
      <c r="W92" s="95">
        <f t="shared" si="21"/>
        <v>1928.44</v>
      </c>
      <c r="X92" s="95">
        <f t="shared" si="21"/>
        <v>1862.24</v>
      </c>
      <c r="Y92" s="95">
        <f t="shared" si="21"/>
        <v>1839.38</v>
      </c>
      <c r="Z92" s="95">
        <f t="shared" si="21"/>
        <v>1839.38</v>
      </c>
      <c r="AA92" s="95">
        <f t="shared" si="21"/>
        <v>1952.6399999999999</v>
      </c>
      <c r="AB92" s="95">
        <f t="shared" si="21"/>
        <v>1960.3400000000001</v>
      </c>
      <c r="AC92" s="95">
        <f t="shared" si="21"/>
        <v>1961.3400000000001</v>
      </c>
      <c r="AD92" s="95">
        <f t="shared" si="21"/>
        <v>1932.3400000000001</v>
      </c>
      <c r="AE92" s="95">
        <f t="shared" si="21"/>
        <v>1893.3400000000001</v>
      </c>
      <c r="AF92" s="95">
        <f t="shared" si="21"/>
        <v>1889.24</v>
      </c>
      <c r="AG92" s="88"/>
      <c r="AH92" s="47" t="e">
        <f t="shared" si="12"/>
        <v>#REF!</v>
      </c>
      <c r="AI92" s="48" t="e">
        <f t="shared" si="13"/>
        <v>#REF!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2"/>
        <v>0</v>
      </c>
      <c r="AI93" s="48">
        <f t="shared" si="13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2"/>
        <v>0</v>
      </c>
      <c r="AI94" s="48">
        <f t="shared" si="13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2"/>
        <v>0</v>
      </c>
      <c r="AI95" s="48">
        <f t="shared" si="13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2"/>
        <v>0</v>
      </c>
      <c r="AI96" s="48">
        <f t="shared" si="13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2"/>
        <v>0</v>
      </c>
      <c r="AI97" s="48">
        <f t="shared" si="13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2"/>
        <v>0</v>
      </c>
      <c r="AI98" s="48">
        <f t="shared" si="13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12"/>
        <v>0</v>
      </c>
      <c r="AI99" s="48">
        <f t="shared" si="13"/>
        <v>0</v>
      </c>
      <c r="AK99" s="74"/>
    </row>
    <row r="100" spans="1:37" ht="15.75" thickBot="1" x14ac:dyDescent="0.3">
      <c r="A100" s="73" t="s">
        <v>116</v>
      </c>
      <c r="B100" s="59">
        <f t="shared" ref="B100" si="22">B84-B99</f>
        <v>20</v>
      </c>
      <c r="C100" s="59">
        <f t="shared" ref="C100:AF100" si="23">C84-C99</f>
        <v>5</v>
      </c>
      <c r="D100" s="59">
        <f t="shared" si="23"/>
        <v>5</v>
      </c>
      <c r="E100" s="59">
        <f t="shared" si="23"/>
        <v>5</v>
      </c>
      <c r="F100" s="59">
        <f t="shared" si="23"/>
        <v>10.9</v>
      </c>
      <c r="G100" s="59">
        <f t="shared" si="23"/>
        <v>17</v>
      </c>
      <c r="H100" s="59">
        <f t="shared" si="23"/>
        <v>20</v>
      </c>
      <c r="I100" s="59">
        <f t="shared" si="23"/>
        <v>17</v>
      </c>
      <c r="J100" s="59">
        <f t="shared" si="23"/>
        <v>17.600000000000001</v>
      </c>
      <c r="K100" s="59">
        <f t="shared" si="23"/>
        <v>17.66</v>
      </c>
      <c r="L100" s="59">
        <f t="shared" si="23"/>
        <v>16.7</v>
      </c>
      <c r="M100" s="59">
        <f t="shared" si="23"/>
        <v>22.1</v>
      </c>
      <c r="N100" s="59">
        <f t="shared" si="23"/>
        <v>30.8</v>
      </c>
      <c r="O100" s="59">
        <f t="shared" si="23"/>
        <v>29.8</v>
      </c>
      <c r="P100" s="59">
        <f t="shared" si="23"/>
        <v>6.1</v>
      </c>
      <c r="Q100" s="59">
        <f t="shared" si="23"/>
        <v>5</v>
      </c>
      <c r="R100" s="59">
        <f t="shared" si="23"/>
        <v>5</v>
      </c>
      <c r="S100" s="59">
        <f t="shared" si="23"/>
        <v>6</v>
      </c>
      <c r="T100" s="59">
        <f t="shared" si="23"/>
        <v>25</v>
      </c>
      <c r="U100" s="59">
        <f t="shared" si="23"/>
        <v>2</v>
      </c>
      <c r="V100" s="59">
        <f t="shared" si="23"/>
        <v>2</v>
      </c>
      <c r="W100" s="59">
        <f t="shared" si="23"/>
        <v>0</v>
      </c>
      <c r="X100" s="59">
        <f t="shared" si="23"/>
        <v>0</v>
      </c>
      <c r="Y100" s="59">
        <f t="shared" si="23"/>
        <v>33.74</v>
      </c>
      <c r="Z100" s="59">
        <f t="shared" si="23"/>
        <v>33.74</v>
      </c>
      <c r="AA100" s="59">
        <f t="shared" si="23"/>
        <v>36.1</v>
      </c>
      <c r="AB100" s="59">
        <f t="shared" si="23"/>
        <v>46.2</v>
      </c>
      <c r="AC100" s="59">
        <f t="shared" si="23"/>
        <v>49</v>
      </c>
      <c r="AD100" s="59">
        <f t="shared" si="23"/>
        <v>20</v>
      </c>
      <c r="AE100" s="59">
        <f t="shared" si="23"/>
        <v>20</v>
      </c>
      <c r="AF100" s="59">
        <f t="shared" si="23"/>
        <v>30</v>
      </c>
      <c r="AG100" s="88"/>
      <c r="AH100" s="47">
        <f t="shared" si="12"/>
        <v>49</v>
      </c>
      <c r="AI100" s="48">
        <f t="shared" si="13"/>
        <v>0</v>
      </c>
    </row>
    <row r="101" spans="1:37" x14ac:dyDescent="0.25">
      <c r="A101" s="100" t="s">
        <v>117</v>
      </c>
      <c r="B101" s="101">
        <v>50.045999999999999</v>
      </c>
      <c r="C101" s="101">
        <v>49.99</v>
      </c>
      <c r="D101" s="101">
        <v>49.991</v>
      </c>
      <c r="E101" s="101">
        <v>50</v>
      </c>
      <c r="F101" s="101">
        <v>50.005000000000003</v>
      </c>
      <c r="G101" s="101"/>
      <c r="H101" s="101"/>
      <c r="I101" s="101">
        <v>49.981000000000002</v>
      </c>
      <c r="J101" s="101">
        <v>49.981000000000002</v>
      </c>
      <c r="K101" s="101">
        <v>49.981000000000002</v>
      </c>
      <c r="L101" s="101">
        <v>49.981000000000002</v>
      </c>
      <c r="M101" s="101">
        <v>50.104999999999997</v>
      </c>
      <c r="N101" s="101">
        <v>50.045000000000002</v>
      </c>
      <c r="O101" s="101">
        <v>50.021000000000001</v>
      </c>
      <c r="P101" s="101">
        <v>50.073</v>
      </c>
      <c r="Q101" s="101">
        <v>50.073</v>
      </c>
      <c r="R101" s="101">
        <v>50.088999999999999</v>
      </c>
      <c r="S101" s="101">
        <v>50.061999999999998</v>
      </c>
      <c r="T101" s="101">
        <v>50.061999999999998</v>
      </c>
      <c r="U101" s="101">
        <v>50.061999999999998</v>
      </c>
      <c r="V101" s="101">
        <v>50.03</v>
      </c>
      <c r="W101" s="101">
        <v>50.04</v>
      </c>
      <c r="X101" s="101">
        <v>50.037999999999997</v>
      </c>
      <c r="Y101" s="101">
        <v>49.98</v>
      </c>
      <c r="Z101" s="101"/>
      <c r="AA101" s="101"/>
      <c r="AB101" s="101">
        <v>50.07</v>
      </c>
      <c r="AC101" s="101">
        <v>50.05</v>
      </c>
      <c r="AD101" s="101">
        <v>50.03</v>
      </c>
      <c r="AE101" s="101">
        <v>50.03</v>
      </c>
      <c r="AF101" s="101">
        <v>50.06</v>
      </c>
      <c r="AG101" s="102"/>
      <c r="AH101" s="47">
        <f t="shared" si="12"/>
        <v>50.104999999999997</v>
      </c>
      <c r="AI101" s="48">
        <f t="shared" si="13"/>
        <v>49.98</v>
      </c>
    </row>
    <row r="102" spans="1:37" x14ac:dyDescent="0.25">
      <c r="A102" s="103" t="s">
        <v>118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4"/>
      <c r="AH102" s="47">
        <f t="shared" si="12"/>
        <v>0</v>
      </c>
      <c r="AI102" s="48">
        <f t="shared" si="13"/>
        <v>0</v>
      </c>
    </row>
    <row r="103" spans="1:37" x14ac:dyDescent="0.25">
      <c r="A103" s="103" t="s">
        <v>119</v>
      </c>
      <c r="B103" s="64">
        <v>125.4</v>
      </c>
      <c r="C103" s="64">
        <v>126.3</v>
      </c>
      <c r="D103" s="64">
        <v>126.3</v>
      </c>
      <c r="E103" s="64">
        <v>128.80000000000001</v>
      </c>
      <c r="F103" s="64">
        <v>131.80000000000001</v>
      </c>
      <c r="G103" s="64"/>
      <c r="H103" s="64"/>
      <c r="I103" s="64">
        <v>124.3</v>
      </c>
      <c r="J103" s="64">
        <v>124.3</v>
      </c>
      <c r="K103" s="64">
        <v>124.3</v>
      </c>
      <c r="L103" s="64">
        <v>124.3</v>
      </c>
      <c r="M103" s="64">
        <v>125.5</v>
      </c>
      <c r="N103" s="64">
        <v>126.3</v>
      </c>
      <c r="O103" s="64">
        <v>124.6</v>
      </c>
      <c r="P103" s="64">
        <v>124.3</v>
      </c>
      <c r="Q103" s="64">
        <v>124.3</v>
      </c>
      <c r="R103" s="64">
        <v>127</v>
      </c>
      <c r="S103" s="64">
        <v>125.5</v>
      </c>
      <c r="T103" s="64">
        <v>125.5</v>
      </c>
      <c r="U103" s="64">
        <v>125.5</v>
      </c>
      <c r="V103" s="64">
        <v>125.5</v>
      </c>
      <c r="W103" s="64">
        <v>125.5</v>
      </c>
      <c r="X103" s="64">
        <v>127.9</v>
      </c>
      <c r="Y103" s="64">
        <v>126</v>
      </c>
      <c r="Z103" s="64"/>
      <c r="AA103" s="64"/>
      <c r="AB103" s="64">
        <v>128.6</v>
      </c>
      <c r="AC103" s="64">
        <v>128.6</v>
      </c>
      <c r="AD103" s="64">
        <v>128</v>
      </c>
      <c r="AE103" s="64">
        <v>128</v>
      </c>
      <c r="AF103" s="64">
        <v>128</v>
      </c>
      <c r="AG103" s="104"/>
      <c r="AH103" s="47">
        <f t="shared" si="12"/>
        <v>131.80000000000001</v>
      </c>
      <c r="AI103" s="48">
        <f t="shared" si="13"/>
        <v>124.3</v>
      </c>
    </row>
    <row r="104" spans="1:37" x14ac:dyDescent="0.25">
      <c r="A104" s="103" t="s">
        <v>120</v>
      </c>
      <c r="B104" s="64">
        <v>126.6</v>
      </c>
      <c r="C104" s="64">
        <v>128.30000000000001</v>
      </c>
      <c r="D104" s="64">
        <v>128.30000000000001</v>
      </c>
      <c r="E104" s="64">
        <v>129</v>
      </c>
      <c r="F104" s="64">
        <v>127.9</v>
      </c>
      <c r="G104" s="64"/>
      <c r="H104" s="64"/>
      <c r="I104" s="64">
        <v>127.3</v>
      </c>
      <c r="J104" s="64">
        <v>127.3</v>
      </c>
      <c r="K104" s="64">
        <v>127.3</v>
      </c>
      <c r="L104" s="64">
        <v>127.3</v>
      </c>
      <c r="M104" s="64">
        <v>129</v>
      </c>
      <c r="N104" s="64">
        <v>132.9</v>
      </c>
      <c r="O104" s="64">
        <v>129.6</v>
      </c>
      <c r="P104" s="64">
        <v>128.1</v>
      </c>
      <c r="Q104" s="64">
        <v>128.1</v>
      </c>
      <c r="R104" s="64">
        <v>129</v>
      </c>
      <c r="S104" s="64">
        <v>127.3</v>
      </c>
      <c r="T104" s="64">
        <v>127.3</v>
      </c>
      <c r="U104" s="64">
        <v>127.3</v>
      </c>
      <c r="V104" s="64">
        <v>127.3</v>
      </c>
      <c r="W104" s="64">
        <v>127.3</v>
      </c>
      <c r="X104" s="64">
        <v>129.5</v>
      </c>
      <c r="Y104" s="64">
        <v>126.7</v>
      </c>
      <c r="Z104" s="64"/>
      <c r="AA104" s="64"/>
      <c r="AB104" s="64">
        <v>127.6</v>
      </c>
      <c r="AC104" s="64">
        <v>127.6</v>
      </c>
      <c r="AD104" s="64">
        <v>129</v>
      </c>
      <c r="AE104" s="64">
        <v>129</v>
      </c>
      <c r="AF104" s="64">
        <v>130</v>
      </c>
      <c r="AG104" s="104"/>
      <c r="AH104" s="47">
        <f t="shared" si="12"/>
        <v>132.9</v>
      </c>
      <c r="AI104" s="48">
        <f t="shared" si="13"/>
        <v>126.6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2"/>
        <v>0</v>
      </c>
      <c r="AI105" s="48">
        <f t="shared" si="13"/>
        <v>0</v>
      </c>
    </row>
    <row r="106" spans="1:37" x14ac:dyDescent="0.25">
      <c r="A106" s="105" t="s">
        <v>122</v>
      </c>
      <c r="B106" s="106">
        <v>130.69999999999999</v>
      </c>
      <c r="C106" s="106">
        <v>132.4</v>
      </c>
      <c r="D106" s="106">
        <v>132.4</v>
      </c>
      <c r="E106" s="106">
        <v>133.80000000000001</v>
      </c>
      <c r="F106" s="106">
        <v>136.4</v>
      </c>
      <c r="G106" s="106"/>
      <c r="H106" s="106"/>
      <c r="I106" s="106">
        <v>129.9</v>
      </c>
      <c r="J106" s="106">
        <v>129.9</v>
      </c>
      <c r="K106" s="106">
        <v>129.9</v>
      </c>
      <c r="L106" s="106">
        <v>129.9</v>
      </c>
      <c r="M106" s="106">
        <v>128.80000000000001</v>
      </c>
      <c r="N106" s="106">
        <v>128.19999999999999</v>
      </c>
      <c r="O106" s="106">
        <v>126.7</v>
      </c>
      <c r="P106" s="106">
        <v>127.3</v>
      </c>
      <c r="Q106" s="106">
        <v>127.3</v>
      </c>
      <c r="R106" s="106">
        <v>130</v>
      </c>
      <c r="S106" s="106">
        <v>128.5</v>
      </c>
      <c r="T106" s="106">
        <v>128.5</v>
      </c>
      <c r="U106" s="106">
        <v>128.5</v>
      </c>
      <c r="V106" s="106">
        <v>128.5</v>
      </c>
      <c r="W106" s="106">
        <v>128.5</v>
      </c>
      <c r="X106" s="106">
        <v>132.69999999999999</v>
      </c>
      <c r="Y106" s="106">
        <v>135.69999999999999</v>
      </c>
      <c r="Z106" s="106"/>
      <c r="AA106" s="106"/>
      <c r="AB106" s="106">
        <v>133.80000000000001</v>
      </c>
      <c r="AC106" s="106">
        <v>133.80000000000001</v>
      </c>
      <c r="AD106" s="106">
        <v>130</v>
      </c>
      <c r="AE106" s="106">
        <v>130</v>
      </c>
      <c r="AF106" s="106">
        <v>128</v>
      </c>
      <c r="AG106" s="107"/>
      <c r="AH106" s="47">
        <f t="shared" si="12"/>
        <v>136.4</v>
      </c>
      <c r="AI106" s="48">
        <f t="shared" si="13"/>
        <v>126.7</v>
      </c>
    </row>
    <row r="107" spans="1:37" x14ac:dyDescent="0.25">
      <c r="A107" s="103" t="s">
        <v>123</v>
      </c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>
        <v>130</v>
      </c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104"/>
      <c r="AH107" s="47">
        <f t="shared" si="12"/>
        <v>130</v>
      </c>
      <c r="AI107" s="48">
        <f t="shared" si="13"/>
        <v>130</v>
      </c>
    </row>
    <row r="108" spans="1:37" ht="15.75" thickBot="1" x14ac:dyDescent="0.3">
      <c r="A108" s="103" t="s">
        <v>124</v>
      </c>
      <c r="B108" s="92">
        <v>63.6</v>
      </c>
      <c r="C108" s="92">
        <v>63.4</v>
      </c>
      <c r="D108" s="92">
        <v>63.4</v>
      </c>
      <c r="E108" s="92">
        <v>64.7</v>
      </c>
      <c r="F108" s="92">
        <v>66</v>
      </c>
      <c r="G108" s="92"/>
      <c r="H108" s="92"/>
      <c r="I108" s="92">
        <v>63.5</v>
      </c>
      <c r="J108" s="92">
        <v>63.5</v>
      </c>
      <c r="K108" s="92">
        <v>63.5</v>
      </c>
      <c r="L108" s="92">
        <v>63.5</v>
      </c>
      <c r="M108" s="92">
        <v>63.2</v>
      </c>
      <c r="N108" s="92">
        <v>63.3</v>
      </c>
      <c r="O108" s="92">
        <v>62.5</v>
      </c>
      <c r="P108" s="92">
        <v>61.9</v>
      </c>
      <c r="Q108" s="92">
        <v>61.9</v>
      </c>
      <c r="R108" s="92">
        <v>63.5</v>
      </c>
      <c r="S108" s="92">
        <v>62.6</v>
      </c>
      <c r="T108" s="92">
        <v>62.6</v>
      </c>
      <c r="U108" s="92">
        <v>62.6</v>
      </c>
      <c r="V108" s="92">
        <v>62.6</v>
      </c>
      <c r="W108" s="92">
        <v>62.6</v>
      </c>
      <c r="X108" s="92">
        <v>64</v>
      </c>
      <c r="Y108" s="92">
        <v>63.6</v>
      </c>
      <c r="Z108" s="92"/>
      <c r="AA108" s="92"/>
      <c r="AB108" s="92">
        <v>64.8</v>
      </c>
      <c r="AC108" s="92">
        <v>64.8</v>
      </c>
      <c r="AD108" s="92">
        <v>64.540000000000006</v>
      </c>
      <c r="AE108" s="92">
        <v>64.540000000000006</v>
      </c>
      <c r="AF108" s="92">
        <v>64.599999999999994</v>
      </c>
      <c r="AG108" s="108"/>
      <c r="AH108" s="47">
        <f t="shared" si="12"/>
        <v>66</v>
      </c>
      <c r="AI108" s="48">
        <f t="shared" si="13"/>
        <v>61.9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2"/>
        <v>0</v>
      </c>
      <c r="AI109" s="48">
        <f t="shared" si="13"/>
        <v>0</v>
      </c>
    </row>
    <row r="110" spans="1:37" ht="15.75" thickBot="1" x14ac:dyDescent="0.3">
      <c r="A110" s="110" t="s">
        <v>126</v>
      </c>
      <c r="B110" s="111">
        <f t="shared" ref="B110" si="24">SUM(B20,B26,B29:B30,B58,B60:B61,B63,B65,B111:B115,B138,B144,B150,B159,B161,B173,B180,B183:B184,B191,B193,B195,B199:B201,B203:B205,B210,B216:B217,B219:B221,B229,B234)</f>
        <v>83.6</v>
      </c>
      <c r="C110" s="111">
        <f t="shared" ref="C110:O110" si="25">SUM(C20,C26,C29:C30,C58,C60:C61,C63,C65,C111:C115,C138,C144,C150,C159,C161,C173,C180,C183:C184,C191,C193,C195,C199:C201,C203:C205,C210,C216:C217,C219:C221,C229,C234)</f>
        <v>72.84</v>
      </c>
      <c r="D110" s="111">
        <f t="shared" si="25"/>
        <v>47.84</v>
      </c>
      <c r="E110" s="111">
        <f t="shared" si="25"/>
        <v>63.740000000000009</v>
      </c>
      <c r="F110" s="111">
        <f t="shared" si="25"/>
        <v>79.740000000000009</v>
      </c>
      <c r="G110" s="111">
        <f t="shared" si="25"/>
        <v>0.94</v>
      </c>
      <c r="H110" s="111">
        <f t="shared" si="25"/>
        <v>0.94</v>
      </c>
      <c r="I110" s="111">
        <f t="shared" si="25"/>
        <v>167.04</v>
      </c>
      <c r="J110" s="111">
        <f t="shared" si="25"/>
        <v>167.04</v>
      </c>
      <c r="K110" s="111">
        <f t="shared" si="25"/>
        <v>167.04</v>
      </c>
      <c r="L110" s="111">
        <f t="shared" si="25"/>
        <v>167.04</v>
      </c>
      <c r="M110" s="111">
        <f t="shared" si="25"/>
        <v>167.63999999999996</v>
      </c>
      <c r="N110" s="111">
        <f t="shared" si="25"/>
        <v>197.34</v>
      </c>
      <c r="O110" s="111">
        <f t="shared" si="25"/>
        <v>217.83999999999997</v>
      </c>
      <c r="P110" s="111">
        <v>42</v>
      </c>
      <c r="Q110" s="111">
        <f t="shared" ref="Q110:AF110" si="26">SUM(Q20,Q26,Q29:Q30,Q58,Q60:Q61,Q63,Q65,Q111:Q115,Q138,Q144,Q150,Q159,Q161,Q173,Q180,Q183:Q184,Q191,Q193,Q195,Q199:Q201,Q203:Q205,Q210,Q216:Q217,Q219:Q221,Q229,Q234)</f>
        <v>210.79999999999998</v>
      </c>
      <c r="R110" s="111">
        <f t="shared" si="26"/>
        <v>161.70000000000002</v>
      </c>
      <c r="S110" s="111">
        <f t="shared" si="26"/>
        <v>165</v>
      </c>
      <c r="T110" s="111">
        <f t="shared" si="26"/>
        <v>190.8</v>
      </c>
      <c r="U110" s="111">
        <f t="shared" si="26"/>
        <v>188.5</v>
      </c>
      <c r="V110" s="111">
        <f t="shared" si="26"/>
        <v>188.5</v>
      </c>
      <c r="W110" s="111">
        <f t="shared" si="26"/>
        <v>188.5</v>
      </c>
      <c r="X110" s="111">
        <f t="shared" si="26"/>
        <v>178.7</v>
      </c>
      <c r="Y110" s="111">
        <f t="shared" si="26"/>
        <v>185</v>
      </c>
      <c r="Z110" s="111">
        <f t="shared" si="26"/>
        <v>185</v>
      </c>
      <c r="AA110" s="111">
        <f t="shared" si="26"/>
        <v>243.39999999999998</v>
      </c>
      <c r="AB110" s="111">
        <f t="shared" si="26"/>
        <v>135.00000000000003</v>
      </c>
      <c r="AC110" s="111">
        <f t="shared" si="26"/>
        <v>124.2</v>
      </c>
      <c r="AD110" s="111"/>
      <c r="AE110" s="111">
        <f t="shared" si="26"/>
        <v>115.5</v>
      </c>
      <c r="AF110" s="111">
        <f t="shared" si="26"/>
        <v>71.5</v>
      </c>
      <c r="AG110" s="112"/>
      <c r="AH110" s="47">
        <f t="shared" si="12"/>
        <v>243.39999999999998</v>
      </c>
      <c r="AI110" s="48">
        <f t="shared" si="13"/>
        <v>0.94</v>
      </c>
    </row>
    <row r="111" spans="1:37" x14ac:dyDescent="0.25">
      <c r="A111" s="100" t="s">
        <v>127</v>
      </c>
      <c r="B111" s="113">
        <v>39.700000000000003</v>
      </c>
      <c r="C111" s="113">
        <v>43.6</v>
      </c>
      <c r="D111" s="113">
        <v>43.6</v>
      </c>
      <c r="E111" s="113">
        <v>38.9</v>
      </c>
      <c r="F111" s="113">
        <v>39.1</v>
      </c>
      <c r="G111" s="113"/>
      <c r="H111" s="113"/>
      <c r="I111" s="113">
        <v>131.6</v>
      </c>
      <c r="J111" s="113">
        <v>131.6</v>
      </c>
      <c r="K111" s="113">
        <v>131.6</v>
      </c>
      <c r="L111" s="113">
        <v>131.6</v>
      </c>
      <c r="M111" s="113">
        <v>127.6</v>
      </c>
      <c r="N111" s="113">
        <v>80.099999999999994</v>
      </c>
      <c r="O111" s="113">
        <v>87.3</v>
      </c>
      <c r="P111" s="113">
        <v>93.7</v>
      </c>
      <c r="Q111" s="113">
        <v>93.7</v>
      </c>
      <c r="R111" s="113">
        <v>31.5</v>
      </c>
      <c r="S111" s="113">
        <v>43</v>
      </c>
      <c r="T111" s="113">
        <v>43</v>
      </c>
      <c r="U111" s="113">
        <v>43</v>
      </c>
      <c r="V111" s="113">
        <v>43</v>
      </c>
      <c r="W111" s="113">
        <v>43</v>
      </c>
      <c r="X111" s="113">
        <v>65.400000000000006</v>
      </c>
      <c r="Y111" s="113">
        <v>59</v>
      </c>
      <c r="Z111" s="113">
        <v>59</v>
      </c>
      <c r="AA111" s="113">
        <v>70.400000000000006</v>
      </c>
      <c r="AB111" s="113">
        <v>61.6</v>
      </c>
      <c r="AC111" s="113">
        <v>92</v>
      </c>
      <c r="AD111" s="113">
        <v>82</v>
      </c>
      <c r="AE111" s="113">
        <v>82</v>
      </c>
      <c r="AF111" s="113">
        <v>68</v>
      </c>
      <c r="AG111" s="114">
        <v>75</v>
      </c>
      <c r="AH111" s="47">
        <f t="shared" si="12"/>
        <v>131.6</v>
      </c>
      <c r="AI111" s="48">
        <f t="shared" si="13"/>
        <v>31.5</v>
      </c>
    </row>
    <row r="112" spans="1:37" x14ac:dyDescent="0.25">
      <c r="A112" s="103" t="s">
        <v>128</v>
      </c>
      <c r="B112" s="115">
        <v>67.599999999999994</v>
      </c>
      <c r="C112" s="115">
        <v>72.900000000000006</v>
      </c>
      <c r="D112" s="115">
        <v>72.900000000000006</v>
      </c>
      <c r="E112" s="115">
        <v>60.2</v>
      </c>
      <c r="F112" s="115">
        <v>57.2</v>
      </c>
      <c r="G112" s="115"/>
      <c r="H112" s="115"/>
      <c r="I112" s="115">
        <v>87.6</v>
      </c>
      <c r="J112" s="115">
        <v>87.6</v>
      </c>
      <c r="K112" s="115">
        <v>87.6</v>
      </c>
      <c r="L112" s="115">
        <v>87.6</v>
      </c>
      <c r="M112" s="115">
        <v>86.1</v>
      </c>
      <c r="N112" s="115">
        <v>119.1</v>
      </c>
      <c r="O112" s="115">
        <v>130.30000000000001</v>
      </c>
      <c r="P112" s="115">
        <v>139</v>
      </c>
      <c r="Q112" s="115">
        <v>139</v>
      </c>
      <c r="R112" s="115">
        <v>50</v>
      </c>
      <c r="S112" s="115">
        <v>68.400000000000006</v>
      </c>
      <c r="T112" s="115">
        <v>68.400000000000006</v>
      </c>
      <c r="U112" s="115">
        <v>68.400000000000006</v>
      </c>
      <c r="V112" s="115">
        <v>68.400000000000006</v>
      </c>
      <c r="W112" s="115">
        <v>68.400000000000006</v>
      </c>
      <c r="X112" s="115">
        <v>97.1</v>
      </c>
      <c r="Y112" s="115">
        <v>87.5</v>
      </c>
      <c r="Z112" s="115">
        <v>87.5</v>
      </c>
      <c r="AA112" s="115">
        <v>102.8</v>
      </c>
      <c r="AB112" s="115">
        <v>90.7</v>
      </c>
      <c r="AC112" s="115">
        <v>61</v>
      </c>
      <c r="AD112" s="115">
        <v>56</v>
      </c>
      <c r="AE112" s="115">
        <v>56</v>
      </c>
      <c r="AF112" s="115">
        <v>40</v>
      </c>
      <c r="AG112" s="114">
        <v>240</v>
      </c>
      <c r="AH112" s="47">
        <f t="shared" si="12"/>
        <v>139</v>
      </c>
      <c r="AI112" s="48">
        <f t="shared" si="13"/>
        <v>40</v>
      </c>
    </row>
    <row r="113" spans="1:37" x14ac:dyDescent="0.25">
      <c r="A113" s="103" t="s">
        <v>129</v>
      </c>
      <c r="B113" s="115">
        <v>-152</v>
      </c>
      <c r="C113" s="115">
        <v>-155.30000000000001</v>
      </c>
      <c r="D113" s="115">
        <v>-155.30000000000001</v>
      </c>
      <c r="E113" s="115">
        <v>-123</v>
      </c>
      <c r="F113" s="115">
        <v>-70.5</v>
      </c>
      <c r="G113" s="115"/>
      <c r="H113" s="115"/>
      <c r="I113" s="115">
        <v>-136</v>
      </c>
      <c r="J113" s="115">
        <v>-136</v>
      </c>
      <c r="K113" s="115">
        <v>-136</v>
      </c>
      <c r="L113" s="115">
        <v>-136</v>
      </c>
      <c r="M113" s="115">
        <v>-159</v>
      </c>
      <c r="N113" s="115">
        <v>-165</v>
      </c>
      <c r="O113" s="115">
        <v>-170</v>
      </c>
      <c r="P113" s="115">
        <v>-180</v>
      </c>
      <c r="Q113" s="115">
        <v>-180</v>
      </c>
      <c r="R113" s="115">
        <v>-80</v>
      </c>
      <c r="S113" s="115">
        <f>-44.5-48.1</f>
        <v>-92.6</v>
      </c>
      <c r="T113" s="115">
        <f t="shared" ref="T113:W113" si="27">-44.5-48.1</f>
        <v>-92.6</v>
      </c>
      <c r="U113" s="115">
        <f t="shared" si="27"/>
        <v>-92.6</v>
      </c>
      <c r="V113" s="115">
        <f t="shared" si="27"/>
        <v>-92.6</v>
      </c>
      <c r="W113" s="115">
        <f t="shared" si="27"/>
        <v>-92.6</v>
      </c>
      <c r="X113" s="115">
        <v>-139.5</v>
      </c>
      <c r="Y113" s="115">
        <v>-110.4</v>
      </c>
      <c r="Z113" s="115">
        <v>-110.4</v>
      </c>
      <c r="AA113" s="115">
        <v>-49.8</v>
      </c>
      <c r="AB113" s="115">
        <f>-69-61.1</f>
        <v>-130.1</v>
      </c>
      <c r="AC113" s="115">
        <f>-69-61.1</f>
        <v>-130.1</v>
      </c>
      <c r="AD113" s="115">
        <v>-120</v>
      </c>
      <c r="AE113" s="115">
        <v>-120</v>
      </c>
      <c r="AF113" s="115">
        <v>-130</v>
      </c>
      <c r="AG113" s="114">
        <v>240</v>
      </c>
      <c r="AH113" s="47">
        <f t="shared" si="12"/>
        <v>-49.8</v>
      </c>
      <c r="AI113" s="48">
        <f t="shared" si="13"/>
        <v>-180</v>
      </c>
    </row>
    <row r="114" spans="1:37" x14ac:dyDescent="0.25">
      <c r="A114" s="103" t="s">
        <v>130</v>
      </c>
      <c r="B114" s="115">
        <v>-9.5</v>
      </c>
      <c r="C114" s="115">
        <v>-12.3</v>
      </c>
      <c r="D114" s="115">
        <v>-12.3</v>
      </c>
      <c r="E114" s="115">
        <v>-10.5</v>
      </c>
      <c r="F114" s="115">
        <v>-4.5</v>
      </c>
      <c r="G114" s="115"/>
      <c r="H114" s="115"/>
      <c r="I114" s="115">
        <v>-8.1</v>
      </c>
      <c r="J114" s="115">
        <v>-8.1</v>
      </c>
      <c r="K114" s="115">
        <v>-8.1</v>
      </c>
      <c r="L114" s="115">
        <v>-8.1</v>
      </c>
      <c r="M114" s="115">
        <v>3.6</v>
      </c>
      <c r="N114" s="115">
        <v>-3.9</v>
      </c>
      <c r="O114" s="115">
        <v>-1</v>
      </c>
      <c r="P114" s="115">
        <v>-2.5</v>
      </c>
      <c r="Q114" s="115">
        <v>-2.5</v>
      </c>
      <c r="R114" s="115">
        <v>7.4</v>
      </c>
      <c r="S114" s="115">
        <v>25</v>
      </c>
      <c r="T114" s="115">
        <v>25</v>
      </c>
      <c r="U114" s="115">
        <v>25</v>
      </c>
      <c r="V114" s="115">
        <v>25</v>
      </c>
      <c r="W114" s="115">
        <v>25</v>
      </c>
      <c r="X114" s="115">
        <v>43.2</v>
      </c>
      <c r="Y114" s="115">
        <v>52.2</v>
      </c>
      <c r="Z114" s="115">
        <v>52.2</v>
      </c>
      <c r="AA114" s="115">
        <v>17.7</v>
      </c>
      <c r="AB114" s="115">
        <v>10.7</v>
      </c>
      <c r="AC114" s="115">
        <v>-1</v>
      </c>
      <c r="AD114" s="115">
        <v>-7</v>
      </c>
      <c r="AE114" s="115">
        <v>-7</v>
      </c>
      <c r="AF114" s="115">
        <v>-12</v>
      </c>
      <c r="AG114" s="114">
        <v>60</v>
      </c>
      <c r="AH114" s="47">
        <f t="shared" si="12"/>
        <v>52.2</v>
      </c>
      <c r="AI114" s="48">
        <f t="shared" si="13"/>
        <v>-12.3</v>
      </c>
    </row>
    <row r="115" spans="1:37" x14ac:dyDescent="0.25">
      <c r="A115" s="116" t="s">
        <v>131</v>
      </c>
      <c r="B115" s="117">
        <v>23.1</v>
      </c>
      <c r="C115" s="117">
        <v>23.3</v>
      </c>
      <c r="D115" s="117">
        <v>23.3</v>
      </c>
      <c r="E115" s="117">
        <v>22.5</v>
      </c>
      <c r="F115" s="117">
        <v>23</v>
      </c>
      <c r="G115" s="117"/>
      <c r="H115" s="117"/>
      <c r="I115" s="117">
        <v>10</v>
      </c>
      <c r="J115" s="117">
        <v>10</v>
      </c>
      <c r="K115" s="117">
        <v>10</v>
      </c>
      <c r="L115" s="117">
        <v>10</v>
      </c>
      <c r="M115" s="117">
        <v>10.8</v>
      </c>
      <c r="N115" s="117">
        <v>10.8</v>
      </c>
      <c r="O115" s="117">
        <v>11.7</v>
      </c>
      <c r="P115" s="117">
        <v>13.1</v>
      </c>
      <c r="Q115" s="117">
        <v>13.1</v>
      </c>
      <c r="R115" s="117">
        <v>24</v>
      </c>
      <c r="S115" s="117">
        <v>23.7</v>
      </c>
      <c r="T115" s="117">
        <v>23.7</v>
      </c>
      <c r="U115" s="117">
        <v>23.7</v>
      </c>
      <c r="V115" s="117">
        <v>23.7</v>
      </c>
      <c r="W115" s="117">
        <v>23.7</v>
      </c>
      <c r="X115" s="117">
        <v>22</v>
      </c>
      <c r="Y115" s="117">
        <v>21.2</v>
      </c>
      <c r="Z115" s="117">
        <v>21.2</v>
      </c>
      <c r="AA115" s="117">
        <v>16.8</v>
      </c>
      <c r="AB115" s="117">
        <v>16.600000000000001</v>
      </c>
      <c r="AC115" s="117">
        <v>16.8</v>
      </c>
      <c r="AD115" s="117">
        <v>19</v>
      </c>
      <c r="AE115" s="117">
        <v>19</v>
      </c>
      <c r="AF115" s="117">
        <v>20</v>
      </c>
      <c r="AG115" s="118">
        <v>120</v>
      </c>
      <c r="AH115" s="47">
        <f t="shared" si="12"/>
        <v>24</v>
      </c>
      <c r="AI115" s="48">
        <f t="shared" si="13"/>
        <v>10</v>
      </c>
    </row>
    <row r="116" spans="1:37" x14ac:dyDescent="0.25">
      <c r="A116" s="116" t="s">
        <v>132</v>
      </c>
      <c r="B116" s="117">
        <v>63.1</v>
      </c>
      <c r="C116" s="117">
        <v>25.1</v>
      </c>
      <c r="D116" s="117">
        <v>25.1</v>
      </c>
      <c r="E116" s="117">
        <v>27.3</v>
      </c>
      <c r="F116" s="117">
        <v>33</v>
      </c>
      <c r="G116" s="117"/>
      <c r="H116" s="117"/>
      <c r="I116" s="117">
        <v>27.8</v>
      </c>
      <c r="J116" s="117">
        <v>27.8</v>
      </c>
      <c r="K116" s="117">
        <v>27.8</v>
      </c>
      <c r="L116" s="117">
        <v>27.8</v>
      </c>
      <c r="M116" s="117">
        <v>40.299999999999997</v>
      </c>
      <c r="N116" s="117">
        <v>46</v>
      </c>
      <c r="O116" s="117">
        <v>38</v>
      </c>
      <c r="P116" s="117">
        <v>48</v>
      </c>
      <c r="Q116" s="117">
        <v>48</v>
      </c>
      <c r="R116" s="117">
        <v>42</v>
      </c>
      <c r="S116" s="117">
        <v>33</v>
      </c>
      <c r="T116" s="117">
        <v>33</v>
      </c>
      <c r="U116" s="117">
        <v>33</v>
      </c>
      <c r="V116" s="117">
        <v>33</v>
      </c>
      <c r="W116" s="117">
        <v>33</v>
      </c>
      <c r="X116" s="117">
        <v>29.6</v>
      </c>
      <c r="Y116" s="117">
        <v>42.4</v>
      </c>
      <c r="Z116" s="117">
        <v>42.4</v>
      </c>
      <c r="AA116" s="117">
        <v>40.5</v>
      </c>
      <c r="AB116" s="117">
        <v>40</v>
      </c>
      <c r="AC116" s="117">
        <v>40</v>
      </c>
      <c r="AD116" s="117">
        <v>65</v>
      </c>
      <c r="AE116" s="117">
        <v>65</v>
      </c>
      <c r="AF116" s="117">
        <v>62</v>
      </c>
      <c r="AG116" s="118"/>
      <c r="AH116" s="47">
        <f t="shared" si="12"/>
        <v>65</v>
      </c>
      <c r="AI116" s="48">
        <f t="shared" si="13"/>
        <v>25.1</v>
      </c>
    </row>
    <row r="117" spans="1:37" x14ac:dyDescent="0.25">
      <c r="A117" s="116" t="s">
        <v>133</v>
      </c>
      <c r="B117" s="117">
        <v>-19.899999999999999</v>
      </c>
      <c r="C117" s="117">
        <v>-19.2</v>
      </c>
      <c r="D117" s="117">
        <v>-19.2</v>
      </c>
      <c r="E117" s="117">
        <v>-5.7</v>
      </c>
      <c r="F117" s="117">
        <v>-10.3</v>
      </c>
      <c r="G117" s="117"/>
      <c r="H117" s="117"/>
      <c r="I117" s="117">
        <v>17.7</v>
      </c>
      <c r="J117" s="117">
        <v>17.7</v>
      </c>
      <c r="K117" s="117">
        <v>17.7</v>
      </c>
      <c r="L117" s="117">
        <v>17.7</v>
      </c>
      <c r="M117" s="117">
        <v>-14.9</v>
      </c>
      <c r="N117" s="117">
        <v>13</v>
      </c>
      <c r="O117" s="117">
        <v>75.900000000000006</v>
      </c>
      <c r="P117" s="117">
        <v>17</v>
      </c>
      <c r="Q117" s="117">
        <v>17</v>
      </c>
      <c r="R117" s="117">
        <v>11</v>
      </c>
      <c r="S117" s="117">
        <v>11.9</v>
      </c>
      <c r="T117" s="117">
        <v>11.9</v>
      </c>
      <c r="U117" s="117">
        <v>11.9</v>
      </c>
      <c r="V117" s="117">
        <v>11.9</v>
      </c>
      <c r="W117" s="117">
        <v>11.9</v>
      </c>
      <c r="X117" s="117">
        <v>1.3</v>
      </c>
      <c r="Y117" s="117">
        <v>9.4</v>
      </c>
      <c r="Z117" s="117">
        <v>9.4</v>
      </c>
      <c r="AA117" s="117">
        <v>6.3</v>
      </c>
      <c r="AB117" s="117">
        <v>0</v>
      </c>
      <c r="AC117" s="117">
        <v>0</v>
      </c>
      <c r="AD117" s="117">
        <v>-7</v>
      </c>
      <c r="AE117" s="117">
        <v>-7</v>
      </c>
      <c r="AF117" s="117">
        <v>-18</v>
      </c>
      <c r="AG117" s="119"/>
      <c r="AH117" s="47">
        <f t="shared" si="12"/>
        <v>75.900000000000006</v>
      </c>
      <c r="AI117" s="48">
        <f t="shared" si="13"/>
        <v>-19.899999999999999</v>
      </c>
    </row>
    <row r="118" spans="1:37" x14ac:dyDescent="0.25">
      <c r="A118" s="120" t="s">
        <v>134</v>
      </c>
      <c r="B118" s="106">
        <v>44.9</v>
      </c>
      <c r="C118" s="106">
        <v>63</v>
      </c>
      <c r="D118" s="106">
        <v>63</v>
      </c>
      <c r="E118" s="106">
        <v>66.400000000000006</v>
      </c>
      <c r="F118" s="106">
        <v>66.900000000000006</v>
      </c>
      <c r="G118" s="106"/>
      <c r="H118" s="106"/>
      <c r="I118" s="106">
        <v>59</v>
      </c>
      <c r="J118" s="106">
        <v>59</v>
      </c>
      <c r="K118" s="106">
        <v>59</v>
      </c>
      <c r="L118" s="106">
        <v>59</v>
      </c>
      <c r="M118" s="106">
        <v>49.5</v>
      </c>
      <c r="N118" s="106">
        <v>45.4</v>
      </c>
      <c r="O118" s="106">
        <v>51.3</v>
      </c>
      <c r="P118" s="106">
        <v>37</v>
      </c>
      <c r="Q118" s="106">
        <v>37</v>
      </c>
      <c r="R118" s="106">
        <v>47</v>
      </c>
      <c r="S118" s="106">
        <v>53.1</v>
      </c>
      <c r="T118" s="106">
        <v>53.1</v>
      </c>
      <c r="U118" s="106">
        <v>53.1</v>
      </c>
      <c r="V118" s="106">
        <v>53.1</v>
      </c>
      <c r="W118" s="106">
        <v>53.1</v>
      </c>
      <c r="X118" s="106">
        <v>38.700000000000003</v>
      </c>
      <c r="Y118" s="106">
        <v>36.700000000000003</v>
      </c>
      <c r="Z118" s="106">
        <v>36.700000000000003</v>
      </c>
      <c r="AA118" s="106">
        <v>10.4</v>
      </c>
      <c r="AB118" s="106">
        <v>23.1</v>
      </c>
      <c r="AC118" s="106">
        <v>25.8</v>
      </c>
      <c r="AD118" s="106">
        <v>32</v>
      </c>
      <c r="AE118" s="106">
        <v>32</v>
      </c>
      <c r="AF118" s="106">
        <v>37</v>
      </c>
      <c r="AG118" s="119"/>
      <c r="AH118" s="47">
        <f t="shared" si="12"/>
        <v>66.900000000000006</v>
      </c>
      <c r="AI118" s="48">
        <f t="shared" si="13"/>
        <v>10.4</v>
      </c>
    </row>
    <row r="119" spans="1:37" x14ac:dyDescent="0.25">
      <c r="A119" s="121" t="s">
        <v>135</v>
      </c>
      <c r="B119" s="106">
        <v>78</v>
      </c>
      <c r="C119" s="106">
        <v>74.400000000000006</v>
      </c>
      <c r="D119" s="106">
        <v>74.400000000000006</v>
      </c>
      <c r="E119" s="106">
        <v>61.8</v>
      </c>
      <c r="F119" s="106">
        <v>30.2</v>
      </c>
      <c r="G119" s="106"/>
      <c r="H119" s="106"/>
      <c r="I119" s="106">
        <v>50.5</v>
      </c>
      <c r="J119" s="106">
        <v>50.5</v>
      </c>
      <c r="K119" s="106">
        <v>50.5</v>
      </c>
      <c r="L119" s="106">
        <v>50.5</v>
      </c>
      <c r="M119" s="106">
        <v>38.5</v>
      </c>
      <c r="N119" s="106">
        <v>41.3</v>
      </c>
      <c r="O119" s="106">
        <v>52.4</v>
      </c>
      <c r="P119" s="106">
        <v>49</v>
      </c>
      <c r="Q119" s="106">
        <v>49</v>
      </c>
      <c r="R119" s="106">
        <v>55</v>
      </c>
      <c r="S119" s="106">
        <v>61.9</v>
      </c>
      <c r="T119" s="106">
        <v>61.9</v>
      </c>
      <c r="U119" s="106">
        <v>61.9</v>
      </c>
      <c r="V119" s="106">
        <v>61.9</v>
      </c>
      <c r="W119" s="106">
        <v>61.9</v>
      </c>
      <c r="X119" s="106">
        <v>62</v>
      </c>
      <c r="Y119" s="106">
        <v>53.4</v>
      </c>
      <c r="Z119" s="106">
        <v>53.4</v>
      </c>
      <c r="AA119" s="106">
        <v>46.8</v>
      </c>
      <c r="AB119" s="106">
        <v>58.5</v>
      </c>
      <c r="AC119" s="106">
        <v>55</v>
      </c>
      <c r="AD119" s="106">
        <v>50</v>
      </c>
      <c r="AE119" s="106">
        <v>50</v>
      </c>
      <c r="AF119" s="106">
        <v>59</v>
      </c>
      <c r="AG119" s="119"/>
      <c r="AH119" s="47">
        <f t="shared" si="12"/>
        <v>78</v>
      </c>
      <c r="AI119" s="48">
        <f t="shared" si="13"/>
        <v>30.2</v>
      </c>
    </row>
    <row r="120" spans="1:37" ht="15.75" thickBot="1" x14ac:dyDescent="0.3">
      <c r="A120" s="120" t="s">
        <v>136</v>
      </c>
      <c r="B120" s="106">
        <v>20.2</v>
      </c>
      <c r="C120" s="106">
        <v>-10.1</v>
      </c>
      <c r="D120" s="106">
        <v>-10.1</v>
      </c>
      <c r="E120" s="106">
        <v>-27.2</v>
      </c>
      <c r="F120" s="106">
        <v>-32</v>
      </c>
      <c r="G120" s="106"/>
      <c r="H120" s="106"/>
      <c r="I120" s="106">
        <v>-25</v>
      </c>
      <c r="J120" s="106">
        <v>-25</v>
      </c>
      <c r="K120" s="106">
        <v>-25</v>
      </c>
      <c r="L120" s="106">
        <v>-25</v>
      </c>
      <c r="M120" s="106">
        <v>-15.9</v>
      </c>
      <c r="N120" s="106">
        <v>-25</v>
      </c>
      <c r="O120" s="106">
        <v>-28</v>
      </c>
      <c r="P120" s="106">
        <v>16</v>
      </c>
      <c r="Q120" s="106">
        <v>16</v>
      </c>
      <c r="R120" s="106">
        <v>-11</v>
      </c>
      <c r="S120" s="106">
        <v>-11.3</v>
      </c>
      <c r="T120" s="106">
        <v>-11.3</v>
      </c>
      <c r="U120" s="106">
        <v>-11.3</v>
      </c>
      <c r="V120" s="106">
        <v>-11.3</v>
      </c>
      <c r="W120" s="106">
        <v>-11.3</v>
      </c>
      <c r="X120" s="106">
        <v>33.4</v>
      </c>
      <c r="Y120" s="106">
        <v>9.5</v>
      </c>
      <c r="Z120" s="106">
        <v>9.5</v>
      </c>
      <c r="AA120" s="106">
        <v>38.9</v>
      </c>
      <c r="AB120" s="106">
        <v>26.6</v>
      </c>
      <c r="AC120" s="106">
        <v>24</v>
      </c>
      <c r="AD120" s="106">
        <v>66</v>
      </c>
      <c r="AE120" s="106">
        <v>66</v>
      </c>
      <c r="AF120" s="106">
        <v>19</v>
      </c>
      <c r="AG120" s="119"/>
      <c r="AH120" s="47">
        <f t="shared" si="12"/>
        <v>66</v>
      </c>
      <c r="AI120" s="48">
        <f t="shared" si="13"/>
        <v>-32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28">SUM(B122:B226)</f>
        <v>0</v>
      </c>
      <c r="C227" s="137">
        <f t="shared" si="28"/>
        <v>0</v>
      </c>
      <c r="D227" s="137">
        <f t="shared" si="28"/>
        <v>0</v>
      </c>
      <c r="E227" s="137">
        <f t="shared" si="28"/>
        <v>0</v>
      </c>
      <c r="F227" s="137">
        <f t="shared" si="28"/>
        <v>0</v>
      </c>
      <c r="G227" s="137">
        <f t="shared" si="28"/>
        <v>0</v>
      </c>
      <c r="H227" s="137">
        <f t="shared" si="28"/>
        <v>0</v>
      </c>
      <c r="I227" s="137">
        <f t="shared" si="28"/>
        <v>0</v>
      </c>
      <c r="J227" s="137">
        <f t="shared" si="28"/>
        <v>0</v>
      </c>
      <c r="K227" s="137">
        <f t="shared" si="28"/>
        <v>0</v>
      </c>
      <c r="L227" s="137">
        <f t="shared" si="28"/>
        <v>0</v>
      </c>
      <c r="M227" s="137">
        <f t="shared" si="28"/>
        <v>0</v>
      </c>
      <c r="N227" s="137">
        <f t="shared" si="28"/>
        <v>0</v>
      </c>
      <c r="O227" s="137">
        <f t="shared" si="28"/>
        <v>0</v>
      </c>
      <c r="P227" s="137">
        <f t="shared" si="28"/>
        <v>0</v>
      </c>
      <c r="Q227" s="137">
        <f t="shared" si="28"/>
        <v>0</v>
      </c>
      <c r="R227" s="137">
        <f t="shared" si="28"/>
        <v>0</v>
      </c>
      <c r="S227" s="137">
        <f t="shared" si="28"/>
        <v>0</v>
      </c>
      <c r="T227" s="137">
        <f t="shared" si="28"/>
        <v>0</v>
      </c>
      <c r="U227" s="137">
        <f t="shared" si="28"/>
        <v>0</v>
      </c>
      <c r="V227" s="137">
        <f t="shared" si="28"/>
        <v>0</v>
      </c>
      <c r="W227" s="137">
        <f t="shared" si="28"/>
        <v>0</v>
      </c>
      <c r="X227" s="137">
        <f t="shared" si="28"/>
        <v>0</v>
      </c>
      <c r="Y227" s="137">
        <f t="shared" si="28"/>
        <v>0</v>
      </c>
      <c r="Z227" s="137">
        <f t="shared" si="28"/>
        <v>0</v>
      </c>
      <c r="AA227" s="137">
        <f t="shared" si="28"/>
        <v>0</v>
      </c>
      <c r="AB227" s="137">
        <f t="shared" si="28"/>
        <v>0</v>
      </c>
      <c r="AC227" s="137">
        <f t="shared" si="28"/>
        <v>0</v>
      </c>
      <c r="AD227" s="137">
        <f t="shared" si="28"/>
        <v>0</v>
      </c>
      <c r="AE227" s="137">
        <f t="shared" si="28"/>
        <v>0</v>
      </c>
      <c r="AF227" s="138">
        <f t="shared" si="28"/>
        <v>0</v>
      </c>
      <c r="AG227" s="139">
        <f t="shared" si="28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29">AF229</f>
        <v>0</v>
      </c>
      <c r="C229" s="141">
        <v>0.3</v>
      </c>
      <c r="D229" s="141">
        <f t="shared" ref="D229:P234" si="30">C229</f>
        <v>0.3</v>
      </c>
      <c r="E229" s="141">
        <f t="shared" si="30"/>
        <v>0.3</v>
      </c>
      <c r="F229" s="141">
        <f t="shared" si="30"/>
        <v>0.3</v>
      </c>
      <c r="G229" s="141">
        <f t="shared" si="30"/>
        <v>0.3</v>
      </c>
      <c r="H229" s="141">
        <f t="shared" si="30"/>
        <v>0.3</v>
      </c>
      <c r="I229" s="141">
        <f t="shared" si="30"/>
        <v>0.3</v>
      </c>
      <c r="J229" s="141">
        <f t="shared" si="30"/>
        <v>0.3</v>
      </c>
      <c r="K229" s="141">
        <f t="shared" si="30"/>
        <v>0.3</v>
      </c>
      <c r="L229" s="141">
        <f t="shared" si="30"/>
        <v>0.3</v>
      </c>
      <c r="M229" s="141">
        <f t="shared" si="30"/>
        <v>0.3</v>
      </c>
      <c r="N229" s="141">
        <f t="shared" si="30"/>
        <v>0.3</v>
      </c>
      <c r="O229" s="141">
        <f t="shared" si="30"/>
        <v>0.3</v>
      </c>
      <c r="P229" s="141">
        <f t="shared" si="30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29"/>
        <v>0</v>
      </c>
      <c r="C230" s="129">
        <v>0.4</v>
      </c>
      <c r="D230" s="129">
        <f t="shared" si="30"/>
        <v>0.4</v>
      </c>
      <c r="E230" s="129">
        <f t="shared" si="30"/>
        <v>0.4</v>
      </c>
      <c r="F230" s="129">
        <f t="shared" si="30"/>
        <v>0.4</v>
      </c>
      <c r="G230" s="129">
        <f t="shared" si="30"/>
        <v>0.4</v>
      </c>
      <c r="H230" s="129">
        <f t="shared" si="30"/>
        <v>0.4</v>
      </c>
      <c r="I230" s="129">
        <f t="shared" si="30"/>
        <v>0.4</v>
      </c>
      <c r="J230" s="129">
        <f t="shared" si="30"/>
        <v>0.4</v>
      </c>
      <c r="K230" s="129">
        <f t="shared" si="30"/>
        <v>0.4</v>
      </c>
      <c r="L230" s="129">
        <f t="shared" si="30"/>
        <v>0.4</v>
      </c>
      <c r="M230" s="129">
        <f t="shared" si="30"/>
        <v>0.4</v>
      </c>
      <c r="N230" s="129">
        <f t="shared" si="30"/>
        <v>0.4</v>
      </c>
      <c r="O230" s="129">
        <f t="shared" si="30"/>
        <v>0.4</v>
      </c>
      <c r="P230" s="129">
        <f t="shared" si="30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29"/>
        <v>0</v>
      </c>
      <c r="C231" s="129">
        <v>1.5</v>
      </c>
      <c r="D231" s="129">
        <f t="shared" si="30"/>
        <v>1.5</v>
      </c>
      <c r="E231" s="129">
        <f t="shared" si="30"/>
        <v>1.5</v>
      </c>
      <c r="F231" s="129">
        <f t="shared" si="30"/>
        <v>1.5</v>
      </c>
      <c r="G231" s="129">
        <f t="shared" si="30"/>
        <v>1.5</v>
      </c>
      <c r="H231" s="129">
        <f t="shared" si="30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30"/>
        <v>123.21900000000009</v>
      </c>
      <c r="K231" s="129">
        <f t="shared" ca="1" si="30"/>
        <v>123.21900000000009</v>
      </c>
      <c r="L231" s="129">
        <f t="shared" ca="1" si="30"/>
        <v>123.21900000000009</v>
      </c>
      <c r="M231" s="129">
        <f t="shared" ca="1" si="30"/>
        <v>119.19900000000008</v>
      </c>
      <c r="N231" s="129">
        <f t="shared" ca="1" si="30"/>
        <v>119.19900000000008</v>
      </c>
      <c r="O231" s="129">
        <f t="shared" ca="1" si="30"/>
        <v>119.19900000000008</v>
      </c>
      <c r="P231" s="129">
        <f t="shared" ca="1" si="30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29"/>
        <v>0</v>
      </c>
      <c r="C232" s="129">
        <v>0.3</v>
      </c>
      <c r="D232" s="129">
        <f t="shared" si="30"/>
        <v>0.3</v>
      </c>
      <c r="E232" s="129">
        <f t="shared" si="30"/>
        <v>0.3</v>
      </c>
      <c r="F232" s="129">
        <f t="shared" si="30"/>
        <v>0.3</v>
      </c>
      <c r="G232" s="129">
        <f t="shared" si="30"/>
        <v>0.3</v>
      </c>
      <c r="H232" s="129">
        <f t="shared" si="30"/>
        <v>0.3</v>
      </c>
      <c r="I232" s="129">
        <f t="shared" si="30"/>
        <v>0.3</v>
      </c>
      <c r="J232" s="129">
        <f t="shared" si="30"/>
        <v>0.3</v>
      </c>
      <c r="K232" s="129">
        <f t="shared" si="30"/>
        <v>0.3</v>
      </c>
      <c r="L232" s="129">
        <f t="shared" si="30"/>
        <v>0.3</v>
      </c>
      <c r="M232" s="129">
        <f t="shared" si="30"/>
        <v>0.3</v>
      </c>
      <c r="N232" s="129">
        <f t="shared" si="30"/>
        <v>0.3</v>
      </c>
      <c r="O232" s="129">
        <f t="shared" si="30"/>
        <v>0.3</v>
      </c>
      <c r="P232" s="129">
        <f t="shared" si="30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29"/>
        <v>0</v>
      </c>
      <c r="C233" s="129">
        <v>0.4</v>
      </c>
      <c r="D233" s="129">
        <f t="shared" si="30"/>
        <v>0.4</v>
      </c>
      <c r="E233" s="129">
        <f t="shared" si="30"/>
        <v>0.4</v>
      </c>
      <c r="F233" s="129">
        <f t="shared" si="30"/>
        <v>0.4</v>
      </c>
      <c r="G233" s="129">
        <f t="shared" si="30"/>
        <v>0.4</v>
      </c>
      <c r="H233" s="129">
        <f t="shared" si="30"/>
        <v>0.4</v>
      </c>
      <c r="I233" s="129">
        <f t="shared" si="30"/>
        <v>0.4</v>
      </c>
      <c r="J233" s="129">
        <f t="shared" si="30"/>
        <v>0.4</v>
      </c>
      <c r="K233" s="129">
        <f t="shared" si="30"/>
        <v>0.4</v>
      </c>
      <c r="L233" s="129">
        <f t="shared" si="30"/>
        <v>0.4</v>
      </c>
      <c r="M233" s="129">
        <f t="shared" si="30"/>
        <v>0.4</v>
      </c>
      <c r="N233" s="129">
        <f t="shared" si="30"/>
        <v>0.4</v>
      </c>
      <c r="O233" s="129">
        <f t="shared" si="30"/>
        <v>0.4</v>
      </c>
      <c r="P233" s="129">
        <f t="shared" si="30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29"/>
        <v>0</v>
      </c>
      <c r="C234" s="133">
        <v>0.64</v>
      </c>
      <c r="D234" s="133">
        <f t="shared" si="30"/>
        <v>0.64</v>
      </c>
      <c r="E234" s="133">
        <f t="shared" si="30"/>
        <v>0.64</v>
      </c>
      <c r="F234" s="133">
        <f t="shared" si="30"/>
        <v>0.64</v>
      </c>
      <c r="G234" s="133">
        <f t="shared" si="30"/>
        <v>0.64</v>
      </c>
      <c r="H234" s="133">
        <f t="shared" si="30"/>
        <v>0.64</v>
      </c>
      <c r="I234" s="133">
        <f t="shared" si="30"/>
        <v>0.64</v>
      </c>
      <c r="J234" s="133">
        <f t="shared" si="30"/>
        <v>0.64</v>
      </c>
      <c r="K234" s="133">
        <f t="shared" si="30"/>
        <v>0.64</v>
      </c>
      <c r="L234" s="133">
        <f t="shared" si="30"/>
        <v>0.64</v>
      </c>
      <c r="M234" s="133">
        <f t="shared" si="30"/>
        <v>0.64</v>
      </c>
      <c r="N234" s="133">
        <f t="shared" si="30"/>
        <v>0.64</v>
      </c>
      <c r="O234" s="133">
        <f t="shared" si="30"/>
        <v>0.64</v>
      </c>
      <c r="P234" s="133">
        <f t="shared" si="30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31">SUM(B229:B234)</f>
        <v>0</v>
      </c>
      <c r="C235" s="137">
        <f t="shared" si="31"/>
        <v>3.54</v>
      </c>
      <c r="D235" s="137">
        <f t="shared" si="31"/>
        <v>3.54</v>
      </c>
      <c r="E235" s="137">
        <f t="shared" si="31"/>
        <v>3.54</v>
      </c>
      <c r="F235" s="137">
        <f t="shared" si="31"/>
        <v>3.54</v>
      </c>
      <c r="G235" s="137">
        <f t="shared" si="31"/>
        <v>3.54</v>
      </c>
      <c r="H235" s="137">
        <f t="shared" si="31"/>
        <v>3.54</v>
      </c>
      <c r="I235" s="137">
        <f t="shared" ca="1" si="31"/>
        <v>121.23900000000009</v>
      </c>
      <c r="J235" s="137">
        <f t="shared" ca="1" si="31"/>
        <v>121.23900000000009</v>
      </c>
      <c r="K235" s="137">
        <f t="shared" ca="1" si="31"/>
        <v>121.23900000000009</v>
      </c>
      <c r="L235" s="137">
        <f t="shared" ca="1" si="31"/>
        <v>125.2590000000001</v>
      </c>
      <c r="M235" s="137">
        <f t="shared" ca="1" si="31"/>
        <v>121.23900000000009</v>
      </c>
      <c r="N235" s="137">
        <f t="shared" ca="1" si="31"/>
        <v>121.23900000000009</v>
      </c>
      <c r="O235" s="137">
        <f t="shared" ca="1" si="31"/>
        <v>121.23900000000009</v>
      </c>
      <c r="P235" s="137">
        <f t="shared" ca="1" si="31"/>
        <v>121.23900000000009</v>
      </c>
      <c r="Q235" s="137">
        <f t="shared" si="31"/>
        <v>0</v>
      </c>
      <c r="R235" s="137">
        <f t="shared" si="31"/>
        <v>0</v>
      </c>
      <c r="S235" s="137">
        <f t="shared" si="31"/>
        <v>0</v>
      </c>
      <c r="T235" s="137">
        <f t="shared" si="31"/>
        <v>0</v>
      </c>
      <c r="U235" s="137">
        <f t="shared" si="31"/>
        <v>0</v>
      </c>
      <c r="V235" s="137">
        <f t="shared" si="31"/>
        <v>0</v>
      </c>
      <c r="W235" s="137">
        <f t="shared" si="31"/>
        <v>0</v>
      </c>
      <c r="X235" s="137">
        <f t="shared" si="31"/>
        <v>0</v>
      </c>
      <c r="Y235" s="137">
        <f t="shared" si="31"/>
        <v>0</v>
      </c>
      <c r="Z235" s="137">
        <f t="shared" si="31"/>
        <v>0</v>
      </c>
      <c r="AA235" s="137">
        <f t="shared" si="31"/>
        <v>0</v>
      </c>
      <c r="AB235" s="137">
        <f t="shared" si="31"/>
        <v>0</v>
      </c>
      <c r="AC235" s="137">
        <f t="shared" si="31"/>
        <v>0</v>
      </c>
      <c r="AD235" s="137">
        <f t="shared" si="31"/>
        <v>0</v>
      </c>
      <c r="AE235" s="137">
        <f t="shared" si="31"/>
        <v>0</v>
      </c>
      <c r="AF235" s="137">
        <f t="shared" si="31"/>
        <v>0</v>
      </c>
      <c r="AG235" s="146">
        <f t="shared" si="31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 t="e">
        <f>MAX(G91:N91)</f>
        <v>#REF!</v>
      </c>
      <c r="C244" s="162" t="e">
        <f>INDEX(G9:N9,1,MATCH(MAX(G91:N91),G91:N91,0))</f>
        <v>#REF!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28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2080/03/28)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2080/03/28)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32">B91</f>
        <v>1997.7400000000002</v>
      </c>
      <c r="U249" s="171">
        <f t="shared" si="32"/>
        <v>1971.8400000000001</v>
      </c>
      <c r="V249" s="171">
        <f t="shared" si="32"/>
        <v>1938.7400000000002</v>
      </c>
      <c r="W249" s="171">
        <f t="shared" si="32"/>
        <v>1901.04</v>
      </c>
      <c r="X249" s="171">
        <f t="shared" si="32"/>
        <v>1842.54</v>
      </c>
      <c r="Y249" s="171">
        <f t="shared" si="32"/>
        <v>1166.3399999999999</v>
      </c>
      <c r="Z249" s="171">
        <f t="shared" si="32"/>
        <v>912.14</v>
      </c>
      <c r="AA249" s="171" t="e">
        <f t="shared" si="32"/>
        <v>#REF!</v>
      </c>
      <c r="AB249" s="171">
        <f t="shared" si="32"/>
        <v>1885.1399999999999</v>
      </c>
      <c r="AC249" s="171">
        <f t="shared" si="32"/>
        <v>1866.5000000000002</v>
      </c>
      <c r="AD249" s="171">
        <f t="shared" si="32"/>
        <v>1862.24</v>
      </c>
      <c r="AE249" s="171">
        <f t="shared" si="32"/>
        <v>1956.8400000000001</v>
      </c>
      <c r="AF249" s="171">
        <f t="shared" si="32"/>
        <v>2017.84</v>
      </c>
      <c r="AG249" s="171">
        <f t="shared" si="32"/>
        <v>1989.34</v>
      </c>
      <c r="AH249" s="171">
        <f t="shared" si="32"/>
        <v>1965.04</v>
      </c>
      <c r="AI249" s="171">
        <f t="shared" si="32"/>
        <v>1963.94</v>
      </c>
      <c r="AJ249" s="171">
        <f t="shared" si="32"/>
        <v>1943.3400000000001</v>
      </c>
      <c r="AK249" s="171">
        <f t="shared" si="32"/>
        <v>1913.14</v>
      </c>
      <c r="AL249" s="171">
        <f t="shared" si="32"/>
        <v>2025.54</v>
      </c>
      <c r="AM249" s="171">
        <f t="shared" si="32"/>
        <v>2021.0400000000002</v>
      </c>
      <c r="AN249" s="171">
        <f t="shared" si="32"/>
        <v>2021.0400000000002</v>
      </c>
      <c r="AO249" s="171">
        <f t="shared" si="32"/>
        <v>1928.44</v>
      </c>
      <c r="AP249" s="171">
        <f t="shared" si="32"/>
        <v>1862.24</v>
      </c>
      <c r="AQ249" s="171">
        <f t="shared" si="32"/>
        <v>1839.38</v>
      </c>
      <c r="AR249" s="171">
        <f t="shared" si="32"/>
        <v>1839.38</v>
      </c>
      <c r="AS249" s="171">
        <f t="shared" si="32"/>
        <v>1952.6399999999999</v>
      </c>
      <c r="AT249" s="171">
        <f t="shared" si="32"/>
        <v>1960.3400000000001</v>
      </c>
      <c r="AU249" s="171">
        <f t="shared" si="32"/>
        <v>1961.3400000000001</v>
      </c>
      <c r="AV249" s="171">
        <f t="shared" si="32"/>
        <v>1932.3400000000001</v>
      </c>
      <c r="AW249" s="171">
        <f t="shared" si="32"/>
        <v>1893.3400000000001</v>
      </c>
      <c r="AX249" s="171">
        <f t="shared" si="32"/>
        <v>1889.24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33">C234</f>
        <v>0.64</v>
      </c>
      <c r="C270" s="174">
        <f t="shared" si="33"/>
        <v>0.64</v>
      </c>
      <c r="D270" s="174">
        <f t="shared" si="33"/>
        <v>0.64</v>
      </c>
      <c r="E270" s="174">
        <f t="shared" si="33"/>
        <v>0.64</v>
      </c>
      <c r="F270" s="174">
        <f t="shared" si="33"/>
        <v>0.64</v>
      </c>
      <c r="G270" s="174">
        <f t="shared" si="33"/>
        <v>0.64</v>
      </c>
      <c r="H270" s="174">
        <f t="shared" si="33"/>
        <v>0.64</v>
      </c>
      <c r="I270" s="174">
        <f t="shared" si="33"/>
        <v>0.64</v>
      </c>
      <c r="J270" s="174">
        <f t="shared" si="33"/>
        <v>0.64</v>
      </c>
      <c r="K270" s="174">
        <f t="shared" si="33"/>
        <v>0.64</v>
      </c>
      <c r="L270" s="174">
        <f t="shared" si="33"/>
        <v>0.64</v>
      </c>
      <c r="M270" s="174">
        <f t="shared" si="33"/>
        <v>0.64</v>
      </c>
      <c r="N270" s="174">
        <f t="shared" si="33"/>
        <v>0.64</v>
      </c>
      <c r="O270" s="174">
        <f t="shared" si="33"/>
        <v>0.64</v>
      </c>
      <c r="P270" s="174">
        <f t="shared" si="33"/>
        <v>0</v>
      </c>
      <c r="Q270" s="174">
        <f t="shared" si="33"/>
        <v>0</v>
      </c>
      <c r="R270" s="174">
        <f t="shared" si="33"/>
        <v>0</v>
      </c>
      <c r="S270" s="174">
        <f t="shared" si="33"/>
        <v>0</v>
      </c>
      <c r="T270" s="174">
        <f t="shared" si="33"/>
        <v>0</v>
      </c>
      <c r="U270" s="174">
        <f t="shared" si="33"/>
        <v>0</v>
      </c>
      <c r="V270" s="174">
        <f t="shared" si="33"/>
        <v>0</v>
      </c>
      <c r="W270" s="174">
        <f t="shared" si="33"/>
        <v>0</v>
      </c>
      <c r="X270" s="174">
        <f t="shared" si="33"/>
        <v>0</v>
      </c>
      <c r="Y270" s="174">
        <f t="shared" si="33"/>
        <v>0</v>
      </c>
      <c r="Z270" s="174">
        <f t="shared" si="33"/>
        <v>0</v>
      </c>
      <c r="AA270" s="174">
        <f t="shared" si="33"/>
        <v>0</v>
      </c>
      <c r="AB270" s="174">
        <f t="shared" si="33"/>
        <v>0</v>
      </c>
      <c r="AC270" s="174">
        <f t="shared" si="33"/>
        <v>0</v>
      </c>
      <c r="AD270" s="174">
        <f t="shared" si="33"/>
        <v>0</v>
      </c>
      <c r="AE270" s="174">
        <f t="shared" si="33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34">IF(B238&lt;100,"",B238-520)</f>
        <v/>
      </c>
      <c r="C271" s="175" t="str">
        <f t="shared" si="34"/>
        <v/>
      </c>
      <c r="D271" s="175" t="str">
        <f t="shared" si="34"/>
        <v/>
      </c>
      <c r="E271" s="175" t="str">
        <f t="shared" si="34"/>
        <v/>
      </c>
      <c r="F271" s="175" t="str">
        <f t="shared" si="34"/>
        <v/>
      </c>
      <c r="G271" s="175" t="str">
        <f t="shared" si="34"/>
        <v/>
      </c>
      <c r="H271" s="175" t="str">
        <f t="shared" si="34"/>
        <v/>
      </c>
      <c r="I271" s="175" t="str">
        <f t="shared" si="34"/>
        <v/>
      </c>
      <c r="J271" s="175" t="str">
        <f t="shared" si="34"/>
        <v/>
      </c>
      <c r="K271" s="175" t="str">
        <f t="shared" si="34"/>
        <v/>
      </c>
      <c r="L271" s="175" t="str">
        <f t="shared" si="34"/>
        <v/>
      </c>
      <c r="M271" s="175" t="str">
        <f t="shared" si="34"/>
        <v/>
      </c>
      <c r="N271" s="175" t="str">
        <f t="shared" si="34"/>
        <v/>
      </c>
      <c r="O271" s="175" t="str">
        <f t="shared" si="34"/>
        <v/>
      </c>
      <c r="P271" s="175" t="str">
        <f t="shared" si="34"/>
        <v/>
      </c>
      <c r="Q271" s="175" t="str">
        <f t="shared" si="34"/>
        <v/>
      </c>
      <c r="R271" s="175" t="str">
        <f t="shared" si="34"/>
        <v/>
      </c>
      <c r="S271" s="175" t="str">
        <f t="shared" si="34"/>
        <v/>
      </c>
      <c r="T271" s="175" t="str">
        <f t="shared" si="34"/>
        <v/>
      </c>
      <c r="U271" s="175" t="str">
        <f t="shared" si="34"/>
        <v/>
      </c>
      <c r="V271" s="175" t="str">
        <f t="shared" si="34"/>
        <v/>
      </c>
      <c r="W271" s="175" t="str">
        <f t="shared" si="34"/>
        <v/>
      </c>
      <c r="X271" s="175" t="str">
        <f t="shared" si="34"/>
        <v/>
      </c>
      <c r="Y271" s="175" t="str">
        <f t="shared" si="34"/>
        <v/>
      </c>
      <c r="Z271" s="175" t="str">
        <f t="shared" si="34"/>
        <v/>
      </c>
      <c r="AA271" s="175" t="str">
        <f t="shared" si="34"/>
        <v/>
      </c>
      <c r="AB271" s="175" t="str">
        <f t="shared" si="34"/>
        <v/>
      </c>
      <c r="AC271" s="175" t="str">
        <f t="shared" si="34"/>
        <v/>
      </c>
      <c r="AD271" s="175" t="str">
        <f t="shared" si="34"/>
        <v/>
      </c>
      <c r="AE271" s="175" t="str">
        <f t="shared" si="34"/>
        <v/>
      </c>
      <c r="AF271" s="175" t="str">
        <f t="shared" si="34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35">IF(B239&lt;100,"",B239-620)</f>
        <v/>
      </c>
      <c r="C272" s="175" t="str">
        <f t="shared" si="35"/>
        <v/>
      </c>
      <c r="D272" s="175" t="str">
        <f t="shared" si="35"/>
        <v/>
      </c>
      <c r="E272" s="175" t="str">
        <f t="shared" si="35"/>
        <v/>
      </c>
      <c r="F272" s="175" t="str">
        <f t="shared" si="35"/>
        <v/>
      </c>
      <c r="G272" s="175" t="str">
        <f t="shared" si="35"/>
        <v/>
      </c>
      <c r="H272" s="175" t="str">
        <f t="shared" si="35"/>
        <v/>
      </c>
      <c r="I272" s="175" t="str">
        <f t="shared" si="35"/>
        <v/>
      </c>
      <c r="J272" s="175" t="str">
        <f t="shared" si="35"/>
        <v/>
      </c>
      <c r="K272" s="175" t="str">
        <f t="shared" si="35"/>
        <v/>
      </c>
      <c r="L272" s="175" t="str">
        <f t="shared" si="35"/>
        <v/>
      </c>
      <c r="M272" s="175" t="str">
        <f t="shared" si="35"/>
        <v/>
      </c>
      <c r="N272" s="175" t="str">
        <f t="shared" si="35"/>
        <v/>
      </c>
      <c r="O272" s="175" t="str">
        <f t="shared" si="35"/>
        <v/>
      </c>
      <c r="P272" s="175" t="str">
        <f t="shared" si="35"/>
        <v/>
      </c>
      <c r="Q272" s="175" t="str">
        <f t="shared" si="35"/>
        <v/>
      </c>
      <c r="R272" s="175" t="str">
        <f t="shared" si="35"/>
        <v/>
      </c>
      <c r="S272" s="175" t="str">
        <f t="shared" si="35"/>
        <v/>
      </c>
      <c r="T272" s="175" t="str">
        <f t="shared" si="35"/>
        <v/>
      </c>
      <c r="U272" s="175" t="str">
        <f t="shared" si="35"/>
        <v/>
      </c>
      <c r="V272" s="175" t="str">
        <f t="shared" si="35"/>
        <v/>
      </c>
      <c r="W272" s="175" t="str">
        <f t="shared" si="35"/>
        <v/>
      </c>
      <c r="X272" s="175" t="str">
        <f t="shared" si="35"/>
        <v/>
      </c>
      <c r="Y272" s="175" t="str">
        <f t="shared" si="35"/>
        <v/>
      </c>
      <c r="Z272" s="175" t="str">
        <f t="shared" si="35"/>
        <v/>
      </c>
      <c r="AA272" s="175" t="str">
        <f t="shared" si="35"/>
        <v/>
      </c>
      <c r="AB272" s="175" t="str">
        <f t="shared" si="35"/>
        <v/>
      </c>
      <c r="AC272" s="175" t="str">
        <f t="shared" si="35"/>
        <v/>
      </c>
      <c r="AD272" s="175" t="str">
        <f t="shared" si="35"/>
        <v/>
      </c>
      <c r="AE272" s="175" t="str">
        <f t="shared" si="35"/>
        <v/>
      </c>
      <c r="AF272" s="175" t="str">
        <f t="shared" si="35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36">IF(B240&lt;100,"",B240-330)</f>
        <v/>
      </c>
      <c r="C273" s="175" t="str">
        <f t="shared" si="36"/>
        <v/>
      </c>
      <c r="D273" s="175" t="str">
        <f t="shared" si="36"/>
        <v/>
      </c>
      <c r="E273" s="175" t="str">
        <f t="shared" si="36"/>
        <v/>
      </c>
      <c r="F273" s="175" t="str">
        <f t="shared" si="36"/>
        <v/>
      </c>
      <c r="G273" s="175" t="str">
        <f t="shared" si="36"/>
        <v/>
      </c>
      <c r="H273" s="175" t="str">
        <f t="shared" si="36"/>
        <v/>
      </c>
      <c r="I273" s="175" t="str">
        <f t="shared" si="36"/>
        <v/>
      </c>
      <c r="J273" s="175" t="str">
        <f t="shared" si="36"/>
        <v/>
      </c>
      <c r="K273" s="175" t="str">
        <f t="shared" si="36"/>
        <v/>
      </c>
      <c r="L273" s="175" t="str">
        <f t="shared" si="36"/>
        <v/>
      </c>
      <c r="M273" s="175" t="str">
        <f t="shared" si="36"/>
        <v/>
      </c>
      <c r="N273" s="175" t="str">
        <f t="shared" si="36"/>
        <v/>
      </c>
      <c r="O273" s="175" t="str">
        <f t="shared" si="36"/>
        <v/>
      </c>
      <c r="P273" s="175" t="str">
        <f t="shared" si="36"/>
        <v/>
      </c>
      <c r="Q273" s="175" t="str">
        <f t="shared" si="36"/>
        <v/>
      </c>
      <c r="R273" s="175" t="str">
        <f t="shared" si="36"/>
        <v/>
      </c>
      <c r="S273" s="175" t="str">
        <f t="shared" si="36"/>
        <v/>
      </c>
      <c r="T273" s="175" t="str">
        <f t="shared" si="36"/>
        <v/>
      </c>
      <c r="U273" s="175" t="str">
        <f t="shared" si="36"/>
        <v/>
      </c>
      <c r="V273" s="175" t="str">
        <f t="shared" si="36"/>
        <v/>
      </c>
      <c r="W273" s="175" t="str">
        <f t="shared" si="36"/>
        <v/>
      </c>
      <c r="X273" s="175" t="str">
        <f t="shared" si="36"/>
        <v/>
      </c>
      <c r="Y273" s="175" t="str">
        <f t="shared" si="36"/>
        <v/>
      </c>
      <c r="Z273" s="175" t="str">
        <f t="shared" si="36"/>
        <v/>
      </c>
      <c r="AA273" s="175" t="str">
        <f t="shared" si="36"/>
        <v/>
      </c>
      <c r="AB273" s="175" t="str">
        <f t="shared" si="36"/>
        <v/>
      </c>
      <c r="AC273" s="175" t="str">
        <f t="shared" si="36"/>
        <v/>
      </c>
      <c r="AD273" s="175" t="str">
        <f t="shared" si="36"/>
        <v/>
      </c>
      <c r="AE273" s="175" t="str">
        <f t="shared" si="36"/>
        <v/>
      </c>
      <c r="AF273" s="175" t="str">
        <f t="shared" si="36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37">IF(B241&lt;100,"",B241-1500)</f>
        <v/>
      </c>
      <c r="C274" s="175" t="str">
        <f t="shared" si="37"/>
        <v/>
      </c>
      <c r="D274" s="175" t="str">
        <f t="shared" si="37"/>
        <v/>
      </c>
      <c r="E274" s="175" t="str">
        <f t="shared" si="37"/>
        <v/>
      </c>
      <c r="F274" s="175" t="str">
        <f t="shared" si="37"/>
        <v/>
      </c>
      <c r="G274" s="175" t="str">
        <f t="shared" si="37"/>
        <v/>
      </c>
      <c r="H274" s="175" t="str">
        <f t="shared" si="37"/>
        <v/>
      </c>
      <c r="I274" s="175" t="str">
        <f t="shared" si="37"/>
        <v/>
      </c>
      <c r="J274" s="175" t="str">
        <f t="shared" si="37"/>
        <v/>
      </c>
      <c r="K274" s="175" t="str">
        <f t="shared" si="37"/>
        <v/>
      </c>
      <c r="L274" s="175" t="str">
        <f t="shared" si="37"/>
        <v/>
      </c>
      <c r="M274" s="175" t="str">
        <f t="shared" si="37"/>
        <v/>
      </c>
      <c r="N274" s="175" t="str">
        <f t="shared" si="37"/>
        <v/>
      </c>
      <c r="O274" s="175" t="str">
        <f t="shared" si="37"/>
        <v/>
      </c>
      <c r="P274" s="175" t="str">
        <f t="shared" si="37"/>
        <v/>
      </c>
      <c r="Q274" s="175" t="str">
        <f t="shared" si="37"/>
        <v/>
      </c>
      <c r="R274" s="175" t="str">
        <f t="shared" si="37"/>
        <v/>
      </c>
      <c r="S274" s="175" t="str">
        <f t="shared" si="37"/>
        <v/>
      </c>
      <c r="T274" s="175" t="str">
        <f t="shared" si="37"/>
        <v/>
      </c>
      <c r="U274" s="175" t="str">
        <f t="shared" si="37"/>
        <v/>
      </c>
      <c r="V274" s="175" t="str">
        <f t="shared" si="37"/>
        <v/>
      </c>
      <c r="W274" s="175" t="str">
        <f t="shared" si="37"/>
        <v/>
      </c>
      <c r="X274" s="175" t="str">
        <f t="shared" si="37"/>
        <v/>
      </c>
      <c r="Y274" s="175" t="str">
        <f t="shared" si="37"/>
        <v/>
      </c>
      <c r="Z274" s="175" t="str">
        <f t="shared" si="37"/>
        <v/>
      </c>
      <c r="AA274" s="175" t="str">
        <f t="shared" si="37"/>
        <v/>
      </c>
      <c r="AB274" s="175" t="str">
        <f t="shared" si="37"/>
        <v/>
      </c>
      <c r="AC274" s="175" t="str">
        <f t="shared" si="37"/>
        <v/>
      </c>
      <c r="AD274" s="175" t="str">
        <f t="shared" si="37"/>
        <v/>
      </c>
      <c r="AE274" s="175" t="str">
        <f t="shared" si="37"/>
        <v/>
      </c>
      <c r="AF274" s="175" t="str">
        <f t="shared" si="37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53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33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88:H88 J88:AF88 I88:I89 E111:AF111 E113:AF119 F12:AF12 F14:AF17">
    <cfRule type="expression" dxfId="5461" priority="529">
      <formula>B$9&gt;=20/24</formula>
    </cfRule>
    <cfRule type="expression" dxfId="5460" priority="530">
      <formula>AND(B$9&gt;=14/24,B$9&lt;20/24)</formula>
    </cfRule>
    <cfRule type="expression" dxfId="5459" priority="531">
      <formula>AND(B$9&gt;=8/24,B$9&lt;14/24)</formula>
    </cfRule>
    <cfRule type="expression" dxfId="5458" priority="532">
      <formula>B$9&lt;8/24</formula>
    </cfRule>
  </conditionalFormatting>
  <conditionalFormatting sqref="AL4:AL6">
    <cfRule type="iconSet" priority="528">
      <iconSet iconSet="3TrafficLights2" reverse="1">
        <cfvo type="percent" val="0"/>
        <cfvo type="num" val="1"/>
        <cfvo type="num" val="1"/>
      </iconSet>
    </cfRule>
  </conditionalFormatting>
  <conditionalFormatting sqref="AG67 F12:AF12 F14:AF17">
    <cfRule type="expression" dxfId="5457" priority="527">
      <formula>F12&gt;$AG12</formula>
    </cfRule>
  </conditionalFormatting>
  <conditionalFormatting sqref="A101:A111 A61:A88 A97:A99 A205:A235 A48:A59 A121:A192 A43:A44 A93:A95 A90:A91 A113:A115 A40:A41 A21:A22 A24:A34 A19 A36:A38 A12:A17">
    <cfRule type="expression" dxfId="5456" priority="526">
      <formula>$AH12=0</formula>
    </cfRule>
  </conditionalFormatting>
  <conditionalFormatting sqref="A116">
    <cfRule type="expression" dxfId="5455" priority="525">
      <formula>$AH116=0</formula>
    </cfRule>
  </conditionalFormatting>
  <conditionalFormatting sqref="AL44">
    <cfRule type="iconSet" priority="524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5454" priority="523">
      <formula>$AH47=0</formula>
    </cfRule>
  </conditionalFormatting>
  <conditionalFormatting sqref="A100">
    <cfRule type="expression" dxfId="5453" priority="522">
      <formula>$AH100=0</formula>
    </cfRule>
  </conditionalFormatting>
  <conditionalFormatting sqref="A20">
    <cfRule type="expression" dxfId="5452" priority="521">
      <formula>$AH20=0</formula>
    </cfRule>
  </conditionalFormatting>
  <conditionalFormatting sqref="A199:A204">
    <cfRule type="expression" dxfId="5451" priority="520">
      <formula>$AH199=0</formula>
    </cfRule>
  </conditionalFormatting>
  <conditionalFormatting sqref="A193:A198">
    <cfRule type="expression" dxfId="5450" priority="519">
      <formula>$AH193=0</formula>
    </cfRule>
  </conditionalFormatting>
  <conditionalFormatting sqref="A60">
    <cfRule type="expression" dxfId="5449" priority="518">
      <formula>$AH60=0</formula>
    </cfRule>
  </conditionalFormatting>
  <conditionalFormatting sqref="A96">
    <cfRule type="expression" dxfId="5448" priority="517">
      <formula>$AH96=0</formula>
    </cfRule>
  </conditionalFormatting>
  <conditionalFormatting sqref="AD101:AF101 E101:Y101">
    <cfRule type="expression" dxfId="5447" priority="513">
      <formula>E$9&gt;=20/24</formula>
    </cfRule>
    <cfRule type="expression" dxfId="5446" priority="514">
      <formula>AND(E$9&gt;=14/24,E$9&lt;20/24)</formula>
    </cfRule>
    <cfRule type="expression" dxfId="5445" priority="515">
      <formula>AND(E$9&gt;=8/24,E$9&lt;14/24)</formula>
    </cfRule>
    <cfRule type="expression" dxfId="5444" priority="516">
      <formula>E$9&lt;8/24</formula>
    </cfRule>
  </conditionalFormatting>
  <conditionalFormatting sqref="AL45">
    <cfRule type="iconSet" priority="51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443" priority="535">
      <formula>C$9&gt;=20/24</formula>
    </cfRule>
    <cfRule type="expression" dxfId="5442" priority="536">
      <formula>AND(C$9&gt;=14/24,C$9&lt;20/24)</formula>
    </cfRule>
    <cfRule type="expression" dxfId="5441" priority="537">
      <formula>AND(C$9&gt;=8/24,C$9&lt;14/24)</formula>
    </cfRule>
    <cfRule type="expression" dxfId="5440" priority="538">
      <formula>C$9&lt;8/24</formula>
    </cfRule>
  </conditionalFormatting>
  <conditionalFormatting sqref="A236">
    <cfRule type="expression" dxfId="5439" priority="539">
      <formula>$AH236=0</formula>
    </cfRule>
  </conditionalFormatting>
  <conditionalFormatting sqref="AG248">
    <cfRule type="expression" dxfId="5438" priority="540">
      <formula>B$9&gt;=20/24</formula>
    </cfRule>
    <cfRule type="expression" dxfId="5437" priority="541">
      <formula>AND(B$9&gt;=14/24,B$9&lt;20/24)</formula>
    </cfRule>
    <cfRule type="expression" dxfId="5436" priority="542">
      <formula>AND(B$9&gt;=8/24,B$9&lt;14/24)</formula>
    </cfRule>
    <cfRule type="expression" dxfId="5435" priority="543">
      <formula>B$9&lt;8/24</formula>
    </cfRule>
  </conditionalFormatting>
  <conditionalFormatting sqref="S8">
    <cfRule type="expression" dxfId="5434" priority="508">
      <formula>U$9&gt;=20/24</formula>
    </cfRule>
    <cfRule type="expression" dxfId="5433" priority="509">
      <formula>AND(U$9&gt;=14/24,U$9&lt;20/24)</formula>
    </cfRule>
    <cfRule type="expression" dxfId="5432" priority="510">
      <formula>AND(U$9&gt;=8/24,U$9&lt;14/24)</formula>
    </cfRule>
    <cfRule type="expression" dxfId="5431" priority="511">
      <formula>U$9&lt;8/24</formula>
    </cfRule>
  </conditionalFormatting>
  <conditionalFormatting sqref="AB8">
    <cfRule type="expression" dxfId="5430" priority="504">
      <formula>AD$9&gt;=20/24</formula>
    </cfRule>
    <cfRule type="expression" dxfId="5429" priority="505">
      <formula>AND(AD$9&gt;=14/24,AD$9&lt;20/24)</formula>
    </cfRule>
    <cfRule type="expression" dxfId="5428" priority="506">
      <formula>AND(AD$9&gt;=8/24,AD$9&lt;14/24)</formula>
    </cfRule>
    <cfRule type="expression" dxfId="5427" priority="507">
      <formula>AD$9&lt;8/24</formula>
    </cfRule>
  </conditionalFormatting>
  <conditionalFormatting sqref="AH248:AX248">
    <cfRule type="expression" dxfId="5426" priority="544">
      <formula>AG$9&gt;=20/24</formula>
    </cfRule>
    <cfRule type="expression" dxfId="5425" priority="545">
      <formula>AND(AG$9&gt;=14/24,AG$9&lt;20/24)</formula>
    </cfRule>
    <cfRule type="expression" dxfId="5424" priority="546">
      <formula>AND(AG$9&gt;=8/24,AG$9&lt;14/24)</formula>
    </cfRule>
    <cfRule type="expression" dxfId="5423" priority="547">
      <formula>AG$9&lt;8/24</formula>
    </cfRule>
  </conditionalFormatting>
  <conditionalFormatting sqref="T248">
    <cfRule type="expression" dxfId="5422" priority="548">
      <formula>AX$9&gt;=20/24</formula>
    </cfRule>
    <cfRule type="expression" dxfId="5421" priority="549">
      <formula>AND(AX$9&gt;=14/24,AX$9&lt;20/24)</formula>
    </cfRule>
    <cfRule type="expression" dxfId="5420" priority="550">
      <formula>AND(AX$9&gt;=8/24,AX$9&lt;14/24)</formula>
    </cfRule>
    <cfRule type="expression" dxfId="5419" priority="551">
      <formula>AX$9&lt;8/24</formula>
    </cfRule>
  </conditionalFormatting>
  <conditionalFormatting sqref="A117:A119">
    <cfRule type="expression" dxfId="5418" priority="503">
      <formula>$AH117=0</formula>
    </cfRule>
  </conditionalFormatting>
  <conditionalFormatting sqref="AF73 F73:AD73">
    <cfRule type="expression" dxfId="5417" priority="499">
      <formula>F$9&gt;=20/24</formula>
    </cfRule>
    <cfRule type="expression" dxfId="5416" priority="500">
      <formula>AND(F$9&gt;=14/24,F$9&lt;20/24)</formula>
    </cfRule>
    <cfRule type="expression" dxfId="5415" priority="501">
      <formula>AND(F$9&gt;=8/24,F$9&lt;14/24)</formula>
    </cfRule>
    <cfRule type="expression" dxfId="5414" priority="502">
      <formula>F$9&lt;8/24</formula>
    </cfRule>
  </conditionalFormatting>
  <conditionalFormatting sqref="X98:AF98 AE102:AF102 X49:AF49 AF74:AF75 M102:Y108 F74:AD75 AF103:AF108 AA69:AF71">
    <cfRule type="expression" dxfId="5413" priority="490">
      <formula>F$9&gt;=20/24</formula>
    </cfRule>
    <cfRule type="expression" dxfId="5412" priority="491">
      <formula>AND(F$9&gt;=14/24,F$9&lt;20/24)</formula>
    </cfRule>
    <cfRule type="expression" dxfId="5411" priority="492">
      <formula>AND(F$9&gt;=8/24,F$9&lt;14/24)</formula>
    </cfRule>
    <cfRule type="expression" dxfId="5410" priority="493">
      <formula>F$9&lt;8/24</formula>
    </cfRule>
  </conditionalFormatting>
  <conditionalFormatting sqref="X49:AF49 AA69:AF71">
    <cfRule type="expression" dxfId="5409" priority="489">
      <formula>X49&gt;$AG49</formula>
    </cfRule>
  </conditionalFormatting>
  <conditionalFormatting sqref="T55:AF60">
    <cfRule type="expression" dxfId="5408" priority="485">
      <formula>T$9&gt;=20/24</formula>
    </cfRule>
    <cfRule type="expression" dxfId="5407" priority="486">
      <formula>AND(T$9&gt;=14/24,T$9&lt;20/24)</formula>
    </cfRule>
    <cfRule type="expression" dxfId="5406" priority="487">
      <formula>AND(T$9&gt;=8/24,T$9&lt;14/24)</formula>
    </cfRule>
    <cfRule type="expression" dxfId="5405" priority="488">
      <formula>T$9&lt;8/24</formula>
    </cfRule>
  </conditionalFormatting>
  <conditionalFormatting sqref="T55:AF60">
    <cfRule type="expression" dxfId="5404" priority="484">
      <formula>T55&gt;$AG55</formula>
    </cfRule>
  </conditionalFormatting>
  <conditionalFormatting sqref="C99:AF99 D90:AF90">
    <cfRule type="expression" dxfId="5403" priority="480">
      <formula>C$9&gt;=20/24</formula>
    </cfRule>
    <cfRule type="expression" dxfId="5402" priority="481">
      <formula>AND(C$9&gt;=14/24,C$9&lt;20/24)</formula>
    </cfRule>
    <cfRule type="expression" dxfId="5401" priority="482">
      <formula>AND(C$9&gt;=8/24,C$9&lt;14/24)</formula>
    </cfRule>
    <cfRule type="expression" dxfId="5400" priority="483">
      <formula>C$9&lt;8/24</formula>
    </cfRule>
  </conditionalFormatting>
  <conditionalFormatting sqref="T49:W49">
    <cfRule type="expression" dxfId="5399" priority="476">
      <formula>T$9&gt;=20/24</formula>
    </cfRule>
    <cfRule type="expression" dxfId="5398" priority="477">
      <formula>AND(T$9&gt;=14/24,T$9&lt;20/24)</formula>
    </cfRule>
    <cfRule type="expression" dxfId="5397" priority="478">
      <formula>AND(T$9&gt;=8/24,T$9&lt;14/24)</formula>
    </cfRule>
    <cfRule type="expression" dxfId="5396" priority="479">
      <formula>T$9&lt;8/24</formula>
    </cfRule>
  </conditionalFormatting>
  <conditionalFormatting sqref="T49:W49">
    <cfRule type="expression" dxfId="5395" priority="475">
      <formula>T49&gt;$AG49</formula>
    </cfRule>
  </conditionalFormatting>
  <conditionalFormatting sqref="G56:S57">
    <cfRule type="expression" dxfId="5394" priority="471">
      <formula>G$9&gt;=20/24</formula>
    </cfRule>
    <cfRule type="expression" dxfId="5393" priority="472">
      <formula>AND(G$9&gt;=14/24,G$9&lt;20/24)</formula>
    </cfRule>
    <cfRule type="expression" dxfId="5392" priority="473">
      <formula>AND(G$9&gt;=8/24,G$9&lt;14/24)</formula>
    </cfRule>
    <cfRule type="expression" dxfId="5391" priority="474">
      <formula>G$9&lt;8/24</formula>
    </cfRule>
  </conditionalFormatting>
  <conditionalFormatting sqref="G55:S55">
    <cfRule type="expression" dxfId="5390" priority="467">
      <formula>G$9&gt;=20/24</formula>
    </cfRule>
    <cfRule type="expression" dxfId="5389" priority="468">
      <formula>AND(G$9&gt;=14/24,G$9&lt;20/24)</formula>
    </cfRule>
    <cfRule type="expression" dxfId="5388" priority="469">
      <formula>AND(G$9&gt;=8/24,G$9&lt;14/24)</formula>
    </cfRule>
    <cfRule type="expression" dxfId="5387" priority="470">
      <formula>G$9&lt;8/24</formula>
    </cfRule>
  </conditionalFormatting>
  <conditionalFormatting sqref="G55:S57">
    <cfRule type="expression" dxfId="5386" priority="466">
      <formula>G55&gt;$AG55</formula>
    </cfRule>
  </conditionalFormatting>
  <conditionalFormatting sqref="AG72 AG89 L102:L108 E102:K102 F103:K108">
    <cfRule type="expression" dxfId="5385" priority="462">
      <formula>E$9&gt;=20/24</formula>
    </cfRule>
    <cfRule type="expression" dxfId="5384" priority="463">
      <formula>AND(E$9&gt;=14/24,E$9&lt;20/24)</formula>
    </cfRule>
    <cfRule type="expression" dxfId="5383" priority="464">
      <formula>AND(E$9&gt;=8/24,E$9&lt;14/24)</formula>
    </cfRule>
    <cfRule type="expression" dxfId="5382" priority="465">
      <formula>E$9&lt;8/24</formula>
    </cfRule>
  </conditionalFormatting>
  <conditionalFormatting sqref="AG50 AG68 AG72">
    <cfRule type="expression" dxfId="5381" priority="461">
      <formula>AG50&gt;$AG50</formula>
    </cfRule>
  </conditionalFormatting>
  <conditionalFormatting sqref="A45">
    <cfRule type="expression" dxfId="5380" priority="455">
      <formula>$AH45=0</formula>
    </cfRule>
  </conditionalFormatting>
  <conditionalFormatting sqref="X93:AF97">
    <cfRule type="expression" dxfId="5379" priority="451">
      <formula>X$9&gt;=20/24</formula>
    </cfRule>
    <cfRule type="expression" dxfId="5378" priority="452">
      <formula>AND(X$9&gt;=14/24,X$9&lt;20/24)</formula>
    </cfRule>
    <cfRule type="expression" dxfId="5377" priority="453">
      <formula>AND(X$9&gt;=8/24,X$9&lt;14/24)</formula>
    </cfRule>
    <cfRule type="expression" dxfId="5376" priority="454">
      <formula>X$9&lt;8/24</formula>
    </cfRule>
  </conditionalFormatting>
  <conditionalFormatting sqref="AL47 AL43 AL24:AL34 AL40:AL41 AL19:AL22 AL36:AL38 AL7:AL17">
    <cfRule type="iconSet" priority="552">
      <iconSet iconSet="3TrafficLights2" reverse="1">
        <cfvo type="percent" val="0"/>
        <cfvo type="num" val="1"/>
        <cfvo type="num" val="1"/>
      </iconSet>
    </cfRule>
  </conditionalFormatting>
  <conditionalFormatting sqref="AG54">
    <cfRule type="expression" dxfId="5375" priority="442">
      <formula>AG$9&gt;=20/24</formula>
    </cfRule>
    <cfRule type="expression" dxfId="5374" priority="443">
      <formula>AND(AG$9&gt;=14/24,AG$9&lt;20/24)</formula>
    </cfRule>
    <cfRule type="expression" dxfId="5373" priority="444">
      <formula>AND(AG$9&gt;=8/24,AG$9&lt;14/24)</formula>
    </cfRule>
    <cfRule type="expression" dxfId="5372" priority="445">
      <formula>AG$9&lt;8/24</formula>
    </cfRule>
  </conditionalFormatting>
  <conditionalFormatting sqref="AG54">
    <cfRule type="expression" dxfId="5371" priority="441">
      <formula>AG54&gt;$AG54</formula>
    </cfRule>
  </conditionalFormatting>
  <conditionalFormatting sqref="C109:AF109">
    <cfRule type="expression" dxfId="5370" priority="437">
      <formula>C$9&gt;=20/24</formula>
    </cfRule>
    <cfRule type="expression" dxfId="5369" priority="438">
      <formula>AND(C$9&gt;=14/24,C$9&lt;20/24)</formula>
    </cfRule>
    <cfRule type="expression" dxfId="5368" priority="439">
      <formula>AND(C$9&gt;=8/24,C$9&lt;14/24)</formula>
    </cfRule>
    <cfRule type="expression" dxfId="5367" priority="440">
      <formula>C$9&lt;8/24</formula>
    </cfRule>
  </conditionalFormatting>
  <conditionalFormatting sqref="AL42">
    <cfRule type="iconSet" priority="436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5366" priority="435">
      <formula>$AH42=0</formula>
    </cfRule>
  </conditionalFormatting>
  <conditionalFormatting sqref="A92">
    <cfRule type="expression" dxfId="5365" priority="433">
      <formula>$AH92=0</formula>
    </cfRule>
  </conditionalFormatting>
  <conditionalFormatting sqref="A89">
    <cfRule type="expression" dxfId="5364" priority="434">
      <formula>$AH89=0</formula>
    </cfRule>
  </conditionalFormatting>
  <conditionalFormatting sqref="E112:AF112">
    <cfRule type="expression" dxfId="5363" priority="429">
      <formula>E$9&gt;=20/24</formula>
    </cfRule>
    <cfRule type="expression" dxfId="5362" priority="430">
      <formula>AND(E$9&gt;=14/24,E$9&lt;20/24)</formula>
    </cfRule>
    <cfRule type="expression" dxfId="5361" priority="431">
      <formula>AND(E$9&gt;=8/24,E$9&lt;14/24)</formula>
    </cfRule>
    <cfRule type="expression" dxfId="5360" priority="432">
      <formula>E$9&lt;8/24</formula>
    </cfRule>
  </conditionalFormatting>
  <conditionalFormatting sqref="A112">
    <cfRule type="expression" dxfId="5359" priority="428">
      <formula>$AH112=0</formula>
    </cfRule>
  </conditionalFormatting>
  <conditionalFormatting sqref="A23">
    <cfRule type="expression" dxfId="5358" priority="426">
      <formula>$AH23=0</formula>
    </cfRule>
  </conditionalFormatting>
  <conditionalFormatting sqref="AL23">
    <cfRule type="iconSet" priority="427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5357" priority="424">
      <formula>$AH39=0</formula>
    </cfRule>
  </conditionalFormatting>
  <conditionalFormatting sqref="AL39">
    <cfRule type="iconSet" priority="425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5356" priority="420">
      <formula>Z$9&gt;=20/24</formula>
    </cfRule>
    <cfRule type="expression" dxfId="5355" priority="421">
      <formula>AND(Z$9&gt;=14/24,Z$9&lt;20/24)</formula>
    </cfRule>
    <cfRule type="expression" dxfId="5354" priority="422">
      <formula>AND(Z$9&gt;=8/24,Z$9&lt;14/24)</formula>
    </cfRule>
    <cfRule type="expression" dxfId="5353" priority="423">
      <formula>Z$9&lt;8/24</formula>
    </cfRule>
  </conditionalFormatting>
  <conditionalFormatting sqref="Z102:AD108 AE103:AE108">
    <cfRule type="expression" dxfId="5352" priority="416">
      <formula>Z$9&gt;=20/24</formula>
    </cfRule>
    <cfRule type="expression" dxfId="5351" priority="417">
      <formula>AND(Z$9&gt;=14/24,Z$9&lt;20/24)</formula>
    </cfRule>
    <cfRule type="expression" dxfId="5350" priority="418">
      <formula>AND(Z$9&gt;=8/24,Z$9&lt;14/24)</formula>
    </cfRule>
    <cfRule type="expression" dxfId="5349" priority="419">
      <formula>Z$9&lt;8/24</formula>
    </cfRule>
  </conditionalFormatting>
  <conditionalFormatting sqref="C111:D111 C113:D119 AE19:AF19">
    <cfRule type="expression" dxfId="5348" priority="412">
      <formula>C$9&gt;=20/24</formula>
    </cfRule>
    <cfRule type="expression" dxfId="5347" priority="413">
      <formula>AND(C$9&gt;=14/24,C$9&lt;20/24)</formula>
    </cfRule>
    <cfRule type="expression" dxfId="5346" priority="414">
      <formula>AND(C$9&gt;=8/24,C$9&lt;14/24)</formula>
    </cfRule>
    <cfRule type="expression" dxfId="5345" priority="415">
      <formula>C$9&lt;8/24</formula>
    </cfRule>
  </conditionalFormatting>
  <conditionalFormatting sqref="E49:S49">
    <cfRule type="expression" dxfId="5344" priority="408">
      <formula>E$9&gt;=20/24</formula>
    </cfRule>
    <cfRule type="expression" dxfId="5343" priority="409">
      <formula>AND(E$9&gt;=14/24,E$9&lt;20/24)</formula>
    </cfRule>
    <cfRule type="expression" dxfId="5342" priority="410">
      <formula>AND(E$9&gt;=8/24,E$9&lt;14/24)</formula>
    </cfRule>
    <cfRule type="expression" dxfId="5341" priority="411">
      <formula>E$9&lt;8/24</formula>
    </cfRule>
  </conditionalFormatting>
  <conditionalFormatting sqref="E49:S49 AE19:AF19">
    <cfRule type="expression" dxfId="5340" priority="407">
      <formula>E19&gt;$AG19</formula>
    </cfRule>
  </conditionalFormatting>
  <conditionalFormatting sqref="C101:D101">
    <cfRule type="expression" dxfId="5339" priority="403">
      <formula>C$9&gt;=20/24</formula>
    </cfRule>
    <cfRule type="expression" dxfId="5338" priority="404">
      <formula>AND(C$9&gt;=14/24,C$9&lt;20/24)</formula>
    </cfRule>
    <cfRule type="expression" dxfId="5337" priority="405">
      <formula>AND(C$9&gt;=8/24,C$9&lt;14/24)</formula>
    </cfRule>
    <cfRule type="expression" dxfId="5336" priority="406">
      <formula>C$9&lt;8/24</formula>
    </cfRule>
  </conditionalFormatting>
  <conditionalFormatting sqref="C88 C98:W98 C85:AF87 D102 F76:L77 G69:Z71 M76:AE78 AF77:AF78">
    <cfRule type="expression" dxfId="5335" priority="399">
      <formula>C$9&gt;=20/24</formula>
    </cfRule>
    <cfRule type="expression" dxfId="5334" priority="400">
      <formula>AND(C$9&gt;=14/24,C$9&lt;20/24)</formula>
    </cfRule>
    <cfRule type="expression" dxfId="5333" priority="401">
      <formula>AND(C$9&gt;=8/24,C$9&lt;14/24)</formula>
    </cfRule>
    <cfRule type="expression" dxfId="5332" priority="402">
      <formula>C$9&lt;8/24</formula>
    </cfRule>
  </conditionalFormatting>
  <conditionalFormatting sqref="G58:S59 G69:Z71">
    <cfRule type="expression" dxfId="5331" priority="398">
      <formula>G58&gt;$AG58</formula>
    </cfRule>
  </conditionalFormatting>
  <conditionalFormatting sqref="C73:E73">
    <cfRule type="expression" dxfId="5330" priority="344">
      <formula>C$9&gt;=20/24</formula>
    </cfRule>
    <cfRule type="expression" dxfId="5329" priority="345">
      <formula>AND(C$9&gt;=14/24,C$9&lt;20/24)</formula>
    </cfRule>
    <cfRule type="expression" dxfId="5328" priority="346">
      <formula>AND(C$9&gt;=8/24,C$9&lt;14/24)</formula>
    </cfRule>
    <cfRule type="expression" dxfId="5327" priority="347">
      <formula>C$9&lt;8/24</formula>
    </cfRule>
  </conditionalFormatting>
  <conditionalFormatting sqref="C89:AF89 C91:AF91 C100:AF100 B72:AF72">
    <cfRule type="expression" dxfId="5326" priority="394">
      <formula>B$9&gt;=20/24</formula>
    </cfRule>
    <cfRule type="expression" dxfId="5325" priority="395">
      <formula>AND(B$9&gt;=14/24,B$9&lt;20/24)</formula>
    </cfRule>
    <cfRule type="expression" dxfId="5324" priority="396">
      <formula>AND(B$9&gt;=8/24,B$9&lt;14/24)</formula>
    </cfRule>
    <cfRule type="expression" dxfId="5323" priority="397">
      <formula>B$9&lt;8/24</formula>
    </cfRule>
  </conditionalFormatting>
  <conditionalFormatting sqref="D67:AF68 B72:AF72">
    <cfRule type="expression" dxfId="5322" priority="393">
      <formula>B67&gt;$AG67</formula>
    </cfRule>
  </conditionalFormatting>
  <conditionalFormatting sqref="C84:AF84">
    <cfRule type="expression" dxfId="5321" priority="389">
      <formula>C$9&gt;=20/24</formula>
    </cfRule>
    <cfRule type="expression" dxfId="5320" priority="390">
      <formula>AND(C$9&gt;=14/24,C$9&lt;20/24)</formula>
    </cfRule>
    <cfRule type="expression" dxfId="5319" priority="391">
      <formula>AND(C$9&gt;=8/24,C$9&lt;14/24)</formula>
    </cfRule>
    <cfRule type="expression" dxfId="5318" priority="392">
      <formula>C$9&lt;8/24</formula>
    </cfRule>
  </conditionalFormatting>
  <conditionalFormatting sqref="C93:W97">
    <cfRule type="expression" dxfId="5317" priority="385">
      <formula>C$9&gt;=20/24</formula>
    </cfRule>
    <cfRule type="expression" dxfId="5316" priority="386">
      <formula>AND(C$9&gt;=14/24,C$9&lt;20/24)</formula>
    </cfRule>
    <cfRule type="expression" dxfId="5315" priority="387">
      <formula>AND(C$9&gt;=8/24,C$9&lt;14/24)</formula>
    </cfRule>
    <cfRule type="expression" dxfId="5314" priority="388">
      <formula>C$9&lt;8/24</formula>
    </cfRule>
  </conditionalFormatting>
  <conditionalFormatting sqref="D54:AF54">
    <cfRule type="expression" dxfId="5313" priority="381">
      <formula>D$9&gt;=20/24</formula>
    </cfRule>
    <cfRule type="expression" dxfId="5312" priority="382">
      <formula>AND(D$9&gt;=14/24,D$9&lt;20/24)</formula>
    </cfRule>
    <cfRule type="expression" dxfId="5311" priority="383">
      <formula>AND(D$9&gt;=8/24,D$9&lt;14/24)</formula>
    </cfRule>
    <cfRule type="expression" dxfId="5310" priority="384">
      <formula>D$9&lt;8/24</formula>
    </cfRule>
  </conditionalFormatting>
  <conditionalFormatting sqref="D54:AF54">
    <cfRule type="expression" dxfId="5309" priority="380">
      <formula>D54&gt;$AG54</formula>
    </cfRule>
  </conditionalFormatting>
  <conditionalFormatting sqref="C112:D112">
    <cfRule type="expression" dxfId="5308" priority="376">
      <formula>C$9&gt;=20/24</formula>
    </cfRule>
    <cfRule type="expression" dxfId="5307" priority="377">
      <formula>AND(C$9&gt;=14/24,C$9&lt;20/24)</formula>
    </cfRule>
    <cfRule type="expression" dxfId="5306" priority="378">
      <formula>AND(C$9&gt;=8/24,C$9&lt;14/24)</formula>
    </cfRule>
    <cfRule type="expression" dxfId="5305" priority="379">
      <formula>C$9&lt;8/24</formula>
    </cfRule>
  </conditionalFormatting>
  <conditionalFormatting sqref="M79:AF83">
    <cfRule type="expression" dxfId="5304" priority="357">
      <formula>M$9&gt;=20/24</formula>
    </cfRule>
    <cfRule type="expression" dxfId="5303" priority="358">
      <formula>AND(M$9&gt;=14/24,M$9&lt;20/24)</formula>
    </cfRule>
    <cfRule type="expression" dxfId="5302" priority="359">
      <formula>AND(M$9&gt;=8/24,M$9&lt;14/24)</formula>
    </cfRule>
    <cfRule type="expression" dxfId="5301" priority="360">
      <formula>M$9&lt;8/24</formula>
    </cfRule>
  </conditionalFormatting>
  <conditionalFormatting sqref="AL80:AN80 AL86:AN86 AN81:AN82">
    <cfRule type="expression" dxfId="5300" priority="353">
      <formula>AL$9&gt;=20/24</formula>
    </cfRule>
    <cfRule type="expression" dxfId="5299" priority="354">
      <formula>AND(AL$9&gt;=14/24,AL$9&lt;20/24)</formula>
    </cfRule>
    <cfRule type="expression" dxfId="5298" priority="355">
      <formula>AND(AL$9&gt;=8/24,AL$9&lt;14/24)</formula>
    </cfRule>
    <cfRule type="expression" dxfId="5297" priority="356">
      <formula>AL$9&lt;8/24</formula>
    </cfRule>
  </conditionalFormatting>
  <conditionalFormatting sqref="AN83:AN84">
    <cfRule type="expression" dxfId="5296" priority="349">
      <formula>AN$9&gt;=20/24</formula>
    </cfRule>
    <cfRule type="expression" dxfId="5295" priority="350">
      <formula>AND(AN$9&gt;=14/24,AN$9&lt;20/24)</formula>
    </cfRule>
    <cfRule type="expression" dxfId="5294" priority="351">
      <formula>AND(AN$9&gt;=8/24,AN$9&lt;14/24)</formula>
    </cfRule>
    <cfRule type="expression" dxfId="5293" priority="352">
      <formula>AN$9&lt;8/24</formula>
    </cfRule>
  </conditionalFormatting>
  <conditionalFormatting sqref="AL81:AM85">
    <cfRule type="expression" dxfId="5292" priority="553">
      <formula>AJ$9&gt;=20/24</formula>
    </cfRule>
    <cfRule type="expression" dxfId="5291" priority="554">
      <formula>AND(AJ$9&gt;=14/24,AJ$9&lt;20/24)</formula>
    </cfRule>
    <cfRule type="expression" dxfId="5290" priority="555">
      <formula>AND(AJ$9&gt;=8/24,AJ$9&lt;14/24)</formula>
    </cfRule>
    <cfRule type="expression" dxfId="5289" priority="556">
      <formula>AJ$9&lt;8/24</formula>
    </cfRule>
  </conditionalFormatting>
  <conditionalFormatting sqref="A120">
    <cfRule type="expression" dxfId="5288" priority="348">
      <formula>$AH120=0</formula>
    </cfRule>
  </conditionalFormatting>
  <conditionalFormatting sqref="C75:D75 C102:C108 D74 E74:E75 D103:E108 D69:F71">
    <cfRule type="expression" dxfId="5287" priority="335">
      <formula>C$9&gt;=20/24</formula>
    </cfRule>
    <cfRule type="expression" dxfId="5286" priority="336">
      <formula>AND(C$9&gt;=14/24,C$9&lt;20/24)</formula>
    </cfRule>
    <cfRule type="expression" dxfId="5285" priority="337">
      <formula>AND(C$9&gt;=8/24,C$9&lt;14/24)</formula>
    </cfRule>
    <cfRule type="expression" dxfId="5284" priority="338">
      <formula>C$9&lt;8/24</formula>
    </cfRule>
  </conditionalFormatting>
  <conditionalFormatting sqref="D69:F71">
    <cfRule type="expression" dxfId="5283" priority="334">
      <formula>D69&gt;$AG69</formula>
    </cfRule>
  </conditionalFormatting>
  <conditionalFormatting sqref="C90">
    <cfRule type="expression" dxfId="5282" priority="330">
      <formula>C$9&gt;=20/24</formula>
    </cfRule>
    <cfRule type="expression" dxfId="5281" priority="331">
      <formula>AND(C$9&gt;=14/24,C$9&lt;20/24)</formula>
    </cfRule>
    <cfRule type="expression" dxfId="5280" priority="332">
      <formula>AND(C$9&gt;=8/24,C$9&lt;14/24)</formula>
    </cfRule>
    <cfRule type="expression" dxfId="5279" priority="333">
      <formula>C$9&lt;8/24</formula>
    </cfRule>
  </conditionalFormatting>
  <conditionalFormatting sqref="G60:S60">
    <cfRule type="expression" dxfId="5278" priority="321">
      <formula>G$9&gt;=20/24</formula>
    </cfRule>
    <cfRule type="expression" dxfId="5277" priority="322">
      <formula>AND(G$9&gt;=14/24,G$9&lt;20/24)</formula>
    </cfRule>
    <cfRule type="expression" dxfId="5276" priority="323">
      <formula>AND(G$9&gt;=8/24,G$9&lt;14/24)</formula>
    </cfRule>
    <cfRule type="expression" dxfId="5275" priority="324">
      <formula>G$9&lt;8/24</formula>
    </cfRule>
  </conditionalFormatting>
  <conditionalFormatting sqref="G60:S60">
    <cfRule type="expression" dxfId="5274" priority="320">
      <formula>G60&gt;$AG60</formula>
    </cfRule>
  </conditionalFormatting>
  <conditionalFormatting sqref="C49:D49">
    <cfRule type="expression" dxfId="5273" priority="250">
      <formula>C$9&gt;=20/24</formula>
    </cfRule>
    <cfRule type="expression" dxfId="5272" priority="251">
      <formula>AND(C$9&gt;=14/24,C$9&lt;20/24)</formula>
    </cfRule>
    <cfRule type="expression" dxfId="5271" priority="252">
      <formula>AND(C$9&gt;=8/24,C$9&lt;14/24)</formula>
    </cfRule>
    <cfRule type="expression" dxfId="5270" priority="253">
      <formula>C$9&lt;8/24</formula>
    </cfRule>
  </conditionalFormatting>
  <conditionalFormatting sqref="E50:AF50">
    <cfRule type="expression" dxfId="5269" priority="315">
      <formula>E50&gt;$AG50</formula>
    </cfRule>
  </conditionalFormatting>
  <conditionalFormatting sqref="G61:AF66">
    <cfRule type="expression" dxfId="5268" priority="311">
      <formula>G$9&gt;=20/24</formula>
    </cfRule>
    <cfRule type="expression" dxfId="5267" priority="312">
      <formula>AND(G$9&gt;=14/24,G$9&lt;20/24)</formula>
    </cfRule>
    <cfRule type="expression" dxfId="5266" priority="313">
      <formula>AND(G$9&gt;=8/24,G$9&lt;14/24)</formula>
    </cfRule>
    <cfRule type="expression" dxfId="5265" priority="314">
      <formula>G$9&lt;8/24</formula>
    </cfRule>
  </conditionalFormatting>
  <conditionalFormatting sqref="G61:AF66">
    <cfRule type="expression" dxfId="5264" priority="310">
      <formula>G61&gt;$AG61</formula>
    </cfRule>
  </conditionalFormatting>
  <conditionalFormatting sqref="A11">
    <cfRule type="expression" dxfId="5263" priority="305">
      <formula>$AH11=0</formula>
    </cfRule>
  </conditionalFormatting>
  <conditionalFormatting sqref="A18">
    <cfRule type="expression" dxfId="5262" priority="298">
      <formula>$AH18=0</formula>
    </cfRule>
  </conditionalFormatting>
  <conditionalFormatting sqref="AL18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35">
    <cfRule type="expression" dxfId="5261" priority="291">
      <formula>$AH35=0</formula>
    </cfRule>
  </conditionalFormatting>
  <conditionalFormatting sqref="AL35">
    <cfRule type="iconSet" priority="292">
      <iconSet iconSet="3TrafficLights2" reverse="1">
        <cfvo type="percent" val="0"/>
        <cfvo type="num" val="1"/>
        <cfvo type="num" val="1"/>
      </iconSet>
    </cfRule>
  </conditionalFormatting>
  <conditionalFormatting sqref="A46">
    <cfRule type="expression" dxfId="5260" priority="284">
      <formula>$AH46=0</formula>
    </cfRule>
  </conditionalFormatting>
  <conditionalFormatting sqref="AL46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E120:AF120">
    <cfRule type="expression" dxfId="5259" priority="275">
      <formula>E$9&gt;=20/24</formula>
    </cfRule>
    <cfRule type="expression" dxfId="5258" priority="276">
      <formula>AND(E$9&gt;=14/24,E$9&lt;20/24)</formula>
    </cfRule>
    <cfRule type="expression" dxfId="5257" priority="277">
      <formula>AND(E$9&gt;=8/24,E$9&lt;14/24)</formula>
    </cfRule>
    <cfRule type="expression" dxfId="5256" priority="278">
      <formula>E$9&lt;8/24</formula>
    </cfRule>
  </conditionalFormatting>
  <conditionalFormatting sqref="C120:D120">
    <cfRule type="expression" dxfId="5255" priority="271">
      <formula>C$9&gt;=20/24</formula>
    </cfRule>
    <cfRule type="expression" dxfId="5254" priority="272">
      <formula>AND(C$9&gt;=14/24,C$9&lt;20/24)</formula>
    </cfRule>
    <cfRule type="expression" dxfId="5253" priority="273">
      <formula>AND(C$9&gt;=8/24,C$9&lt;14/24)</formula>
    </cfRule>
    <cfRule type="expression" dxfId="5252" priority="274">
      <formula>C$9&lt;8/24</formula>
    </cfRule>
  </conditionalFormatting>
  <conditionalFormatting sqref="C49:D49">
    <cfRule type="expression" dxfId="5251" priority="249">
      <formula>C49&gt;$AG49</formula>
    </cfRule>
  </conditionalFormatting>
  <conditionalFormatting sqref="G45:L45 F36:L44 F19:AD26 M36:AF45 AE20:AF26 F27:AF34">
    <cfRule type="expression" dxfId="5250" priority="219">
      <formula>F$9&gt;=20/24</formula>
    </cfRule>
    <cfRule type="expression" dxfId="5249" priority="220">
      <formula>AND(F$9&gt;=14/24,F$9&lt;20/24)</formula>
    </cfRule>
    <cfRule type="expression" dxfId="5248" priority="221">
      <formula>AND(F$9&gt;=8/24,F$9&lt;14/24)</formula>
    </cfRule>
    <cfRule type="expression" dxfId="5247" priority="222">
      <formula>F$9&lt;8/24</formula>
    </cfRule>
  </conditionalFormatting>
  <conditionalFormatting sqref="G45:L45 F36:L44 F19:AD26 M36:AF45 AE20:AF26 F27:AF34">
    <cfRule type="expression" dxfId="5246" priority="218">
      <formula>F19&gt;$AG19</formula>
    </cfRule>
  </conditionalFormatting>
  <conditionalFormatting sqref="C67:C68">
    <cfRule type="expression" dxfId="5245" priority="209">
      <formula>C67&gt;$AG67</formula>
    </cfRule>
  </conditionalFormatting>
  <conditionalFormatting sqref="C54">
    <cfRule type="expression" dxfId="5244" priority="201">
      <formula>C$9&gt;=20/24</formula>
    </cfRule>
    <cfRule type="expression" dxfId="5243" priority="202">
      <formula>AND(C$9&gt;=14/24,C$9&lt;20/24)</formula>
    </cfRule>
    <cfRule type="expression" dxfId="5242" priority="203">
      <formula>AND(C$9&gt;=8/24,C$9&lt;14/24)</formula>
    </cfRule>
    <cfRule type="expression" dxfId="5241" priority="204">
      <formula>C$9&lt;8/24</formula>
    </cfRule>
  </conditionalFormatting>
  <conditionalFormatting sqref="C54">
    <cfRule type="expression" dxfId="5240" priority="200">
      <formula>C54&gt;$AG54</formula>
    </cfRule>
  </conditionalFormatting>
  <conditionalFormatting sqref="G47:AF47">
    <cfRule type="expression" dxfId="5239" priority="194">
      <formula>G47&gt;$AG47</formula>
    </cfRule>
  </conditionalFormatting>
  <conditionalFormatting sqref="F13:AF13">
    <cfRule type="expression" dxfId="5238" priority="190">
      <formula>F$9&gt;=20/24</formula>
    </cfRule>
    <cfRule type="expression" dxfId="5237" priority="191">
      <formula>AND(F$9&gt;=14/24,F$9&lt;20/24)</formula>
    </cfRule>
    <cfRule type="expression" dxfId="5236" priority="192">
      <formula>AND(F$9&gt;=8/24,F$9&lt;14/24)</formula>
    </cfRule>
    <cfRule type="expression" dxfId="5235" priority="193">
      <formula>F$9&lt;8/24</formula>
    </cfRule>
  </conditionalFormatting>
  <conditionalFormatting sqref="F13:AF13">
    <cfRule type="expression" dxfId="5234" priority="189">
      <formula>F13&gt;$AG13</formula>
    </cfRule>
  </conditionalFormatting>
  <conditionalFormatting sqref="G47:AF47">
    <cfRule type="expression" dxfId="5233" priority="185">
      <formula>G$9&gt;=20/24</formula>
    </cfRule>
    <cfRule type="expression" dxfId="5232" priority="186">
      <formula>AND(G$9&gt;=14/24,G$9&lt;20/24)</formula>
    </cfRule>
    <cfRule type="expression" dxfId="5231" priority="187">
      <formula>AND(G$9&gt;=8/24,G$9&lt;14/24)</formula>
    </cfRule>
    <cfRule type="expression" dxfId="5230" priority="188">
      <formula>G$9&lt;8/24</formula>
    </cfRule>
  </conditionalFormatting>
  <conditionalFormatting sqref="C50:D50">
    <cfRule type="expression" dxfId="5229" priority="179">
      <formula>C50&gt;$AG50</formula>
    </cfRule>
  </conditionalFormatting>
  <conditionalFormatting sqref="F11:AF11">
    <cfRule type="expression" dxfId="5228" priority="175">
      <formula>F$9&gt;=20/24</formula>
    </cfRule>
    <cfRule type="expression" dxfId="5227" priority="176">
      <formula>AND(F$9&gt;=14/24,F$9&lt;20/24)</formula>
    </cfRule>
    <cfRule type="expression" dxfId="5226" priority="177">
      <formula>AND(F$9&gt;=8/24,F$9&lt;14/24)</formula>
    </cfRule>
    <cfRule type="expression" dxfId="5225" priority="178">
      <formula>F$9&lt;8/24</formula>
    </cfRule>
  </conditionalFormatting>
  <conditionalFormatting sqref="F11:AF11">
    <cfRule type="expression" dxfId="5224" priority="174">
      <formula>F11&gt;$AG11</formula>
    </cfRule>
  </conditionalFormatting>
  <conditionalFormatting sqref="F18:AF18">
    <cfRule type="expression" dxfId="5223" priority="170">
      <formula>F$9&gt;=20/24</formula>
    </cfRule>
    <cfRule type="expression" dxfId="5222" priority="171">
      <formula>AND(F$9&gt;=14/24,F$9&lt;20/24)</formula>
    </cfRule>
    <cfRule type="expression" dxfId="5221" priority="172">
      <formula>AND(F$9&gt;=8/24,F$9&lt;14/24)</formula>
    </cfRule>
    <cfRule type="expression" dxfId="5220" priority="173">
      <formula>F$9&lt;8/24</formula>
    </cfRule>
  </conditionalFormatting>
  <conditionalFormatting sqref="F18:AF18">
    <cfRule type="expression" dxfId="5219" priority="169">
      <formula>F18&gt;$AG18</formula>
    </cfRule>
  </conditionalFormatting>
  <conditionalFormatting sqref="F35:AF35">
    <cfRule type="expression" dxfId="5218" priority="165">
      <formula>F$9&gt;=20/24</formula>
    </cfRule>
    <cfRule type="expression" dxfId="5217" priority="166">
      <formula>AND(F$9&gt;=14/24,F$9&lt;20/24)</formula>
    </cfRule>
    <cfRule type="expression" dxfId="5216" priority="167">
      <formula>AND(F$9&gt;=8/24,F$9&lt;14/24)</formula>
    </cfRule>
    <cfRule type="expression" dxfId="5215" priority="168">
      <formula>F$9&lt;8/24</formula>
    </cfRule>
  </conditionalFormatting>
  <conditionalFormatting sqref="F35:AF35">
    <cfRule type="expression" dxfId="5214" priority="164">
      <formula>F35&gt;$AG35</formula>
    </cfRule>
  </conditionalFormatting>
  <conditionalFormatting sqref="F46:AF46">
    <cfRule type="expression" dxfId="5213" priority="163">
      <formula>F46&gt;$AG46</formula>
    </cfRule>
  </conditionalFormatting>
  <conditionalFormatting sqref="F46:AF46">
    <cfRule type="expression" dxfId="5212" priority="159">
      <formula>F$9&gt;=20/24</formula>
    </cfRule>
    <cfRule type="expression" dxfId="5211" priority="160">
      <formula>AND(F$9&gt;=14/24,F$9&lt;20/24)</formula>
    </cfRule>
    <cfRule type="expression" dxfId="5210" priority="161">
      <formula>AND(F$9&gt;=8/24,F$9&lt;14/24)</formula>
    </cfRule>
    <cfRule type="expression" dxfId="5209" priority="162">
      <formula>F$9&lt;8/24</formula>
    </cfRule>
  </conditionalFormatting>
  <conditionalFormatting sqref="AE73">
    <cfRule type="expression" dxfId="5208" priority="141">
      <formula>AE$9&gt;=20/24</formula>
    </cfRule>
    <cfRule type="expression" dxfId="5207" priority="142">
      <formula>AND(AE$9&gt;=14/24,AE$9&lt;20/24)</formula>
    </cfRule>
    <cfRule type="expression" dxfId="5206" priority="143">
      <formula>AND(AE$9&gt;=8/24,AE$9&lt;14/24)</formula>
    </cfRule>
    <cfRule type="expression" dxfId="5205" priority="144">
      <formula>AE$9&lt;8/24</formula>
    </cfRule>
  </conditionalFormatting>
  <conditionalFormatting sqref="AE74:AE75">
    <cfRule type="expression" dxfId="5204" priority="137">
      <formula>AE$9&gt;=20/24</formula>
    </cfRule>
    <cfRule type="expression" dxfId="5203" priority="138">
      <formula>AND(AE$9&gt;=14/24,AE$9&lt;20/24)</formula>
    </cfRule>
    <cfRule type="expression" dxfId="5202" priority="139">
      <formula>AND(AE$9&gt;=8/24,AE$9&lt;14/24)</formula>
    </cfRule>
    <cfRule type="expression" dxfId="5201" priority="140">
      <formula>AE$9&lt;8/24</formula>
    </cfRule>
  </conditionalFormatting>
  <conditionalFormatting sqref="AF76">
    <cfRule type="expression" dxfId="5200" priority="133">
      <formula>AF$9&gt;=20/24</formula>
    </cfRule>
    <cfRule type="expression" dxfId="5199" priority="134">
      <formula>AND(AF$9&gt;=14/24,AF$9&lt;20/24)</formula>
    </cfRule>
    <cfRule type="expression" dxfId="5198" priority="135">
      <formula>AND(AF$9&gt;=8/24,AF$9&lt;14/24)</formula>
    </cfRule>
    <cfRule type="expression" dxfId="5197" priority="136">
      <formula>AF$9&lt;8/24</formula>
    </cfRule>
  </conditionalFormatting>
  <conditionalFormatting sqref="B111 B113:B119 B12:E12 B14:E17">
    <cfRule type="expression" dxfId="5196" priority="125">
      <formula>B$9&gt;=20/24</formula>
    </cfRule>
    <cfRule type="expression" dxfId="5195" priority="126">
      <formula>AND(B$9&gt;=14/24,B$9&lt;20/24)</formula>
    </cfRule>
    <cfRule type="expression" dxfId="5194" priority="127">
      <formula>AND(B$9&gt;=8/24,B$9&lt;14/24)</formula>
    </cfRule>
    <cfRule type="expression" dxfId="5193" priority="128">
      <formula>B$9&lt;8/24</formula>
    </cfRule>
  </conditionalFormatting>
  <conditionalFormatting sqref="B12:E12 B14:E17">
    <cfRule type="expression" dxfId="5192" priority="124">
      <formula>B12&gt;$AG12</formula>
    </cfRule>
  </conditionalFormatting>
  <conditionalFormatting sqref="B101">
    <cfRule type="expression" dxfId="5191" priority="120">
      <formula>B$9&gt;=20/24</formula>
    </cfRule>
    <cfRule type="expression" dxfId="5190" priority="121">
      <formula>AND(B$9&gt;=14/24,B$9&lt;20/24)</formula>
    </cfRule>
    <cfRule type="expression" dxfId="5189" priority="122">
      <formula>AND(B$9&gt;=8/24,B$9&lt;14/24)</formula>
    </cfRule>
    <cfRule type="expression" dxfId="5188" priority="123">
      <formula>B$9&lt;8/24</formula>
    </cfRule>
  </conditionalFormatting>
  <conditionalFormatting sqref="B73 B59:F59">
    <cfRule type="expression" dxfId="5187" priority="116">
      <formula>B$9&gt;=20/24</formula>
    </cfRule>
    <cfRule type="expression" dxfId="5186" priority="117">
      <formula>AND(B$9&gt;=14/24,B$9&lt;20/24)</formula>
    </cfRule>
    <cfRule type="expression" dxfId="5185" priority="118">
      <formula>AND(B$9&gt;=8/24,B$9&lt;14/24)</formula>
    </cfRule>
    <cfRule type="expression" dxfId="5184" priority="119">
      <formula>B$9&lt;8/24</formula>
    </cfRule>
  </conditionalFormatting>
  <conditionalFormatting sqref="B59:F59">
    <cfRule type="expression" dxfId="5183" priority="115">
      <formula>B59&gt;$AG59</formula>
    </cfRule>
  </conditionalFormatting>
  <conditionalFormatting sqref="B88 B98 B49 B102:B108 B74:B75 C74">
    <cfRule type="expression" dxfId="5182" priority="111">
      <formula>B$9&gt;=20/24</formula>
    </cfRule>
    <cfRule type="expression" dxfId="5181" priority="112">
      <formula>AND(B$9&gt;=14/24,B$9&lt;20/24)</formula>
    </cfRule>
    <cfRule type="expression" dxfId="5180" priority="113">
      <formula>AND(B$9&gt;=8/24,B$9&lt;14/24)</formula>
    </cfRule>
    <cfRule type="expression" dxfId="5179" priority="114">
      <formula>B$9&lt;8/24</formula>
    </cfRule>
  </conditionalFormatting>
  <conditionalFormatting sqref="B49">
    <cfRule type="expression" dxfId="5178" priority="110">
      <formula>B49&gt;$AG49</formula>
    </cfRule>
  </conditionalFormatting>
  <conditionalFormatting sqref="B55:F58">
    <cfRule type="expression" dxfId="5177" priority="106">
      <formula>B$9&gt;=20/24</formula>
    </cfRule>
    <cfRule type="expression" dxfId="5176" priority="107">
      <formula>AND(B$9&gt;=14/24,B$9&lt;20/24)</formula>
    </cfRule>
    <cfRule type="expression" dxfId="5175" priority="108">
      <formula>AND(B$9&gt;=8/24,B$9&lt;14/24)</formula>
    </cfRule>
    <cfRule type="expression" dxfId="5174" priority="109">
      <formula>B$9&lt;8/24</formula>
    </cfRule>
  </conditionalFormatting>
  <conditionalFormatting sqref="B55:F58">
    <cfRule type="expression" dxfId="5173" priority="105">
      <formula>B55&gt;$AG55</formula>
    </cfRule>
  </conditionalFormatting>
  <conditionalFormatting sqref="B99 B90">
    <cfRule type="expression" dxfId="5172" priority="101">
      <formula>B$9&gt;=20/24</formula>
    </cfRule>
    <cfRule type="expression" dxfId="5171" priority="102">
      <formula>AND(B$9&gt;=14/24,B$9&lt;20/24)</formula>
    </cfRule>
    <cfRule type="expression" dxfId="5170" priority="103">
      <formula>AND(B$9&gt;=8/24,B$9&lt;14/24)</formula>
    </cfRule>
    <cfRule type="expression" dxfId="5169" priority="104">
      <formula>B$9&lt;8/24</formula>
    </cfRule>
  </conditionalFormatting>
  <conditionalFormatting sqref="B93:B97">
    <cfRule type="expression" dxfId="5168" priority="97">
      <formula>B$9&gt;=20/24</formula>
    </cfRule>
    <cfRule type="expression" dxfId="5167" priority="98">
      <formula>AND(B$9&gt;=14/24,B$9&lt;20/24)</formula>
    </cfRule>
    <cfRule type="expression" dxfId="5166" priority="99">
      <formula>AND(B$9&gt;=8/24,B$9&lt;14/24)</formula>
    </cfRule>
    <cfRule type="expression" dxfId="5165" priority="100">
      <formula>B$9&lt;8/24</formula>
    </cfRule>
  </conditionalFormatting>
  <conditionalFormatting sqref="B51:AF53">
    <cfRule type="expression" dxfId="5164" priority="93">
      <formula>B$9&gt;=20/24</formula>
    </cfRule>
    <cfRule type="expression" dxfId="5163" priority="94">
      <formula>AND(B$9&gt;=14/24,B$9&lt;20/24)</formula>
    </cfRule>
    <cfRule type="expression" dxfId="5162" priority="95">
      <formula>AND(B$9&gt;=8/24,B$9&lt;14/24)</formula>
    </cfRule>
    <cfRule type="expression" dxfId="5161" priority="96">
      <formula>B$9&lt;8/24</formula>
    </cfRule>
  </conditionalFormatting>
  <conditionalFormatting sqref="B51:AF53">
    <cfRule type="expression" dxfId="5160" priority="92">
      <formula>B51&gt;$AG51</formula>
    </cfRule>
  </conditionalFormatting>
  <conditionalFormatting sqref="B109">
    <cfRule type="expression" dxfId="5159" priority="88">
      <formula>B$9&gt;=20/24</formula>
    </cfRule>
    <cfRule type="expression" dxfId="5158" priority="89">
      <formula>AND(B$9&gt;=14/24,B$9&lt;20/24)</formula>
    </cfRule>
    <cfRule type="expression" dxfId="5157" priority="90">
      <formula>AND(B$9&gt;=8/24,B$9&lt;14/24)</formula>
    </cfRule>
    <cfRule type="expression" dxfId="5156" priority="91">
      <formula>B$9&lt;8/24</formula>
    </cfRule>
  </conditionalFormatting>
  <conditionalFormatting sqref="B112">
    <cfRule type="expression" dxfId="5155" priority="84">
      <formula>B$9&gt;=20/24</formula>
    </cfRule>
    <cfRule type="expression" dxfId="5154" priority="85">
      <formula>AND(B$9&gt;=14/24,B$9&lt;20/24)</formula>
    </cfRule>
    <cfRule type="expression" dxfId="5153" priority="86">
      <formula>AND(B$9&gt;=8/24,B$9&lt;14/24)</formula>
    </cfRule>
    <cfRule type="expression" dxfId="5152" priority="87">
      <formula>B$9&lt;8/24</formula>
    </cfRule>
  </conditionalFormatting>
  <conditionalFormatting sqref="B85:B87 B69:C71 B76:E77 B78:L78">
    <cfRule type="expression" dxfId="5151" priority="80">
      <formula>B$9&gt;=20/24</formula>
    </cfRule>
    <cfRule type="expression" dxfId="5150" priority="81">
      <formula>AND(B$9&gt;=14/24,B$9&lt;20/24)</formula>
    </cfRule>
    <cfRule type="expression" dxfId="5149" priority="82">
      <formula>AND(B$9&gt;=8/24,B$9&lt;14/24)</formula>
    </cfRule>
    <cfRule type="expression" dxfId="5148" priority="83">
      <formula>B$9&lt;8/24</formula>
    </cfRule>
  </conditionalFormatting>
  <conditionalFormatting sqref="B69:C71">
    <cfRule type="expression" dxfId="5147" priority="79">
      <formula>B69&gt;$AG69</formula>
    </cfRule>
  </conditionalFormatting>
  <conditionalFormatting sqref="B89 B91 B100">
    <cfRule type="expression" dxfId="5146" priority="75">
      <formula>B$9&gt;=20/24</formula>
    </cfRule>
    <cfRule type="expression" dxfId="5145" priority="76">
      <formula>AND(B$9&gt;=14/24,B$9&lt;20/24)</formula>
    </cfRule>
    <cfRule type="expression" dxfId="5144" priority="77">
      <formula>AND(B$9&gt;=8/24,B$9&lt;14/24)</formula>
    </cfRule>
    <cfRule type="expression" dxfId="5143" priority="78">
      <formula>B$9&lt;8/24</formula>
    </cfRule>
  </conditionalFormatting>
  <conditionalFormatting sqref="B67:B68">
    <cfRule type="expression" dxfId="5142" priority="74">
      <formula>B67&gt;$AG67</formula>
    </cfRule>
  </conditionalFormatting>
  <conditionalFormatting sqref="B84">
    <cfRule type="expression" dxfId="5141" priority="70">
      <formula>B$9&gt;=20/24</formula>
    </cfRule>
    <cfRule type="expression" dxfId="5140" priority="71">
      <formula>AND(B$9&gt;=14/24,B$9&lt;20/24)</formula>
    </cfRule>
    <cfRule type="expression" dxfId="5139" priority="72">
      <formula>AND(B$9&gt;=8/24,B$9&lt;14/24)</formula>
    </cfRule>
    <cfRule type="expression" dxfId="5138" priority="73">
      <formula>B$9&lt;8/24</formula>
    </cfRule>
  </conditionalFormatting>
  <conditionalFormatting sqref="B54">
    <cfRule type="expression" dxfId="5137" priority="66">
      <formula>B$9&gt;=20/24</formula>
    </cfRule>
    <cfRule type="expression" dxfId="5136" priority="67">
      <formula>AND(B$9&gt;=14/24,B$9&lt;20/24)</formula>
    </cfRule>
    <cfRule type="expression" dxfId="5135" priority="68">
      <formula>AND(B$9&gt;=8/24,B$9&lt;14/24)</formula>
    </cfRule>
    <cfRule type="expression" dxfId="5134" priority="69">
      <formula>B$9&lt;8/24</formula>
    </cfRule>
  </conditionalFormatting>
  <conditionalFormatting sqref="B54">
    <cfRule type="expression" dxfId="5133" priority="65">
      <formula>B54&gt;$AG54</formula>
    </cfRule>
  </conditionalFormatting>
  <conditionalFormatting sqref="B13:E13">
    <cfRule type="expression" dxfId="5132" priority="61">
      <formula>B$9&gt;=20/24</formula>
    </cfRule>
    <cfRule type="expression" dxfId="5131" priority="62">
      <formula>AND(B$9&gt;=14/24,B$9&lt;20/24)</formula>
    </cfRule>
    <cfRule type="expression" dxfId="5130" priority="63">
      <formula>AND(B$9&gt;=8/24,B$9&lt;14/24)</formula>
    </cfRule>
    <cfRule type="expression" dxfId="5129" priority="64">
      <formula>B$9&lt;8/24</formula>
    </cfRule>
  </conditionalFormatting>
  <conditionalFormatting sqref="B13:E13">
    <cfRule type="expression" dxfId="5128" priority="60">
      <formula>B13&gt;$AG13</formula>
    </cfRule>
  </conditionalFormatting>
  <conditionalFormatting sqref="B79:L83">
    <cfRule type="expression" dxfId="5127" priority="56">
      <formula>B$9&gt;=20/24</formula>
    </cfRule>
    <cfRule type="expression" dxfId="5126" priority="57">
      <formula>AND(B$9&gt;=14/24,B$9&lt;20/24)</formula>
    </cfRule>
    <cfRule type="expression" dxfId="5125" priority="58">
      <formula>AND(B$9&gt;=8/24,B$9&lt;14/24)</formula>
    </cfRule>
    <cfRule type="expression" dxfId="5124" priority="59">
      <formula>B$9&lt;8/24</formula>
    </cfRule>
  </conditionalFormatting>
  <conditionalFormatting sqref="B60:F60">
    <cfRule type="expression" dxfId="5123" priority="52">
      <formula>B$9&gt;=20/24</formula>
    </cfRule>
    <cfRule type="expression" dxfId="5122" priority="53">
      <formula>AND(B$9&gt;=14/24,B$9&lt;20/24)</formula>
    </cfRule>
    <cfRule type="expression" dxfId="5121" priority="54">
      <formula>AND(B$9&gt;=8/24,B$9&lt;14/24)</formula>
    </cfRule>
    <cfRule type="expression" dxfId="5120" priority="55">
      <formula>B$9&lt;8/24</formula>
    </cfRule>
  </conditionalFormatting>
  <conditionalFormatting sqref="B60:F60">
    <cfRule type="expression" dxfId="5119" priority="51">
      <formula>B60&gt;$AG60</formula>
    </cfRule>
  </conditionalFormatting>
  <conditionalFormatting sqref="B50">
    <cfRule type="expression" dxfId="5118" priority="50">
      <formula>B50&gt;$AG50</formula>
    </cfRule>
  </conditionalFormatting>
  <conditionalFormatting sqref="B61:F66">
    <cfRule type="expression" dxfId="5117" priority="46">
      <formula>B$9&gt;=20/24</formula>
    </cfRule>
    <cfRule type="expression" dxfId="5116" priority="47">
      <formula>AND(B$9&gt;=14/24,B$9&lt;20/24)</formula>
    </cfRule>
    <cfRule type="expression" dxfId="5115" priority="48">
      <formula>AND(B$9&gt;=8/24,B$9&lt;14/24)</formula>
    </cfRule>
    <cfRule type="expression" dxfId="5114" priority="49">
      <formula>B$9&lt;8/24</formula>
    </cfRule>
  </conditionalFormatting>
  <conditionalFormatting sqref="B61:F66">
    <cfRule type="expression" dxfId="5113" priority="45">
      <formula>B61&gt;$AG61</formula>
    </cfRule>
  </conditionalFormatting>
  <conditionalFormatting sqref="B11:E11">
    <cfRule type="expression" dxfId="5112" priority="41">
      <formula>B$9&gt;=20/24</formula>
    </cfRule>
    <cfRule type="expression" dxfId="5111" priority="42">
      <formula>AND(B$9&gt;=14/24,B$9&lt;20/24)</formula>
    </cfRule>
    <cfRule type="expression" dxfId="5110" priority="43">
      <formula>AND(B$9&gt;=8/24,B$9&lt;14/24)</formula>
    </cfRule>
    <cfRule type="expression" dxfId="5109" priority="44">
      <formula>B$9&lt;8/24</formula>
    </cfRule>
  </conditionalFormatting>
  <conditionalFormatting sqref="B11:E11">
    <cfRule type="expression" dxfId="5108" priority="40">
      <formula>B11&gt;$AG11</formula>
    </cfRule>
  </conditionalFormatting>
  <conditionalFormatting sqref="B18:E18">
    <cfRule type="expression" dxfId="5107" priority="36">
      <formula>B$9&gt;=20/24</formula>
    </cfRule>
    <cfRule type="expression" dxfId="5106" priority="37">
      <formula>AND(B$9&gt;=14/24,B$9&lt;20/24)</formula>
    </cfRule>
    <cfRule type="expression" dxfId="5105" priority="38">
      <formula>AND(B$9&gt;=8/24,B$9&lt;14/24)</formula>
    </cfRule>
    <cfRule type="expression" dxfId="5104" priority="39">
      <formula>B$9&lt;8/24</formula>
    </cfRule>
  </conditionalFormatting>
  <conditionalFormatting sqref="B18:E18">
    <cfRule type="expression" dxfId="5103" priority="35">
      <formula>B18&gt;$AG18</formula>
    </cfRule>
  </conditionalFormatting>
  <conditionalFormatting sqref="B120">
    <cfRule type="expression" dxfId="5102" priority="31">
      <formula>B$9&gt;=20/24</formula>
    </cfRule>
    <cfRule type="expression" dxfId="5101" priority="32">
      <formula>AND(B$9&gt;=14/24,B$9&lt;20/24)</formula>
    </cfRule>
    <cfRule type="expression" dxfId="5100" priority="33">
      <formula>AND(B$9&gt;=8/24,B$9&lt;14/24)</formula>
    </cfRule>
    <cfRule type="expression" dxfId="5099" priority="34">
      <formula>B$9&lt;8/24</formula>
    </cfRule>
  </conditionalFormatting>
  <conditionalFormatting sqref="B19:E28 B30:E34 B36:E44 B45:F45">
    <cfRule type="expression" dxfId="5098" priority="27">
      <formula>B$9&gt;=20/24</formula>
    </cfRule>
    <cfRule type="expression" dxfId="5097" priority="28">
      <formula>AND(B$9&gt;=14/24,B$9&lt;20/24)</formula>
    </cfRule>
    <cfRule type="expression" dxfId="5096" priority="29">
      <formula>AND(B$9&gt;=8/24,B$9&lt;14/24)</formula>
    </cfRule>
    <cfRule type="expression" dxfId="5095" priority="30">
      <formula>B$9&lt;8/24</formula>
    </cfRule>
  </conditionalFormatting>
  <conditionalFormatting sqref="B19:E28 B30:E34 B36:E44 B45:F45">
    <cfRule type="expression" dxfId="5094" priority="26">
      <formula>B19&gt;$AG19</formula>
    </cfRule>
  </conditionalFormatting>
  <conditionalFormatting sqref="B47:F47">
    <cfRule type="expression" dxfId="5093" priority="25">
      <formula>B47&gt;$AG47</formula>
    </cfRule>
  </conditionalFormatting>
  <conditionalFormatting sqref="B47:F47">
    <cfRule type="expression" dxfId="5092" priority="21">
      <formula>B$9&gt;=20/24</formula>
    </cfRule>
    <cfRule type="expression" dxfId="5091" priority="22">
      <formula>AND(B$9&gt;=14/24,B$9&lt;20/24)</formula>
    </cfRule>
    <cfRule type="expression" dxfId="5090" priority="23">
      <formula>AND(B$9&gt;=8/24,B$9&lt;14/24)</formula>
    </cfRule>
    <cfRule type="expression" dxfId="5089" priority="24">
      <formula>B$9&lt;8/24</formula>
    </cfRule>
  </conditionalFormatting>
  <conditionalFormatting sqref="B48:AF48">
    <cfRule type="expression" dxfId="5088" priority="17">
      <formula>B$9&gt;=20/24</formula>
    </cfRule>
    <cfRule type="expression" dxfId="5087" priority="18">
      <formula>AND(B$9&gt;=14/24,B$9&lt;20/24)</formula>
    </cfRule>
    <cfRule type="expression" dxfId="5086" priority="19">
      <formula>AND(B$9&gt;=8/24,B$9&lt;14/24)</formula>
    </cfRule>
    <cfRule type="expression" dxfId="5085" priority="20">
      <formula>B$9&lt;8/24</formula>
    </cfRule>
  </conditionalFormatting>
  <conditionalFormatting sqref="B48:AF48">
    <cfRule type="expression" dxfId="5084" priority="16">
      <formula>B48&gt;$AG48</formula>
    </cfRule>
  </conditionalFormatting>
  <conditionalFormatting sqref="B35:E35">
    <cfRule type="expression" dxfId="5083" priority="12">
      <formula>B$9&gt;=20/24</formula>
    </cfRule>
    <cfRule type="expression" dxfId="5082" priority="13">
      <formula>AND(B$9&gt;=14/24,B$9&lt;20/24)</formula>
    </cfRule>
    <cfRule type="expression" dxfId="5081" priority="14">
      <formula>AND(B$9&gt;=8/24,B$9&lt;14/24)</formula>
    </cfRule>
    <cfRule type="expression" dxfId="5080" priority="15">
      <formula>B$9&lt;8/24</formula>
    </cfRule>
  </conditionalFormatting>
  <conditionalFormatting sqref="B35:E35">
    <cfRule type="expression" dxfId="5079" priority="11">
      <formula>B35&gt;$AG35</formula>
    </cfRule>
  </conditionalFormatting>
  <conditionalFormatting sqref="B46:E46">
    <cfRule type="expression" dxfId="5078" priority="10">
      <formula>B46&gt;$AG46</formula>
    </cfRule>
  </conditionalFormatting>
  <conditionalFormatting sqref="B46:E46">
    <cfRule type="expression" dxfId="5077" priority="6">
      <formula>B$9&gt;=20/24</formula>
    </cfRule>
    <cfRule type="expression" dxfId="5076" priority="7">
      <formula>AND(B$9&gt;=14/24,B$9&lt;20/24)</formula>
    </cfRule>
    <cfRule type="expression" dxfId="5075" priority="8">
      <formula>AND(B$9&gt;=8/24,B$9&lt;14/24)</formula>
    </cfRule>
    <cfRule type="expression" dxfId="5074" priority="9">
      <formula>B$9&lt;8/24</formula>
    </cfRule>
  </conditionalFormatting>
  <conditionalFormatting sqref="B29:E29">
    <cfRule type="expression" dxfId="5073" priority="2">
      <formula>B$9&gt;=20/24</formula>
    </cfRule>
    <cfRule type="expression" dxfId="5072" priority="3">
      <formula>AND(B$9&gt;=14/24,B$9&lt;20/24)</formula>
    </cfRule>
    <cfRule type="expression" dxfId="5071" priority="4">
      <formula>AND(B$9&gt;=8/24,B$9&lt;14/24)</formula>
    </cfRule>
    <cfRule type="expression" dxfId="5070" priority="5">
      <formula>B$9&lt;8/24</formula>
    </cfRule>
  </conditionalFormatting>
  <conditionalFormatting sqref="B29:E29">
    <cfRule type="expression" dxfId="5069" priority="1">
      <formula>B29&gt;$AG29</formula>
    </cfRule>
  </conditionalFormatting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2A23-3EAD-4B2C-A729-A929CF1FAA23}">
  <dimension ref="A1:CJ281"/>
  <sheetViews>
    <sheetView zoomScaleNormal="100" workbookViewId="0">
      <pane xSplit="1" ySplit="10" topLeftCell="B58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M73" sqref="M73"/>
    </sheetView>
  </sheetViews>
  <sheetFormatPr defaultRowHeight="15" x14ac:dyDescent="0.25"/>
  <cols>
    <col min="1" max="1" width="42.140625" style="1" customWidth="1"/>
    <col min="2" max="2" width="9.5703125" style="1" customWidth="1"/>
    <col min="3" max="3" width="8.7109375" style="1" customWidth="1"/>
    <col min="4" max="4" width="9.140625" style="1" customWidth="1"/>
    <col min="5" max="5" width="9" style="1" customWidth="1"/>
    <col min="6" max="6" width="7.5703125" style="1" customWidth="1"/>
    <col min="7" max="7" width="8.140625" style="1" customWidth="1"/>
    <col min="8" max="8" width="6.42578125" style="1" bestFit="1" customWidth="1"/>
    <col min="9" max="9" width="10.7109375" style="1" customWidth="1"/>
    <col min="10" max="10" width="9.42578125" style="1" customWidth="1"/>
    <col min="11" max="11" width="9.5703125" style="1" customWidth="1"/>
    <col min="12" max="12" width="7.42578125" style="1" customWidth="1"/>
    <col min="13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2080/03/29</v>
      </c>
      <c r="C4" s="187"/>
      <c r="D4" s="187"/>
      <c r="E4" s="188" t="str">
        <f ca="1">"2079/"&amp;"12/"&amp;INT(MID(CELL("filename",G6),FIND("]",CELL("filename",G6))+1,200))</f>
        <v>2079/12/29</v>
      </c>
      <c r="F4" s="188"/>
      <c r="G4" s="188"/>
      <c r="H4" s="188" t="str">
        <f ca="1">TEXT(E4,"dddd")</f>
        <v>Friday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24</v>
      </c>
      <c r="C5" s="30">
        <f t="shared" si="0"/>
        <v>5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15.2</v>
      </c>
      <c r="M5" s="30">
        <f t="shared" si="0"/>
        <v>23</v>
      </c>
      <c r="N5" s="30">
        <f t="shared" si="0"/>
        <v>33.9</v>
      </c>
      <c r="O5" s="30">
        <f t="shared" si="0"/>
        <v>42.7</v>
      </c>
      <c r="P5" s="30">
        <f t="shared" si="0"/>
        <v>18.3</v>
      </c>
      <c r="Q5" s="30">
        <f t="shared" si="0"/>
        <v>53.5</v>
      </c>
      <c r="R5" s="30">
        <f t="shared" si="0"/>
        <v>46.6</v>
      </c>
      <c r="S5" s="30">
        <f t="shared" si="0"/>
        <v>56.3</v>
      </c>
      <c r="T5" s="30">
        <f t="shared" si="0"/>
        <v>10.3</v>
      </c>
      <c r="U5" s="30">
        <f t="shared" si="0"/>
        <v>22.3</v>
      </c>
      <c r="V5" s="30">
        <f t="shared" si="0"/>
        <v>28</v>
      </c>
      <c r="W5" s="30">
        <f t="shared" si="0"/>
        <v>17.7</v>
      </c>
      <c r="X5" s="30">
        <f t="shared" si="0"/>
        <v>3</v>
      </c>
      <c r="Y5" s="30">
        <f t="shared" si="0"/>
        <v>2.6</v>
      </c>
      <c r="Z5" s="30">
        <f t="shared" si="0"/>
        <v>13.2</v>
      </c>
      <c r="AA5" s="30">
        <f t="shared" si="0"/>
        <v>19.600000000000001</v>
      </c>
      <c r="AB5" s="30">
        <f t="shared" si="0"/>
        <v>22</v>
      </c>
      <c r="AC5" s="30">
        <f t="shared" si="0"/>
        <v>25.7</v>
      </c>
      <c r="AD5" s="30">
        <f t="shared" si="0"/>
        <v>27.9</v>
      </c>
      <c r="AE5" s="30">
        <f t="shared" si="0"/>
        <v>28.6</v>
      </c>
      <c r="AF5" s="30">
        <f>B84</f>
        <v>30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2009MW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Load=1883</v>
      </c>
      <c r="B7" s="35">
        <f t="shared" ref="B7:AF7" si="1">B91</f>
        <v>1889.24</v>
      </c>
      <c r="C7" s="35">
        <f t="shared" si="1"/>
        <v>1883.24</v>
      </c>
      <c r="D7" s="35">
        <f t="shared" si="1"/>
        <v>1894.24</v>
      </c>
      <c r="E7" s="35">
        <f t="shared" si="1"/>
        <v>1937.14</v>
      </c>
      <c r="F7" s="35">
        <f t="shared" si="1"/>
        <v>1920.14</v>
      </c>
      <c r="G7" s="35">
        <f t="shared" si="1"/>
        <v>1897.14</v>
      </c>
      <c r="H7" s="35">
        <f t="shared" si="1"/>
        <v>1897.14</v>
      </c>
      <c r="I7" s="35">
        <f t="shared" si="1"/>
        <v>1917.14</v>
      </c>
      <c r="J7" s="35">
        <f t="shared" si="1"/>
        <v>1912.14</v>
      </c>
      <c r="K7" s="35">
        <f t="shared" si="1"/>
        <v>1928.64</v>
      </c>
      <c r="L7" s="35">
        <f t="shared" si="1"/>
        <v>1962.04</v>
      </c>
      <c r="M7" s="35">
        <f t="shared" si="1"/>
        <v>1989.24</v>
      </c>
      <c r="N7" s="35">
        <f>N91</f>
        <v>2009.34</v>
      </c>
      <c r="O7" s="35">
        <f t="shared" si="1"/>
        <v>2013.44</v>
      </c>
      <c r="P7" s="35">
        <f t="shared" si="1"/>
        <v>2028.24</v>
      </c>
      <c r="Q7" s="35">
        <f t="shared" si="1"/>
        <v>2028.04</v>
      </c>
      <c r="R7" s="35">
        <f t="shared" si="1"/>
        <v>2098.34</v>
      </c>
      <c r="S7" s="35">
        <f t="shared" si="1"/>
        <v>2045.04</v>
      </c>
      <c r="T7" s="35">
        <f t="shared" si="1"/>
        <v>2064.6400000000003</v>
      </c>
      <c r="U7" s="35">
        <f t="shared" si="1"/>
        <v>2019.0200000000002</v>
      </c>
      <c r="V7" s="35">
        <f t="shared" si="1"/>
        <v>1990.6200000000001</v>
      </c>
      <c r="W7" s="35">
        <f t="shared" si="1"/>
        <v>1962.1200000000003</v>
      </c>
      <c r="X7" s="35">
        <f t="shared" si="1"/>
        <v>1951.8200000000004</v>
      </c>
      <c r="Y7" s="35">
        <f t="shared" si="1"/>
        <v>1926.9200000000003</v>
      </c>
      <c r="Z7" s="35">
        <f t="shared" si="1"/>
        <v>1992.52</v>
      </c>
      <c r="AA7" s="35">
        <f t="shared" si="1"/>
        <v>2008.72</v>
      </c>
      <c r="AB7" s="35">
        <f t="shared" si="1"/>
        <v>2039.3199999999997</v>
      </c>
      <c r="AC7" s="35">
        <f t="shared" si="1"/>
        <v>2048.2199999999998</v>
      </c>
      <c r="AD7" s="35">
        <f t="shared" si="1"/>
        <v>2040.5199999999998</v>
      </c>
      <c r="AE7" s="35">
        <f t="shared" si="1"/>
        <v>1970.42</v>
      </c>
      <c r="AF7" s="35">
        <f t="shared" si="1"/>
        <v>1925.7199999999998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86.9</v>
      </c>
      <c r="C11" s="45">
        <v>86.9</v>
      </c>
      <c r="D11" s="45">
        <v>86.9</v>
      </c>
      <c r="E11" s="45">
        <v>86.9</v>
      </c>
      <c r="F11" s="45">
        <v>86.9</v>
      </c>
      <c r="G11" s="45">
        <v>86.9</v>
      </c>
      <c r="H11" s="45">
        <v>86.9</v>
      </c>
      <c r="I11" s="45">
        <v>86.9</v>
      </c>
      <c r="J11" s="45">
        <v>86.9</v>
      </c>
      <c r="K11" s="45">
        <v>86.9</v>
      </c>
      <c r="L11" s="45">
        <v>86.9</v>
      </c>
      <c r="M11" s="45">
        <v>86.9</v>
      </c>
      <c r="N11" s="45">
        <v>86.9</v>
      </c>
      <c r="O11" s="45">
        <v>86.9</v>
      </c>
      <c r="P11" s="45">
        <v>86.9</v>
      </c>
      <c r="Q11" s="45">
        <v>86.9</v>
      </c>
      <c r="R11" s="45">
        <v>86.9</v>
      </c>
      <c r="S11" s="45">
        <v>77</v>
      </c>
      <c r="T11" s="45">
        <v>86.5</v>
      </c>
      <c r="U11" s="45">
        <v>86.5</v>
      </c>
      <c r="V11" s="45">
        <v>86.6</v>
      </c>
      <c r="W11" s="45">
        <v>86.6</v>
      </c>
      <c r="X11" s="45">
        <v>86.6</v>
      </c>
      <c r="Y11" s="45">
        <v>86.6</v>
      </c>
      <c r="Z11" s="45">
        <v>86.4</v>
      </c>
      <c r="AA11" s="45">
        <v>86.4</v>
      </c>
      <c r="AB11" s="45">
        <v>86.4</v>
      </c>
      <c r="AC11" s="45">
        <v>86.4</v>
      </c>
      <c r="AD11" s="45">
        <v>86.4</v>
      </c>
      <c r="AE11" s="45">
        <v>86.4</v>
      </c>
      <c r="AF11" s="45">
        <v>86.4</v>
      </c>
      <c r="AG11" s="46">
        <v>86</v>
      </c>
      <c r="AH11" s="47">
        <f t="shared" ref="AH11:AH76" si="2">MAX(B11:AF11)</f>
        <v>86.9</v>
      </c>
      <c r="AI11" s="48">
        <f t="shared" ref="AI11:AI76" si="3">MIN(B11:AF11)</f>
        <v>77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20</v>
      </c>
      <c r="C12" s="45">
        <v>20</v>
      </c>
      <c r="D12" s="45">
        <v>20</v>
      </c>
      <c r="E12" s="45">
        <v>20</v>
      </c>
      <c r="F12" s="45">
        <v>20</v>
      </c>
      <c r="G12" s="45">
        <v>20</v>
      </c>
      <c r="H12" s="45">
        <v>20</v>
      </c>
      <c r="I12" s="45">
        <v>20</v>
      </c>
      <c r="J12" s="45">
        <v>20</v>
      </c>
      <c r="K12" s="45">
        <v>20</v>
      </c>
      <c r="L12" s="45">
        <v>25</v>
      </c>
      <c r="M12" s="45">
        <v>25</v>
      </c>
      <c r="N12" s="45">
        <v>25</v>
      </c>
      <c r="O12" s="45">
        <v>25</v>
      </c>
      <c r="P12" s="45">
        <v>25</v>
      </c>
      <c r="Q12" s="45">
        <v>26.5</v>
      </c>
      <c r="R12" s="45">
        <v>26.5</v>
      </c>
      <c r="S12" s="45">
        <v>16.5</v>
      </c>
      <c r="T12" s="45">
        <v>26.5</v>
      </c>
      <c r="U12" s="45">
        <v>26.5</v>
      </c>
      <c r="V12" s="45">
        <v>26.5</v>
      </c>
      <c r="W12" s="45">
        <v>16</v>
      </c>
      <c r="X12" s="45">
        <v>16</v>
      </c>
      <c r="Y12" s="45">
        <v>16</v>
      </c>
      <c r="Z12" s="45">
        <v>26.5</v>
      </c>
      <c r="AA12" s="45">
        <v>26.5</v>
      </c>
      <c r="AB12" s="45">
        <v>26.5</v>
      </c>
      <c r="AC12" s="45">
        <v>26.5</v>
      </c>
      <c r="AD12" s="45">
        <v>26.5</v>
      </c>
      <c r="AE12" s="45">
        <v>15</v>
      </c>
      <c r="AF12" s="45">
        <v>15</v>
      </c>
      <c r="AG12" s="49">
        <v>54</v>
      </c>
      <c r="AH12" s="47">
        <f t="shared" si="2"/>
        <v>26.5</v>
      </c>
      <c r="AI12" s="48">
        <f t="shared" si="3"/>
        <v>15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55</v>
      </c>
      <c r="C13" s="45">
        <v>55</v>
      </c>
      <c r="D13" s="45">
        <v>55</v>
      </c>
      <c r="E13" s="45">
        <v>55</v>
      </c>
      <c r="F13" s="45">
        <v>55</v>
      </c>
      <c r="G13" s="45">
        <v>55</v>
      </c>
      <c r="H13" s="45">
        <v>55</v>
      </c>
      <c r="I13" s="45">
        <v>55</v>
      </c>
      <c r="J13" s="45">
        <v>55</v>
      </c>
      <c r="K13" s="45">
        <v>55</v>
      </c>
      <c r="L13" s="45">
        <v>55</v>
      </c>
      <c r="M13" s="45">
        <v>55</v>
      </c>
      <c r="N13" s="45">
        <v>55</v>
      </c>
      <c r="O13" s="45">
        <v>55</v>
      </c>
      <c r="P13" s="45">
        <v>54.8</v>
      </c>
      <c r="Q13" s="45">
        <v>54.8</v>
      </c>
      <c r="R13" s="45">
        <v>54.8</v>
      </c>
      <c r="S13" s="45">
        <v>54.8</v>
      </c>
      <c r="T13" s="45">
        <v>54.8</v>
      </c>
      <c r="U13" s="45">
        <v>54.8</v>
      </c>
      <c r="V13" s="45">
        <v>54.4</v>
      </c>
      <c r="W13" s="45">
        <v>54.4</v>
      </c>
      <c r="X13" s="45">
        <v>54.4</v>
      </c>
      <c r="Y13" s="45">
        <v>54.4</v>
      </c>
      <c r="Z13" s="45">
        <v>54.5</v>
      </c>
      <c r="AA13" s="45">
        <v>54.5</v>
      </c>
      <c r="AB13" s="45">
        <v>55</v>
      </c>
      <c r="AC13" s="45">
        <v>54.9</v>
      </c>
      <c r="AD13" s="45">
        <v>54.9</v>
      </c>
      <c r="AE13" s="45">
        <v>55.1</v>
      </c>
      <c r="AF13" s="45">
        <v>55.1</v>
      </c>
      <c r="AG13" s="46">
        <v>52.4</v>
      </c>
      <c r="AH13" s="47">
        <f t="shared" si="2"/>
        <v>55.1</v>
      </c>
      <c r="AI13" s="48">
        <f t="shared" si="3"/>
        <v>54.4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>
        <v>50.4</v>
      </c>
      <c r="C14" s="50">
        <v>50.4</v>
      </c>
      <c r="D14" s="50">
        <v>50.4</v>
      </c>
      <c r="E14" s="50">
        <v>50.4</v>
      </c>
      <c r="F14" s="50">
        <v>50.4</v>
      </c>
      <c r="G14" s="50">
        <v>50.4</v>
      </c>
      <c r="H14" s="50">
        <v>50.4</v>
      </c>
      <c r="I14" s="50">
        <v>50.4</v>
      </c>
      <c r="J14" s="50">
        <v>50.4</v>
      </c>
      <c r="K14" s="50">
        <v>50.4</v>
      </c>
      <c r="L14" s="50">
        <v>50.4</v>
      </c>
      <c r="M14" s="50">
        <v>50.4</v>
      </c>
      <c r="N14" s="50">
        <v>50.4</v>
      </c>
      <c r="O14" s="50">
        <v>50.4</v>
      </c>
      <c r="P14" s="50">
        <v>50.4</v>
      </c>
      <c r="Q14" s="50">
        <v>50.4</v>
      </c>
      <c r="R14" s="50">
        <v>50.4</v>
      </c>
      <c r="S14" s="50">
        <v>50.4</v>
      </c>
      <c r="T14" s="50">
        <v>50.4</v>
      </c>
      <c r="U14" s="50">
        <v>50.4</v>
      </c>
      <c r="V14" s="50">
        <v>50.4</v>
      </c>
      <c r="W14" s="50">
        <v>50.4</v>
      </c>
      <c r="X14" s="50">
        <v>50.4</v>
      </c>
      <c r="Y14" s="50">
        <v>50.4</v>
      </c>
      <c r="Z14" s="45">
        <v>50.4</v>
      </c>
      <c r="AA14" s="45">
        <v>50.4</v>
      </c>
      <c r="AB14" s="45">
        <v>50.4</v>
      </c>
      <c r="AC14" s="45">
        <v>50.4</v>
      </c>
      <c r="AD14" s="45">
        <v>50.4</v>
      </c>
      <c r="AE14" s="45">
        <v>50.4</v>
      </c>
      <c r="AF14" s="45">
        <v>50.4</v>
      </c>
      <c r="AG14" s="49">
        <v>50</v>
      </c>
      <c r="AH14" s="47">
        <f t="shared" si="2"/>
        <v>50.4</v>
      </c>
      <c r="AI14" s="48">
        <f t="shared" si="3"/>
        <v>50.4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45.7</v>
      </c>
      <c r="C15" s="45">
        <v>45.7</v>
      </c>
      <c r="D15" s="45">
        <v>45.7</v>
      </c>
      <c r="E15" s="45">
        <v>45.7</v>
      </c>
      <c r="F15" s="45">
        <v>45.7</v>
      </c>
      <c r="G15" s="45">
        <v>45.7</v>
      </c>
      <c r="H15" s="45">
        <v>45.7</v>
      </c>
      <c r="I15" s="45">
        <v>45.7</v>
      </c>
      <c r="J15" s="45">
        <v>45.7</v>
      </c>
      <c r="K15" s="45">
        <v>45.7</v>
      </c>
      <c r="L15" s="45">
        <v>45.7</v>
      </c>
      <c r="M15" s="45">
        <v>45.7</v>
      </c>
      <c r="N15" s="45">
        <v>45.7</v>
      </c>
      <c r="O15" s="45">
        <v>45.7</v>
      </c>
      <c r="P15" s="45">
        <v>45.7</v>
      </c>
      <c r="Q15" s="45">
        <v>45.7</v>
      </c>
      <c r="R15" s="45">
        <v>45.7</v>
      </c>
      <c r="S15" s="45">
        <v>45.7</v>
      </c>
      <c r="T15" s="45">
        <v>45.7</v>
      </c>
      <c r="U15" s="45">
        <v>45.7</v>
      </c>
      <c r="V15" s="45">
        <v>36</v>
      </c>
      <c r="W15" s="45">
        <v>36</v>
      </c>
      <c r="X15" s="45">
        <v>36</v>
      </c>
      <c r="Y15" s="45">
        <v>36</v>
      </c>
      <c r="Z15" s="45">
        <v>45</v>
      </c>
      <c r="AA15" s="45">
        <v>45</v>
      </c>
      <c r="AB15" s="45">
        <v>45.9</v>
      </c>
      <c r="AC15" s="45">
        <v>45.9</v>
      </c>
      <c r="AD15" s="45">
        <v>45.9</v>
      </c>
      <c r="AE15" s="45">
        <v>45.8</v>
      </c>
      <c r="AF15" s="45">
        <v>45.8</v>
      </c>
      <c r="AG15" s="49">
        <v>45</v>
      </c>
      <c r="AH15" s="47">
        <f t="shared" si="2"/>
        <v>45.9</v>
      </c>
      <c r="AI15" s="48">
        <f t="shared" si="3"/>
        <v>36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32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32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36</v>
      </c>
      <c r="C17" s="45">
        <v>36</v>
      </c>
      <c r="D17" s="45">
        <v>36</v>
      </c>
      <c r="E17" s="45">
        <v>36</v>
      </c>
      <c r="F17" s="45">
        <v>26</v>
      </c>
      <c r="G17" s="45">
        <v>26</v>
      </c>
      <c r="H17" s="45">
        <v>26</v>
      </c>
      <c r="I17" s="45">
        <v>26</v>
      </c>
      <c r="J17" s="45">
        <v>26</v>
      </c>
      <c r="K17" s="45">
        <v>36</v>
      </c>
      <c r="L17" s="45">
        <v>36</v>
      </c>
      <c r="M17" s="45">
        <v>36</v>
      </c>
      <c r="N17" s="45">
        <v>36</v>
      </c>
      <c r="O17" s="45">
        <v>36</v>
      </c>
      <c r="P17" s="45">
        <v>36</v>
      </c>
      <c r="Q17" s="45">
        <v>36.5</v>
      </c>
      <c r="R17" s="45">
        <v>36.5</v>
      </c>
      <c r="S17" s="45">
        <v>32.5</v>
      </c>
      <c r="T17" s="45">
        <v>32.5</v>
      </c>
      <c r="U17" s="45">
        <v>32.5</v>
      </c>
      <c r="V17" s="45">
        <v>32.5</v>
      </c>
      <c r="W17" s="45">
        <v>30</v>
      </c>
      <c r="X17" s="45">
        <v>30</v>
      </c>
      <c r="Y17" s="45">
        <v>30</v>
      </c>
      <c r="Z17" s="45">
        <v>30</v>
      </c>
      <c r="AA17" s="45">
        <v>30</v>
      </c>
      <c r="AB17" s="45">
        <v>30</v>
      </c>
      <c r="AC17" s="45">
        <v>30</v>
      </c>
      <c r="AD17" s="45">
        <v>30</v>
      </c>
      <c r="AE17" s="45">
        <v>28</v>
      </c>
      <c r="AF17" s="45">
        <v>28</v>
      </c>
      <c r="AG17" s="49">
        <v>42</v>
      </c>
      <c r="AH17" s="47">
        <f t="shared" si="2"/>
        <v>36.5</v>
      </c>
      <c r="AI17" s="48">
        <f t="shared" si="3"/>
        <v>26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0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25</v>
      </c>
      <c r="C19" s="45">
        <v>25</v>
      </c>
      <c r="D19" s="45">
        <v>25</v>
      </c>
      <c r="E19" s="45">
        <v>25</v>
      </c>
      <c r="F19" s="45">
        <v>25</v>
      </c>
      <c r="G19" s="45">
        <v>25</v>
      </c>
      <c r="H19" s="45">
        <v>25</v>
      </c>
      <c r="I19" s="45">
        <v>25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0</v>
      </c>
      <c r="P19" s="45">
        <v>0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15</v>
      </c>
      <c r="C20" s="45">
        <v>15</v>
      </c>
      <c r="D20" s="45">
        <v>15</v>
      </c>
      <c r="E20" s="45">
        <v>15</v>
      </c>
      <c r="F20" s="45">
        <v>15</v>
      </c>
      <c r="G20" s="45">
        <v>5</v>
      </c>
      <c r="H20" s="45">
        <v>5</v>
      </c>
      <c r="I20" s="45">
        <v>15</v>
      </c>
      <c r="J20" s="45">
        <v>15</v>
      </c>
      <c r="K20" s="45">
        <v>25</v>
      </c>
      <c r="L20" s="45">
        <v>30</v>
      </c>
      <c r="M20" s="45">
        <v>30</v>
      </c>
      <c r="N20" s="45">
        <v>30</v>
      </c>
      <c r="O20" s="45">
        <v>30</v>
      </c>
      <c r="P20" s="45">
        <v>30</v>
      </c>
      <c r="Q20" s="45">
        <v>30</v>
      </c>
      <c r="R20" s="45">
        <v>30</v>
      </c>
      <c r="S20" s="45">
        <v>30</v>
      </c>
      <c r="T20" s="45">
        <v>30</v>
      </c>
      <c r="U20" s="45">
        <v>30</v>
      </c>
      <c r="V20" s="45">
        <v>30</v>
      </c>
      <c r="W20" s="45">
        <v>15</v>
      </c>
      <c r="X20" s="45">
        <v>15</v>
      </c>
      <c r="Y20" s="45">
        <v>15</v>
      </c>
      <c r="Z20" s="45">
        <v>29.8</v>
      </c>
      <c r="AA20" s="45">
        <v>29.8</v>
      </c>
      <c r="AB20" s="45">
        <v>16</v>
      </c>
      <c r="AC20" s="45">
        <v>16</v>
      </c>
      <c r="AD20" s="45">
        <v>16</v>
      </c>
      <c r="AE20" s="45">
        <v>9</v>
      </c>
      <c r="AF20" s="45">
        <v>9</v>
      </c>
      <c r="AG20" s="51">
        <v>30</v>
      </c>
      <c r="AH20" s="47">
        <f t="shared" si="2"/>
        <v>30</v>
      </c>
      <c r="AI20" s="48">
        <f t="shared" si="3"/>
        <v>5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20.8</v>
      </c>
      <c r="C21" s="45">
        <v>20.8</v>
      </c>
      <c r="D21" s="45">
        <v>20.8</v>
      </c>
      <c r="E21" s="45">
        <v>20.8</v>
      </c>
      <c r="F21" s="45">
        <v>20.8</v>
      </c>
      <c r="G21" s="45">
        <v>20.8</v>
      </c>
      <c r="H21" s="45">
        <v>20.8</v>
      </c>
      <c r="I21" s="45">
        <v>20.8</v>
      </c>
      <c r="J21" s="45">
        <v>20.8</v>
      </c>
      <c r="K21" s="45">
        <v>20.8</v>
      </c>
      <c r="L21" s="45">
        <v>20.8</v>
      </c>
      <c r="M21" s="45">
        <v>20.8</v>
      </c>
      <c r="N21" s="45">
        <v>20.8</v>
      </c>
      <c r="O21" s="45">
        <v>33</v>
      </c>
      <c r="P21" s="45">
        <v>33</v>
      </c>
      <c r="Q21" s="45">
        <v>20.5</v>
      </c>
      <c r="R21" s="45">
        <v>20.5</v>
      </c>
      <c r="S21" s="45">
        <v>20.5</v>
      </c>
      <c r="T21" s="45">
        <v>20.5</v>
      </c>
      <c r="U21" s="45">
        <v>20.5</v>
      </c>
      <c r="V21" s="45">
        <v>20.5</v>
      </c>
      <c r="W21" s="45">
        <v>20.5</v>
      </c>
      <c r="X21" s="45">
        <v>20.5</v>
      </c>
      <c r="Y21" s="45">
        <v>20.5</v>
      </c>
      <c r="Z21" s="45">
        <v>22</v>
      </c>
      <c r="AA21" s="45">
        <v>22</v>
      </c>
      <c r="AB21" s="45">
        <v>20</v>
      </c>
      <c r="AC21" s="45">
        <v>20</v>
      </c>
      <c r="AD21" s="45">
        <v>20</v>
      </c>
      <c r="AE21" s="45">
        <v>20.8</v>
      </c>
      <c r="AF21" s="45">
        <v>20.8</v>
      </c>
      <c r="AG21" s="49">
        <v>24.2</v>
      </c>
      <c r="AH21" s="47">
        <f t="shared" si="2"/>
        <v>33</v>
      </c>
      <c r="AI21" s="48">
        <f t="shared" si="3"/>
        <v>20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20.7</v>
      </c>
      <c r="C22" s="45">
        <v>20.7</v>
      </c>
      <c r="D22" s="45">
        <v>20.7</v>
      </c>
      <c r="E22" s="45">
        <v>20.7</v>
      </c>
      <c r="F22" s="45">
        <v>20.7</v>
      </c>
      <c r="G22" s="45">
        <v>20.7</v>
      </c>
      <c r="H22" s="45">
        <v>20.7</v>
      </c>
      <c r="I22" s="45">
        <v>20.7</v>
      </c>
      <c r="J22" s="45">
        <v>20.7</v>
      </c>
      <c r="K22" s="45">
        <v>20.7</v>
      </c>
      <c r="L22" s="45">
        <v>20.7</v>
      </c>
      <c r="M22" s="45">
        <v>20.7</v>
      </c>
      <c r="N22" s="45">
        <v>20.7</v>
      </c>
      <c r="O22" s="45">
        <v>28.6</v>
      </c>
      <c r="P22" s="45">
        <v>28.6</v>
      </c>
      <c r="Q22" s="45">
        <v>21.2</v>
      </c>
      <c r="R22" s="45">
        <v>21.2</v>
      </c>
      <c r="S22" s="45">
        <v>21.2</v>
      </c>
      <c r="T22" s="45">
        <v>21.2</v>
      </c>
      <c r="U22" s="45">
        <v>21.2</v>
      </c>
      <c r="V22" s="45">
        <v>21.2</v>
      </c>
      <c r="W22" s="45">
        <v>21.2</v>
      </c>
      <c r="X22" s="45">
        <v>21.2</v>
      </c>
      <c r="Y22" s="45">
        <v>21.2</v>
      </c>
      <c r="Z22" s="45">
        <v>20.9</v>
      </c>
      <c r="AA22" s="45">
        <v>20.9</v>
      </c>
      <c r="AB22" s="45">
        <v>21.2</v>
      </c>
      <c r="AC22" s="45">
        <v>21.2</v>
      </c>
      <c r="AD22" s="45">
        <v>21.2</v>
      </c>
      <c r="AE22" s="45">
        <v>21.2</v>
      </c>
      <c r="AF22" s="45">
        <v>21.2</v>
      </c>
      <c r="AG22" s="49">
        <v>28</v>
      </c>
      <c r="AH22" s="47">
        <f t="shared" si="2"/>
        <v>28.6</v>
      </c>
      <c r="AI22" s="48">
        <f t="shared" si="3"/>
        <v>20.7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9</v>
      </c>
      <c r="D23" s="45">
        <v>9</v>
      </c>
      <c r="E23" s="45">
        <v>9</v>
      </c>
      <c r="F23" s="45">
        <v>9</v>
      </c>
      <c r="G23" s="45">
        <v>9</v>
      </c>
      <c r="H23" s="45">
        <v>9</v>
      </c>
      <c r="I23" s="45">
        <v>9</v>
      </c>
      <c r="J23" s="45">
        <v>9</v>
      </c>
      <c r="K23" s="45">
        <v>9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9.5</v>
      </c>
      <c r="AA23" s="45">
        <v>9.5</v>
      </c>
      <c r="AB23" s="45">
        <v>9.5</v>
      </c>
      <c r="AC23" s="45">
        <v>9.5</v>
      </c>
      <c r="AD23" s="45">
        <v>9.5</v>
      </c>
      <c r="AE23" s="45">
        <v>9</v>
      </c>
      <c r="AF23" s="45">
        <v>9</v>
      </c>
      <c r="AG23" s="51">
        <v>30</v>
      </c>
      <c r="AH23" s="47">
        <f t="shared" si="2"/>
        <v>9.5</v>
      </c>
      <c r="AI23" s="48">
        <f t="shared" si="3"/>
        <v>9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24</v>
      </c>
      <c r="C24" s="45">
        <v>24</v>
      </c>
      <c r="D24" s="45">
        <v>24</v>
      </c>
      <c r="E24" s="45">
        <v>24</v>
      </c>
      <c r="F24" s="45">
        <v>24</v>
      </c>
      <c r="G24" s="45">
        <v>24</v>
      </c>
      <c r="H24" s="45">
        <v>24</v>
      </c>
      <c r="I24" s="45">
        <v>24</v>
      </c>
      <c r="J24" s="45">
        <v>24</v>
      </c>
      <c r="K24" s="45">
        <v>24</v>
      </c>
      <c r="L24" s="45">
        <v>24</v>
      </c>
      <c r="M24" s="45">
        <v>24</v>
      </c>
      <c r="N24" s="45">
        <v>24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26</v>
      </c>
      <c r="V24" s="45">
        <v>26</v>
      </c>
      <c r="W24" s="45">
        <v>25</v>
      </c>
      <c r="X24" s="45">
        <v>25</v>
      </c>
      <c r="Y24" s="45">
        <v>25</v>
      </c>
      <c r="Z24" s="45">
        <v>25</v>
      </c>
      <c r="AA24" s="45">
        <v>25</v>
      </c>
      <c r="AB24" s="45">
        <v>25.9</v>
      </c>
      <c r="AC24" s="45">
        <v>26</v>
      </c>
      <c r="AD24" s="45">
        <v>26</v>
      </c>
      <c r="AE24" s="45">
        <v>25.9</v>
      </c>
      <c r="AF24" s="45">
        <v>25.9</v>
      </c>
      <c r="AG24" s="49">
        <v>25</v>
      </c>
      <c r="AH24" s="47">
        <f t="shared" si="2"/>
        <v>26</v>
      </c>
      <c r="AI24" s="48">
        <f t="shared" si="3"/>
        <v>0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15</v>
      </c>
      <c r="AC26" s="45">
        <v>15</v>
      </c>
      <c r="AD26" s="45">
        <v>15</v>
      </c>
      <c r="AE26" s="45">
        <v>7</v>
      </c>
      <c r="AF26" s="45">
        <v>7</v>
      </c>
      <c r="AG26" s="49">
        <v>25</v>
      </c>
      <c r="AH26" s="47">
        <f t="shared" si="2"/>
        <v>25</v>
      </c>
      <c r="AI26" s="48">
        <f t="shared" si="3"/>
        <v>7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20</v>
      </c>
      <c r="C27" s="45">
        <v>20</v>
      </c>
      <c r="D27" s="45">
        <v>20</v>
      </c>
      <c r="E27" s="45">
        <v>20</v>
      </c>
      <c r="F27" s="45">
        <v>20</v>
      </c>
      <c r="G27" s="45">
        <v>10</v>
      </c>
      <c r="H27" s="45">
        <v>10</v>
      </c>
      <c r="I27" s="45">
        <v>10</v>
      </c>
      <c r="J27" s="45">
        <v>10</v>
      </c>
      <c r="K27" s="45">
        <v>10</v>
      </c>
      <c r="L27" s="45">
        <v>25</v>
      </c>
      <c r="M27" s="45">
        <v>25</v>
      </c>
      <c r="N27" s="45">
        <v>25</v>
      </c>
      <c r="O27" s="45">
        <v>25</v>
      </c>
      <c r="P27" s="45">
        <v>25</v>
      </c>
      <c r="Q27" s="45">
        <v>25</v>
      </c>
      <c r="R27" s="45">
        <v>25</v>
      </c>
      <c r="S27" s="45">
        <v>25</v>
      </c>
      <c r="T27" s="45">
        <v>25</v>
      </c>
      <c r="U27" s="45">
        <v>25</v>
      </c>
      <c r="V27" s="45">
        <v>25</v>
      </c>
      <c r="W27" s="45">
        <v>16</v>
      </c>
      <c r="X27" s="45">
        <v>16</v>
      </c>
      <c r="Y27" s="45">
        <v>16</v>
      </c>
      <c r="Z27" s="45">
        <v>25</v>
      </c>
      <c r="AA27" s="45">
        <v>25</v>
      </c>
      <c r="AB27" s="45">
        <v>15</v>
      </c>
      <c r="AC27" s="45">
        <v>15</v>
      </c>
      <c r="AD27" s="45">
        <v>15</v>
      </c>
      <c r="AE27" s="45">
        <v>15</v>
      </c>
      <c r="AF27" s="45">
        <v>15</v>
      </c>
      <c r="AG27" s="49">
        <v>25</v>
      </c>
      <c r="AH27" s="47">
        <f t="shared" si="2"/>
        <v>25</v>
      </c>
      <c r="AI27" s="48">
        <f t="shared" si="3"/>
        <v>10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24.8</v>
      </c>
      <c r="C28" s="45">
        <v>24.8</v>
      </c>
      <c r="D28" s="45">
        <v>24.8</v>
      </c>
      <c r="E28" s="45">
        <v>24.8</v>
      </c>
      <c r="F28" s="45">
        <v>24.8</v>
      </c>
      <c r="G28" s="45">
        <v>24.8</v>
      </c>
      <c r="H28" s="45">
        <v>24.8</v>
      </c>
      <c r="I28" s="45">
        <v>24.8</v>
      </c>
      <c r="J28" s="45">
        <v>24.8</v>
      </c>
      <c r="K28" s="45">
        <v>24.8</v>
      </c>
      <c r="L28" s="45">
        <v>24.8</v>
      </c>
      <c r="M28" s="45">
        <v>24.8</v>
      </c>
      <c r="N28" s="45">
        <v>24.8</v>
      </c>
      <c r="O28" s="45">
        <v>24.8</v>
      </c>
      <c r="P28" s="45">
        <v>24.8</v>
      </c>
      <c r="Q28" s="45">
        <v>24.8</v>
      </c>
      <c r="R28" s="45">
        <v>24.8</v>
      </c>
      <c r="S28" s="45">
        <v>24.8</v>
      </c>
      <c r="T28" s="45">
        <v>24.8</v>
      </c>
      <c r="U28" s="45">
        <v>24.8</v>
      </c>
      <c r="V28" s="45">
        <v>24.8</v>
      </c>
      <c r="W28" s="45">
        <v>25</v>
      </c>
      <c r="X28" s="45">
        <v>25</v>
      </c>
      <c r="Y28" s="45">
        <v>25</v>
      </c>
      <c r="Z28" s="45">
        <v>24.9</v>
      </c>
      <c r="AA28" s="45">
        <v>24.9</v>
      </c>
      <c r="AB28" s="45">
        <v>24.9</v>
      </c>
      <c r="AC28" s="45">
        <v>24.9</v>
      </c>
      <c r="AD28" s="45">
        <v>24.9</v>
      </c>
      <c r="AE28" s="45">
        <v>24.9</v>
      </c>
      <c r="AF28" s="45">
        <v>24.9</v>
      </c>
      <c r="AG28" s="49">
        <v>23.5</v>
      </c>
      <c r="AH28" s="47">
        <f t="shared" si="2"/>
        <v>25</v>
      </c>
      <c r="AI28" s="48">
        <f t="shared" si="3"/>
        <v>24.8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22</v>
      </c>
      <c r="C29" s="45">
        <v>22</v>
      </c>
      <c r="D29" s="45">
        <v>22</v>
      </c>
      <c r="E29" s="45">
        <v>22</v>
      </c>
      <c r="F29" s="45">
        <v>25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25</v>
      </c>
      <c r="AI29" s="48">
        <f t="shared" si="3"/>
        <v>22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22</v>
      </c>
      <c r="C32" s="45">
        <v>22</v>
      </c>
      <c r="D32" s="45">
        <v>22</v>
      </c>
      <c r="E32" s="45">
        <v>24.5</v>
      </c>
      <c r="F32" s="45">
        <v>24.5</v>
      </c>
      <c r="G32" s="45">
        <v>24.5</v>
      </c>
      <c r="H32" s="45">
        <v>24.5</v>
      </c>
      <c r="I32" s="45">
        <v>24.5</v>
      </c>
      <c r="J32" s="45">
        <v>24.5</v>
      </c>
      <c r="K32" s="45">
        <v>24.5</v>
      </c>
      <c r="L32" s="45">
        <v>24.5</v>
      </c>
      <c r="M32" s="45">
        <v>24.5</v>
      </c>
      <c r="N32" s="45">
        <v>24.5</v>
      </c>
      <c r="O32" s="45">
        <v>24.5</v>
      </c>
      <c r="P32" s="45">
        <v>24.5</v>
      </c>
      <c r="Q32" s="45">
        <v>24.5</v>
      </c>
      <c r="R32" s="45">
        <v>24.5</v>
      </c>
      <c r="S32" s="45">
        <v>24.5</v>
      </c>
      <c r="T32" s="45">
        <v>24.5</v>
      </c>
      <c r="U32" s="45">
        <v>24.5</v>
      </c>
      <c r="V32" s="45">
        <v>24.5</v>
      </c>
      <c r="W32" s="45">
        <v>25.2</v>
      </c>
      <c r="X32" s="45">
        <v>25.2</v>
      </c>
      <c r="Y32" s="45">
        <v>25.2</v>
      </c>
      <c r="Z32" s="45">
        <v>25.2</v>
      </c>
      <c r="AA32" s="45">
        <v>25.2</v>
      </c>
      <c r="AB32" s="45">
        <v>27</v>
      </c>
      <c r="AC32" s="45">
        <v>27</v>
      </c>
      <c r="AD32" s="45">
        <v>27</v>
      </c>
      <c r="AE32" s="45">
        <v>26</v>
      </c>
      <c r="AF32" s="45">
        <v>26</v>
      </c>
      <c r="AG32" s="49">
        <v>22</v>
      </c>
      <c r="AH32" s="47">
        <f t="shared" si="2"/>
        <v>27</v>
      </c>
      <c r="AI32" s="48">
        <f t="shared" si="3"/>
        <v>22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10</v>
      </c>
      <c r="C33" s="45">
        <v>10</v>
      </c>
      <c r="D33" s="45">
        <v>10</v>
      </c>
      <c r="E33" s="45">
        <v>10</v>
      </c>
      <c r="F33" s="45">
        <v>0</v>
      </c>
      <c r="G33" s="45">
        <v>0</v>
      </c>
      <c r="H33" s="45">
        <v>0</v>
      </c>
      <c r="I33" s="45">
        <v>10</v>
      </c>
      <c r="J33" s="45">
        <v>5</v>
      </c>
      <c r="K33" s="45">
        <v>7</v>
      </c>
      <c r="L33" s="45">
        <v>10</v>
      </c>
      <c r="M33" s="45">
        <v>10</v>
      </c>
      <c r="N33" s="45">
        <v>10</v>
      </c>
      <c r="O33" s="45">
        <v>10</v>
      </c>
      <c r="P33" s="45">
        <v>10</v>
      </c>
      <c r="Q33" s="45">
        <v>20</v>
      </c>
      <c r="R33" s="45">
        <v>15</v>
      </c>
      <c r="S33" s="45">
        <v>15</v>
      </c>
      <c r="T33" s="45">
        <v>15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10</v>
      </c>
      <c r="AA33" s="45">
        <v>10</v>
      </c>
      <c r="AB33" s="45">
        <v>10</v>
      </c>
      <c r="AC33" s="45">
        <v>10</v>
      </c>
      <c r="AD33" s="45">
        <v>10</v>
      </c>
      <c r="AE33" s="45">
        <v>10</v>
      </c>
      <c r="AF33" s="45">
        <v>10</v>
      </c>
      <c r="AG33" s="49">
        <v>20</v>
      </c>
      <c r="AH33" s="47">
        <f t="shared" si="2"/>
        <v>20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5.4</v>
      </c>
      <c r="M34" s="45">
        <v>5.4</v>
      </c>
      <c r="N34" s="45">
        <v>5.4</v>
      </c>
      <c r="O34" s="45">
        <v>5.4</v>
      </c>
      <c r="P34" s="45">
        <v>5.4</v>
      </c>
      <c r="Q34" s="45">
        <v>5.4</v>
      </c>
      <c r="R34" s="45">
        <v>5.4</v>
      </c>
      <c r="S34" s="45">
        <v>16.899999999999999</v>
      </c>
      <c r="T34" s="45">
        <v>16.899999999999999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5.4</v>
      </c>
      <c r="AA34" s="45">
        <v>11</v>
      </c>
      <c r="AB34" s="45">
        <v>11</v>
      </c>
      <c r="AC34" s="45">
        <v>11</v>
      </c>
      <c r="AD34" s="45">
        <v>11</v>
      </c>
      <c r="AE34" s="45">
        <v>4</v>
      </c>
      <c r="AF34" s="45">
        <v>0</v>
      </c>
      <c r="AG34" s="49">
        <v>18</v>
      </c>
      <c r="AH34" s="47">
        <f t="shared" si="2"/>
        <v>16.899999999999999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15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</v>
      </c>
      <c r="T35" s="45">
        <v>15</v>
      </c>
      <c r="U35" s="45">
        <v>15</v>
      </c>
      <c r="V35" s="45">
        <v>15</v>
      </c>
      <c r="W35" s="45">
        <v>15</v>
      </c>
      <c r="X35" s="45">
        <v>15</v>
      </c>
      <c r="Y35" s="45">
        <v>15</v>
      </c>
      <c r="Z35" s="45">
        <v>15</v>
      </c>
      <c r="AA35" s="45">
        <v>15</v>
      </c>
      <c r="AB35" s="45">
        <v>15</v>
      </c>
      <c r="AC35" s="45">
        <v>15</v>
      </c>
      <c r="AD35" s="45">
        <v>15</v>
      </c>
      <c r="AE35" s="45">
        <v>15</v>
      </c>
      <c r="AF35" s="45">
        <v>15</v>
      </c>
      <c r="AG35" s="49">
        <v>14.9</v>
      </c>
      <c r="AH35" s="47">
        <f t="shared" si="2"/>
        <v>15</v>
      </c>
      <c r="AI35" s="48">
        <f t="shared" si="3"/>
        <v>15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12</v>
      </c>
      <c r="C39" s="45">
        <v>12</v>
      </c>
      <c r="D39" s="45">
        <v>12</v>
      </c>
      <c r="E39" s="45">
        <v>12</v>
      </c>
      <c r="F39" s="45">
        <v>12</v>
      </c>
      <c r="G39" s="45">
        <v>12</v>
      </c>
      <c r="H39" s="45">
        <v>12</v>
      </c>
      <c r="I39" s="45">
        <v>12</v>
      </c>
      <c r="J39" s="45">
        <v>12</v>
      </c>
      <c r="K39" s="45">
        <v>12</v>
      </c>
      <c r="L39" s="45">
        <v>12</v>
      </c>
      <c r="M39" s="45">
        <v>12</v>
      </c>
      <c r="N39" s="45">
        <v>12</v>
      </c>
      <c r="O39" s="45">
        <v>12</v>
      </c>
      <c r="P39" s="45">
        <v>12</v>
      </c>
      <c r="Q39" s="45">
        <v>12</v>
      </c>
      <c r="R39" s="45">
        <v>12</v>
      </c>
      <c r="S39" s="45">
        <v>12</v>
      </c>
      <c r="T39" s="45">
        <v>12</v>
      </c>
      <c r="U39" s="45">
        <v>12</v>
      </c>
      <c r="V39" s="45">
        <v>12</v>
      </c>
      <c r="W39" s="45">
        <v>8</v>
      </c>
      <c r="X39" s="45">
        <v>8</v>
      </c>
      <c r="Y39" s="45">
        <v>8</v>
      </c>
      <c r="Z39" s="45">
        <v>12</v>
      </c>
      <c r="AA39" s="45">
        <v>12</v>
      </c>
      <c r="AB39" s="45">
        <v>12</v>
      </c>
      <c r="AC39" s="45">
        <v>12</v>
      </c>
      <c r="AD39" s="45">
        <v>12</v>
      </c>
      <c r="AE39" s="45">
        <v>4</v>
      </c>
      <c r="AF39" s="45">
        <v>4</v>
      </c>
      <c r="AG39" s="49">
        <v>12</v>
      </c>
      <c r="AH39" s="47">
        <f t="shared" si="2"/>
        <v>12</v>
      </c>
      <c r="AI39" s="48">
        <f t="shared" si="3"/>
        <v>4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6</v>
      </c>
      <c r="C41" s="45">
        <v>6</v>
      </c>
      <c r="D41" s="45">
        <v>6</v>
      </c>
      <c r="E41" s="45">
        <v>6</v>
      </c>
      <c r="F41" s="45">
        <v>6</v>
      </c>
      <c r="G41" s="45">
        <v>6</v>
      </c>
      <c r="H41" s="45">
        <v>6</v>
      </c>
      <c r="I41" s="45">
        <v>6</v>
      </c>
      <c r="J41" s="45">
        <v>6</v>
      </c>
      <c r="K41" s="45">
        <v>6</v>
      </c>
      <c r="L41" s="45">
        <v>6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6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9</v>
      </c>
      <c r="C42" s="45">
        <v>9</v>
      </c>
      <c r="D42" s="45">
        <v>9</v>
      </c>
      <c r="E42" s="45">
        <v>9</v>
      </c>
      <c r="F42" s="45">
        <v>9</v>
      </c>
      <c r="G42" s="45">
        <v>9</v>
      </c>
      <c r="H42" s="45">
        <v>9</v>
      </c>
      <c r="I42" s="45">
        <v>9</v>
      </c>
      <c r="J42" s="45">
        <v>9</v>
      </c>
      <c r="K42" s="45">
        <v>9</v>
      </c>
      <c r="L42" s="45">
        <v>9</v>
      </c>
      <c r="M42" s="45">
        <v>9</v>
      </c>
      <c r="N42" s="45">
        <v>9</v>
      </c>
      <c r="O42" s="45">
        <v>9</v>
      </c>
      <c r="P42" s="45">
        <v>9</v>
      </c>
      <c r="Q42" s="45">
        <v>9</v>
      </c>
      <c r="R42" s="45">
        <v>9</v>
      </c>
      <c r="S42" s="45">
        <v>9</v>
      </c>
      <c r="T42" s="45">
        <v>9</v>
      </c>
      <c r="U42" s="45">
        <v>9</v>
      </c>
      <c r="V42" s="45">
        <v>9</v>
      </c>
      <c r="W42" s="45">
        <v>9</v>
      </c>
      <c r="X42" s="45">
        <v>9</v>
      </c>
      <c r="Y42" s="45">
        <v>9</v>
      </c>
      <c r="Z42" s="45">
        <v>9</v>
      </c>
      <c r="AA42" s="45">
        <v>9</v>
      </c>
      <c r="AB42" s="45">
        <v>9</v>
      </c>
      <c r="AC42" s="45">
        <v>9</v>
      </c>
      <c r="AD42" s="45">
        <v>9</v>
      </c>
      <c r="AE42" s="45">
        <v>9</v>
      </c>
      <c r="AF42" s="45">
        <v>5</v>
      </c>
      <c r="AG42" s="52">
        <v>22</v>
      </c>
      <c r="AH42" s="47">
        <f t="shared" si="2"/>
        <v>9</v>
      </c>
      <c r="AI42" s="48">
        <f t="shared" si="3"/>
        <v>5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11.2</v>
      </c>
      <c r="C43" s="45">
        <v>11.2</v>
      </c>
      <c r="D43" s="45">
        <v>11.2</v>
      </c>
      <c r="E43" s="45">
        <v>11.2</v>
      </c>
      <c r="F43" s="45">
        <v>11.2</v>
      </c>
      <c r="G43" s="45">
        <v>11.2</v>
      </c>
      <c r="H43" s="45">
        <v>11.2</v>
      </c>
      <c r="I43" s="45">
        <v>11.2</v>
      </c>
      <c r="J43" s="45">
        <v>11.2</v>
      </c>
      <c r="K43" s="45">
        <v>11.2</v>
      </c>
      <c r="L43" s="45">
        <v>11.2</v>
      </c>
      <c r="M43" s="45">
        <v>11.2</v>
      </c>
      <c r="N43" s="45">
        <v>11.2</v>
      </c>
      <c r="O43" s="45">
        <v>0</v>
      </c>
      <c r="P43" s="45">
        <v>0</v>
      </c>
      <c r="Q43" s="45">
        <v>0</v>
      </c>
      <c r="R43" s="45">
        <v>0</v>
      </c>
      <c r="S43" s="45">
        <v>0</v>
      </c>
      <c r="T43" s="45">
        <v>0</v>
      </c>
      <c r="U43" s="45">
        <v>11.88</v>
      </c>
      <c r="V43" s="45">
        <v>11.88</v>
      </c>
      <c r="W43" s="45">
        <v>11.88</v>
      </c>
      <c r="X43" s="45">
        <v>11.88</v>
      </c>
      <c r="Y43" s="45">
        <v>11.88</v>
      </c>
      <c r="Z43" s="45">
        <v>11.88</v>
      </c>
      <c r="AA43" s="45">
        <v>11.88</v>
      </c>
      <c r="AB43" s="45">
        <v>11.88</v>
      </c>
      <c r="AC43" s="45">
        <v>11.88</v>
      </c>
      <c r="AD43" s="45">
        <v>11.88</v>
      </c>
      <c r="AE43" s="45">
        <v>11.88</v>
      </c>
      <c r="AF43" s="45">
        <v>11.88</v>
      </c>
      <c r="AG43" s="51">
        <v>11.88</v>
      </c>
      <c r="AH43" s="47">
        <f t="shared" si="2"/>
        <v>11.88</v>
      </c>
      <c r="AI43" s="48">
        <f t="shared" si="3"/>
        <v>0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10</v>
      </c>
      <c r="C46" s="45">
        <v>10</v>
      </c>
      <c r="D46" s="45">
        <v>10</v>
      </c>
      <c r="E46" s="45">
        <v>10</v>
      </c>
      <c r="F46" s="45">
        <v>10</v>
      </c>
      <c r="G46" s="45">
        <v>10</v>
      </c>
      <c r="H46" s="45">
        <v>10</v>
      </c>
      <c r="I46" s="45">
        <v>10</v>
      </c>
      <c r="J46" s="45">
        <v>10</v>
      </c>
      <c r="K46" s="45">
        <v>10</v>
      </c>
      <c r="L46" s="45">
        <v>10</v>
      </c>
      <c r="M46" s="45">
        <v>10</v>
      </c>
      <c r="N46" s="45">
        <v>10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10</v>
      </c>
      <c r="AI46" s="48">
        <f t="shared" si="3"/>
        <v>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v>999.7</v>
      </c>
      <c r="C50" s="59">
        <v>999.7</v>
      </c>
      <c r="D50" s="59">
        <v>999.7</v>
      </c>
      <c r="E50" s="59">
        <f t="shared" ref="E50:AA50" si="4">SUM(E11:E48)</f>
        <v>1049.2</v>
      </c>
      <c r="F50" s="59">
        <f t="shared" si="4"/>
        <v>1032.2</v>
      </c>
      <c r="G50" s="59">
        <f t="shared" si="4"/>
        <v>1009.2</v>
      </c>
      <c r="H50" s="59">
        <f t="shared" si="4"/>
        <v>1009.2</v>
      </c>
      <c r="I50" s="59">
        <f t="shared" si="4"/>
        <v>1029.2</v>
      </c>
      <c r="J50" s="59">
        <f t="shared" si="4"/>
        <v>1024.2</v>
      </c>
      <c r="K50" s="59">
        <f t="shared" si="4"/>
        <v>1046.2</v>
      </c>
      <c r="L50" s="59">
        <f t="shared" si="4"/>
        <v>1079.5999999999999</v>
      </c>
      <c r="M50" s="59">
        <f t="shared" si="4"/>
        <v>1085.5999999999999</v>
      </c>
      <c r="N50" s="59">
        <f t="shared" si="4"/>
        <v>1085.5999999999999</v>
      </c>
      <c r="O50" s="59">
        <f t="shared" si="4"/>
        <v>1023.5</v>
      </c>
      <c r="P50" s="59">
        <f t="shared" si="4"/>
        <v>1035.3000000000002</v>
      </c>
      <c r="Q50" s="59">
        <f t="shared" si="4"/>
        <v>1063.4000000000001</v>
      </c>
      <c r="R50" s="59">
        <f t="shared" si="4"/>
        <v>1058.4000000000001</v>
      </c>
      <c r="S50" s="59">
        <f t="shared" si="4"/>
        <v>1046</v>
      </c>
      <c r="T50" s="59">
        <f t="shared" si="4"/>
        <v>1065.5</v>
      </c>
      <c r="U50" s="59">
        <f t="shared" si="4"/>
        <v>1076.48</v>
      </c>
      <c r="V50" s="59">
        <f t="shared" si="4"/>
        <v>1066.48</v>
      </c>
      <c r="W50" s="59">
        <f t="shared" si="4"/>
        <v>1025.3800000000001</v>
      </c>
      <c r="X50" s="59">
        <f t="shared" si="4"/>
        <v>1025.3800000000001</v>
      </c>
      <c r="Y50" s="59">
        <f t="shared" si="4"/>
        <v>1025.3800000000001</v>
      </c>
      <c r="Z50" s="59">
        <f t="shared" si="4"/>
        <v>1084.58</v>
      </c>
      <c r="AA50" s="59">
        <f t="shared" si="4"/>
        <v>1090.18</v>
      </c>
      <c r="AB50" s="59">
        <f t="shared" ref="AB50:AC50" si="5">SUM(AB11:AB48)</f>
        <v>1058.78</v>
      </c>
      <c r="AC50" s="59">
        <f t="shared" si="5"/>
        <v>1058.78</v>
      </c>
      <c r="AD50" s="59">
        <f t="shared" ref="AD50:AE50" si="6">SUM(AD11:AD48)</f>
        <v>1058.78</v>
      </c>
      <c r="AE50" s="59">
        <f t="shared" si="6"/>
        <v>1014.58</v>
      </c>
      <c r="AF50" s="59">
        <f t="shared" ref="AF50" si="7">SUM(AF11:AF48)</f>
        <v>1006.58</v>
      </c>
      <c r="AG50" s="60">
        <f>SUM(AG13:AG48)</f>
        <v>922.14</v>
      </c>
      <c r="AH50" s="47">
        <f t="shared" si="2"/>
        <v>1090.18</v>
      </c>
      <c r="AI50" s="48">
        <f t="shared" si="3"/>
        <v>999.7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62">
        <v>456</v>
      </c>
      <c r="R51" s="62">
        <v>456</v>
      </c>
      <c r="S51" s="62">
        <v>456</v>
      </c>
      <c r="T51" s="62">
        <v>456</v>
      </c>
      <c r="U51" s="62">
        <v>456</v>
      </c>
      <c r="V51" s="62">
        <v>456</v>
      </c>
      <c r="W51" s="62">
        <v>456</v>
      </c>
      <c r="X51" s="62">
        <v>456</v>
      </c>
      <c r="Y51" s="62">
        <v>456</v>
      </c>
      <c r="Z51" s="62">
        <v>456</v>
      </c>
      <c r="AA51" s="62">
        <v>456</v>
      </c>
      <c r="AB51" s="62">
        <v>456</v>
      </c>
      <c r="AC51" s="62">
        <v>456</v>
      </c>
      <c r="AD51" s="62">
        <v>456</v>
      </c>
      <c r="AE51" s="62">
        <v>456</v>
      </c>
      <c r="AF51" s="62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60</v>
      </c>
      <c r="O52" s="64">
        <v>60</v>
      </c>
      <c r="P52" s="64">
        <v>60</v>
      </c>
      <c r="Q52" s="64">
        <v>60</v>
      </c>
      <c r="R52" s="64">
        <v>60</v>
      </c>
      <c r="S52" s="64">
        <v>60</v>
      </c>
      <c r="T52" s="64">
        <v>60</v>
      </c>
      <c r="U52" s="64">
        <v>60</v>
      </c>
      <c r="V52" s="64">
        <v>60</v>
      </c>
      <c r="W52" s="64">
        <v>60</v>
      </c>
      <c r="X52" s="64">
        <v>60</v>
      </c>
      <c r="Y52" s="64">
        <v>60</v>
      </c>
      <c r="Z52" s="64">
        <v>60</v>
      </c>
      <c r="AA52" s="64">
        <v>60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60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22.4</v>
      </c>
      <c r="U53" s="66">
        <v>22.4</v>
      </c>
      <c r="V53" s="66">
        <v>22.4</v>
      </c>
      <c r="W53" s="66">
        <v>22.4</v>
      </c>
      <c r="X53" s="66">
        <v>22.4</v>
      </c>
      <c r="Y53" s="66">
        <v>22.4</v>
      </c>
      <c r="Z53" s="66">
        <v>22.4</v>
      </c>
      <c r="AA53" s="66">
        <v>22.4</v>
      </c>
      <c r="AB53" s="66">
        <v>22.4</v>
      </c>
      <c r="AC53" s="66">
        <v>22.4</v>
      </c>
      <c r="AD53" s="66">
        <v>22.4</v>
      </c>
      <c r="AE53" s="66">
        <v>22.4</v>
      </c>
      <c r="AF53" s="66">
        <v>22.4</v>
      </c>
      <c r="AG53" s="67">
        <v>22.1</v>
      </c>
      <c r="AH53" s="47">
        <f t="shared" si="2"/>
        <v>22.5</v>
      </c>
      <c r="AI53" s="48">
        <f t="shared" si="3"/>
        <v>22.4</v>
      </c>
      <c r="AK53" s="74"/>
    </row>
    <row r="54" spans="1:41" ht="15.75" thickBot="1" x14ac:dyDescent="0.3">
      <c r="A54" s="68" t="s">
        <v>70</v>
      </c>
      <c r="B54" s="59">
        <v>533.5</v>
      </c>
      <c r="C54" s="59">
        <v>533.5</v>
      </c>
      <c r="D54" s="59">
        <v>533.5</v>
      </c>
      <c r="E54" s="59">
        <f t="shared" ref="E54:AG54" si="8">SUM(E51:E53)</f>
        <v>533.5</v>
      </c>
      <c r="F54" s="59">
        <f t="shared" si="8"/>
        <v>533.5</v>
      </c>
      <c r="G54" s="59">
        <f t="shared" si="8"/>
        <v>533.5</v>
      </c>
      <c r="H54" s="59">
        <f t="shared" si="8"/>
        <v>533.5</v>
      </c>
      <c r="I54" s="59">
        <f t="shared" si="8"/>
        <v>533.5</v>
      </c>
      <c r="J54" s="59">
        <f t="shared" si="8"/>
        <v>533.5</v>
      </c>
      <c r="K54" s="59">
        <f t="shared" si="8"/>
        <v>533.5</v>
      </c>
      <c r="L54" s="59">
        <f t="shared" si="8"/>
        <v>533.5</v>
      </c>
      <c r="M54" s="59">
        <f t="shared" si="8"/>
        <v>533.5</v>
      </c>
      <c r="N54" s="59">
        <f t="shared" si="8"/>
        <v>538.5</v>
      </c>
      <c r="O54" s="59">
        <f t="shared" si="8"/>
        <v>538.5</v>
      </c>
      <c r="P54" s="59">
        <f t="shared" si="8"/>
        <v>538.5</v>
      </c>
      <c r="Q54" s="59">
        <f t="shared" si="8"/>
        <v>538.5</v>
      </c>
      <c r="R54" s="59">
        <f t="shared" si="8"/>
        <v>538.5</v>
      </c>
      <c r="S54" s="59">
        <f t="shared" si="8"/>
        <v>538.5</v>
      </c>
      <c r="T54" s="59">
        <f t="shared" si="8"/>
        <v>538.4</v>
      </c>
      <c r="U54" s="59">
        <f t="shared" si="8"/>
        <v>538.4</v>
      </c>
      <c r="V54" s="59">
        <f t="shared" si="8"/>
        <v>538.4</v>
      </c>
      <c r="W54" s="59">
        <f t="shared" si="8"/>
        <v>538.4</v>
      </c>
      <c r="X54" s="59">
        <f t="shared" si="8"/>
        <v>538.4</v>
      </c>
      <c r="Y54" s="59">
        <f t="shared" si="8"/>
        <v>538.4</v>
      </c>
      <c r="Z54" s="59">
        <f t="shared" si="8"/>
        <v>538.4</v>
      </c>
      <c r="AA54" s="59">
        <f t="shared" si="8"/>
        <v>538.4</v>
      </c>
      <c r="AB54" s="59">
        <f t="shared" ref="AB54" si="9">SUM(AB51:AB53)</f>
        <v>533.4</v>
      </c>
      <c r="AC54" s="59">
        <f t="shared" si="8"/>
        <v>533.4</v>
      </c>
      <c r="AD54" s="59">
        <f t="shared" ref="AD54:AE54" si="10">SUM(AD51:AD53)</f>
        <v>533.4</v>
      </c>
      <c r="AE54" s="59">
        <f t="shared" si="10"/>
        <v>533.4</v>
      </c>
      <c r="AF54" s="59">
        <f t="shared" si="8"/>
        <v>533.4</v>
      </c>
      <c r="AG54" s="60">
        <f t="shared" si="8"/>
        <v>538.1</v>
      </c>
      <c r="AH54" s="47">
        <f t="shared" si="2"/>
        <v>538.5</v>
      </c>
      <c r="AI54" s="48">
        <f t="shared" si="3"/>
        <v>533.4</v>
      </c>
      <c r="AK54" s="74"/>
    </row>
    <row r="55" spans="1:41" x14ac:dyDescent="0.25">
      <c r="A55" s="44" t="s">
        <v>71</v>
      </c>
      <c r="B55" s="45">
        <v>139.6</v>
      </c>
      <c r="C55" s="45">
        <v>139.6</v>
      </c>
      <c r="D55" s="45">
        <v>139.6</v>
      </c>
      <c r="E55" s="45">
        <v>138</v>
      </c>
      <c r="F55" s="45">
        <v>138</v>
      </c>
      <c r="G55" s="45">
        <v>138</v>
      </c>
      <c r="H55" s="45">
        <v>138</v>
      </c>
      <c r="I55" s="45">
        <v>138</v>
      </c>
      <c r="J55" s="45">
        <v>138</v>
      </c>
      <c r="K55" s="45">
        <v>132.5</v>
      </c>
      <c r="L55" s="45">
        <v>132.5</v>
      </c>
      <c r="M55" s="45">
        <v>132.5</v>
      </c>
      <c r="N55" s="45">
        <v>139</v>
      </c>
      <c r="O55" s="45">
        <v>139</v>
      </c>
      <c r="P55" s="45">
        <v>139</v>
      </c>
      <c r="Q55" s="45">
        <v>137.5</v>
      </c>
      <c r="R55" s="45">
        <v>138.4</v>
      </c>
      <c r="S55" s="45">
        <v>138.4</v>
      </c>
      <c r="T55" s="45">
        <v>138.1</v>
      </c>
      <c r="U55" s="45">
        <v>129.19999999999999</v>
      </c>
      <c r="V55" s="45">
        <v>133.19999999999999</v>
      </c>
      <c r="W55" s="45">
        <v>133.19999999999999</v>
      </c>
      <c r="X55" s="45">
        <v>133.19999999999999</v>
      </c>
      <c r="Y55" s="45">
        <v>133.19999999999999</v>
      </c>
      <c r="Z55" s="45">
        <v>139.80000000000001</v>
      </c>
      <c r="AA55" s="45">
        <v>139.80000000000001</v>
      </c>
      <c r="AB55" s="45">
        <v>140</v>
      </c>
      <c r="AC55" s="45">
        <v>140</v>
      </c>
      <c r="AD55" s="45">
        <v>140.4</v>
      </c>
      <c r="AE55" s="45">
        <v>140.4</v>
      </c>
      <c r="AF55" s="45">
        <v>140.5</v>
      </c>
      <c r="AG55" s="51">
        <v>144</v>
      </c>
      <c r="AH55" s="47">
        <f t="shared" si="2"/>
        <v>140.5</v>
      </c>
      <c r="AI55" s="48">
        <f t="shared" si="3"/>
        <v>129.19999999999999</v>
      </c>
      <c r="AK55" s="74"/>
    </row>
    <row r="56" spans="1:41" x14ac:dyDescent="0.25">
      <c r="A56" s="53" t="s">
        <v>72</v>
      </c>
      <c r="B56" s="64">
        <v>70</v>
      </c>
      <c r="C56" s="64">
        <v>70</v>
      </c>
      <c r="D56" s="64">
        <v>70</v>
      </c>
      <c r="E56" s="64">
        <v>70</v>
      </c>
      <c r="F56" s="64">
        <v>70</v>
      </c>
      <c r="G56" s="64">
        <v>70</v>
      </c>
      <c r="H56" s="64">
        <v>70</v>
      </c>
      <c r="I56" s="64">
        <v>70</v>
      </c>
      <c r="J56" s="64">
        <v>70</v>
      </c>
      <c r="K56" s="64">
        <v>70</v>
      </c>
      <c r="L56" s="64">
        <v>70</v>
      </c>
      <c r="M56" s="64">
        <v>70</v>
      </c>
      <c r="N56" s="64">
        <v>70</v>
      </c>
      <c r="O56" s="64">
        <v>70</v>
      </c>
      <c r="P56" s="64">
        <v>70</v>
      </c>
      <c r="Q56" s="64">
        <v>70</v>
      </c>
      <c r="R56" s="64">
        <v>70</v>
      </c>
      <c r="S56" s="64">
        <v>70</v>
      </c>
      <c r="T56" s="45">
        <v>70.099999999999994</v>
      </c>
      <c r="U56" s="45">
        <v>70.099999999999994</v>
      </c>
      <c r="V56" s="45">
        <v>71.400000000000006</v>
      </c>
      <c r="W56" s="45">
        <v>71.2</v>
      </c>
      <c r="X56" s="45">
        <v>71.2</v>
      </c>
      <c r="Y56" s="45">
        <v>71.2</v>
      </c>
      <c r="Z56" s="45">
        <v>71</v>
      </c>
      <c r="AA56" s="45">
        <v>71</v>
      </c>
      <c r="AB56" s="45">
        <v>70.099999999999994</v>
      </c>
      <c r="AC56" s="45">
        <v>70.599999999999994</v>
      </c>
      <c r="AD56" s="45">
        <v>70.400000000000006</v>
      </c>
      <c r="AE56" s="45">
        <v>35.4</v>
      </c>
      <c r="AF56" s="45">
        <v>0</v>
      </c>
      <c r="AG56" s="54">
        <v>70</v>
      </c>
      <c r="AH56" s="47">
        <f t="shared" si="2"/>
        <v>71.400000000000006</v>
      </c>
      <c r="AI56" s="48">
        <f t="shared" si="3"/>
        <v>0</v>
      </c>
      <c r="AK56" s="74"/>
    </row>
    <row r="57" spans="1:41" x14ac:dyDescent="0.25">
      <c r="A57" s="53" t="s">
        <v>73</v>
      </c>
      <c r="B57" s="64">
        <v>65.2</v>
      </c>
      <c r="C57" s="64">
        <v>65.2</v>
      </c>
      <c r="D57" s="64">
        <v>65.2</v>
      </c>
      <c r="E57" s="64">
        <v>65.2</v>
      </c>
      <c r="F57" s="64">
        <v>65.2</v>
      </c>
      <c r="G57" s="64">
        <v>65.2</v>
      </c>
      <c r="H57" s="64">
        <v>65.2</v>
      </c>
      <c r="I57" s="64">
        <v>65.2</v>
      </c>
      <c r="J57" s="64">
        <v>65.2</v>
      </c>
      <c r="K57" s="64">
        <v>65.2</v>
      </c>
      <c r="L57" s="64">
        <v>65.2</v>
      </c>
      <c r="M57" s="64">
        <v>65.2</v>
      </c>
      <c r="N57" s="64">
        <v>65.2</v>
      </c>
      <c r="O57" s="64">
        <v>65.2</v>
      </c>
      <c r="P57" s="64">
        <v>65.2</v>
      </c>
      <c r="Q57" s="64">
        <v>65.2</v>
      </c>
      <c r="R57" s="64">
        <v>64.7</v>
      </c>
      <c r="S57" s="64">
        <v>65</v>
      </c>
      <c r="T57" s="45">
        <v>65.5</v>
      </c>
      <c r="U57" s="45">
        <v>65.5</v>
      </c>
      <c r="V57" s="45">
        <v>65</v>
      </c>
      <c r="W57" s="45">
        <v>65</v>
      </c>
      <c r="X57" s="45">
        <v>65</v>
      </c>
      <c r="Y57" s="45">
        <v>65</v>
      </c>
      <c r="Z57" s="45">
        <v>64.8</v>
      </c>
      <c r="AA57" s="45">
        <v>64.8</v>
      </c>
      <c r="AB57" s="45">
        <v>65.400000000000006</v>
      </c>
      <c r="AC57" s="45">
        <v>65.099999999999994</v>
      </c>
      <c r="AD57" s="45">
        <v>64.599999999999994</v>
      </c>
      <c r="AE57" s="45">
        <v>65.400000000000006</v>
      </c>
      <c r="AF57" s="45">
        <v>65.5</v>
      </c>
      <c r="AG57" s="54">
        <v>69</v>
      </c>
      <c r="AH57" s="47">
        <f t="shared" si="2"/>
        <v>65.5</v>
      </c>
      <c r="AI57" s="48">
        <f t="shared" si="3"/>
        <v>64.599999999999994</v>
      </c>
      <c r="AK57" s="74"/>
    </row>
    <row r="58" spans="1:41" x14ac:dyDescent="0.25">
      <c r="A58" s="53" t="s">
        <v>74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45">
        <v>0</v>
      </c>
      <c r="U58" s="45">
        <v>0</v>
      </c>
      <c r="V58" s="45">
        <v>0</v>
      </c>
      <c r="W58" s="45">
        <v>0</v>
      </c>
      <c r="X58" s="45">
        <v>0</v>
      </c>
      <c r="Y58" s="45">
        <v>0</v>
      </c>
      <c r="Z58" s="45">
        <v>0</v>
      </c>
      <c r="AA58" s="45">
        <v>0</v>
      </c>
      <c r="AB58" s="45">
        <v>61.7</v>
      </c>
      <c r="AC58" s="45">
        <v>61.4</v>
      </c>
      <c r="AD58" s="45">
        <v>61.4</v>
      </c>
      <c r="AE58" s="45">
        <v>60.7</v>
      </c>
      <c r="AF58" s="45">
        <v>60.7</v>
      </c>
      <c r="AG58" s="54">
        <v>60</v>
      </c>
      <c r="AH58" s="47">
        <f t="shared" si="2"/>
        <v>61.7</v>
      </c>
      <c r="AI58" s="48">
        <f t="shared" si="3"/>
        <v>0</v>
      </c>
      <c r="AK58" s="74"/>
    </row>
    <row r="59" spans="1:41" x14ac:dyDescent="0.25">
      <c r="A59" s="53" t="s">
        <v>75</v>
      </c>
      <c r="B59" s="64">
        <v>0</v>
      </c>
      <c r="C59" s="64">
        <v>0</v>
      </c>
      <c r="D59" s="64">
        <v>30</v>
      </c>
      <c r="E59" s="64">
        <v>30</v>
      </c>
      <c r="F59" s="64">
        <v>30</v>
      </c>
      <c r="G59" s="64">
        <v>30</v>
      </c>
      <c r="H59" s="64">
        <v>30</v>
      </c>
      <c r="I59" s="64">
        <v>30</v>
      </c>
      <c r="J59" s="64">
        <v>30</v>
      </c>
      <c r="K59" s="64">
        <v>30</v>
      </c>
      <c r="L59" s="64">
        <v>30</v>
      </c>
      <c r="M59" s="64">
        <v>30</v>
      </c>
      <c r="N59" s="64">
        <v>30</v>
      </c>
      <c r="O59" s="64">
        <v>30</v>
      </c>
      <c r="P59" s="64">
        <v>30</v>
      </c>
      <c r="Q59" s="64">
        <v>30</v>
      </c>
      <c r="R59" s="64">
        <v>30</v>
      </c>
      <c r="S59" s="64">
        <v>30</v>
      </c>
      <c r="T59" s="45">
        <v>15</v>
      </c>
      <c r="U59" s="45">
        <v>15</v>
      </c>
      <c r="V59" s="45">
        <v>15</v>
      </c>
      <c r="W59" s="45">
        <v>15</v>
      </c>
      <c r="X59" s="45">
        <v>15</v>
      </c>
      <c r="Y59" s="45">
        <v>30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3.8</v>
      </c>
      <c r="N60" s="64">
        <v>4.5999999999999996</v>
      </c>
      <c r="O60" s="64">
        <v>8.3000000000000007</v>
      </c>
      <c r="P60" s="64">
        <v>9.4</v>
      </c>
      <c r="Q60" s="64">
        <v>9</v>
      </c>
      <c r="R60" s="64">
        <v>5.6</v>
      </c>
      <c r="S60" s="64">
        <v>12.1</v>
      </c>
      <c r="T60" s="45">
        <v>5.8</v>
      </c>
      <c r="U60" s="45">
        <v>4.0999999999999996</v>
      </c>
      <c r="V60" s="45">
        <v>2</v>
      </c>
      <c r="W60" s="45">
        <v>0</v>
      </c>
      <c r="X60" s="45">
        <v>0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12.1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10</v>
      </c>
      <c r="C61" s="64">
        <v>10</v>
      </c>
      <c r="D61" s="64">
        <v>10</v>
      </c>
      <c r="E61" s="64">
        <v>10</v>
      </c>
      <c r="F61" s="64">
        <v>10</v>
      </c>
      <c r="G61" s="64">
        <v>10</v>
      </c>
      <c r="H61" s="64">
        <v>10</v>
      </c>
      <c r="I61" s="64">
        <v>10</v>
      </c>
      <c r="J61" s="64">
        <v>10</v>
      </c>
      <c r="K61" s="64">
        <v>10</v>
      </c>
      <c r="L61" s="64">
        <v>10</v>
      </c>
      <c r="M61" s="64">
        <v>10</v>
      </c>
      <c r="N61" s="64">
        <v>10</v>
      </c>
      <c r="O61" s="64">
        <v>10</v>
      </c>
      <c r="P61" s="64">
        <v>10</v>
      </c>
      <c r="Q61" s="64">
        <v>10</v>
      </c>
      <c r="R61" s="64">
        <v>10</v>
      </c>
      <c r="S61" s="64">
        <v>10</v>
      </c>
      <c r="T61" s="64">
        <v>14</v>
      </c>
      <c r="U61" s="64">
        <v>14</v>
      </c>
      <c r="V61" s="64">
        <v>14</v>
      </c>
      <c r="W61" s="64">
        <v>13.8</v>
      </c>
      <c r="X61" s="64">
        <v>13.8</v>
      </c>
      <c r="Y61" s="64">
        <v>13.8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10</v>
      </c>
      <c r="AK61" s="74"/>
    </row>
    <row r="62" spans="1:41" x14ac:dyDescent="0.25">
      <c r="A62" s="53" t="s">
        <v>78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>
        <v>4</v>
      </c>
      <c r="P62" s="64">
        <v>4</v>
      </c>
      <c r="Q62" s="64">
        <v>4</v>
      </c>
      <c r="R62" s="64">
        <v>4</v>
      </c>
      <c r="S62" s="64">
        <v>4.0999999999999996</v>
      </c>
      <c r="T62" s="64">
        <v>4.0999999999999996</v>
      </c>
      <c r="U62" s="64">
        <v>4.0999999999999996</v>
      </c>
      <c r="V62" s="64">
        <v>4.0999999999999996</v>
      </c>
      <c r="W62" s="64">
        <v>4.0999999999999996</v>
      </c>
      <c r="X62" s="64">
        <v>4.0999999999999996</v>
      </c>
      <c r="Y62" s="64">
        <v>4.0999999999999996</v>
      </c>
      <c r="Z62" s="64">
        <v>4.0999999999999996</v>
      </c>
      <c r="AA62" s="64">
        <v>4.0999999999999996</v>
      </c>
      <c r="AB62" s="64">
        <v>4.0999999999999996</v>
      </c>
      <c r="AC62" s="64">
        <v>4.0999999999999996</v>
      </c>
      <c r="AD62" s="64">
        <v>4.0999999999999996</v>
      </c>
      <c r="AE62" s="64">
        <v>4.0999999999999996</v>
      </c>
      <c r="AF62" s="64">
        <v>4.0999999999999996</v>
      </c>
      <c r="AG62" s="54">
        <v>15</v>
      </c>
      <c r="AH62" s="47">
        <f t="shared" si="2"/>
        <v>4.0999999999999996</v>
      </c>
      <c r="AI62" s="48">
        <f t="shared" si="3"/>
        <v>4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4.5</v>
      </c>
      <c r="C63" s="64">
        <v>4.5</v>
      </c>
      <c r="D63" s="64">
        <v>4.5</v>
      </c>
      <c r="E63" s="64">
        <v>4.5</v>
      </c>
      <c r="F63" s="64">
        <v>4.5</v>
      </c>
      <c r="G63" s="64">
        <v>4.5</v>
      </c>
      <c r="H63" s="64">
        <v>4.5</v>
      </c>
      <c r="I63" s="64">
        <v>4.5</v>
      </c>
      <c r="J63" s="64">
        <v>4.5</v>
      </c>
      <c r="K63" s="64">
        <v>4.5</v>
      </c>
      <c r="L63" s="64">
        <v>4.5</v>
      </c>
      <c r="M63" s="64">
        <v>6.7</v>
      </c>
      <c r="N63" s="64">
        <v>6.7</v>
      </c>
      <c r="O63" s="64">
        <v>6.7</v>
      </c>
      <c r="P63" s="64">
        <v>6.7</v>
      </c>
      <c r="Q63" s="64">
        <v>6.7</v>
      </c>
      <c r="R63" s="64">
        <v>6.7</v>
      </c>
      <c r="S63" s="64">
        <v>6.7</v>
      </c>
      <c r="T63" s="64">
        <v>7.6</v>
      </c>
      <c r="U63" s="64">
        <v>7.6</v>
      </c>
      <c r="V63" s="64">
        <v>10.3</v>
      </c>
      <c r="W63" s="64">
        <v>10.3</v>
      </c>
      <c r="X63" s="64">
        <v>10.3</v>
      </c>
      <c r="Y63" s="64">
        <v>10.3</v>
      </c>
      <c r="Z63" s="64">
        <v>9.8000000000000007</v>
      </c>
      <c r="AA63" s="64">
        <v>9.8000000000000007</v>
      </c>
      <c r="AB63" s="64">
        <v>8.8000000000000007</v>
      </c>
      <c r="AC63" s="64">
        <v>8.8000000000000007</v>
      </c>
      <c r="AD63" s="64">
        <v>4.4000000000000004</v>
      </c>
      <c r="AE63" s="64">
        <v>11.1</v>
      </c>
      <c r="AF63" s="64">
        <v>10.9</v>
      </c>
      <c r="AG63" s="54">
        <v>14.1</v>
      </c>
      <c r="AH63" s="47">
        <f t="shared" si="2"/>
        <v>11.1</v>
      </c>
      <c r="AI63" s="48">
        <f t="shared" si="3"/>
        <v>4.4000000000000004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14</v>
      </c>
      <c r="C64" s="64">
        <v>14</v>
      </c>
      <c r="D64" s="64">
        <v>14</v>
      </c>
      <c r="E64" s="64">
        <v>14</v>
      </c>
      <c r="F64" s="64">
        <v>14</v>
      </c>
      <c r="G64" s="64">
        <v>14</v>
      </c>
      <c r="H64" s="64">
        <v>14</v>
      </c>
      <c r="I64" s="64">
        <v>14</v>
      </c>
      <c r="J64" s="64">
        <v>14</v>
      </c>
      <c r="K64" s="64">
        <v>14</v>
      </c>
      <c r="L64" s="64">
        <v>14</v>
      </c>
      <c r="M64" s="64">
        <v>14</v>
      </c>
      <c r="N64" s="64">
        <v>14</v>
      </c>
      <c r="O64" s="64">
        <v>14</v>
      </c>
      <c r="P64" s="64">
        <v>6.9</v>
      </c>
      <c r="Q64" s="64">
        <v>6.9</v>
      </c>
      <c r="R64" s="64">
        <v>6.9</v>
      </c>
      <c r="S64" s="64">
        <v>6.9</v>
      </c>
      <c r="T64" s="64">
        <v>13.8</v>
      </c>
      <c r="U64" s="64">
        <v>13.8</v>
      </c>
      <c r="V64" s="64">
        <v>13.8</v>
      </c>
      <c r="W64" s="64">
        <v>13.8</v>
      </c>
      <c r="X64" s="64">
        <v>13.8</v>
      </c>
      <c r="Y64" s="64">
        <v>13.8</v>
      </c>
      <c r="Z64" s="64">
        <v>13.7</v>
      </c>
      <c r="AA64" s="64">
        <v>13.7</v>
      </c>
      <c r="AB64" s="64">
        <v>13.7</v>
      </c>
      <c r="AC64" s="64">
        <v>13.7</v>
      </c>
      <c r="AD64" s="64">
        <v>13.6</v>
      </c>
      <c r="AE64" s="64">
        <v>13.7</v>
      </c>
      <c r="AF64" s="64">
        <v>11.7</v>
      </c>
      <c r="AG64" s="54">
        <v>14</v>
      </c>
      <c r="AH64" s="47">
        <f t="shared" si="2"/>
        <v>14</v>
      </c>
      <c r="AI64" s="48">
        <f t="shared" si="3"/>
        <v>6.9</v>
      </c>
      <c r="AK64" s="74"/>
    </row>
    <row r="65" spans="1:40" x14ac:dyDescent="0.25">
      <c r="A65" s="53" t="s">
        <v>81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>
        <v>9</v>
      </c>
      <c r="H65" s="64">
        <v>9</v>
      </c>
      <c r="I65" s="64">
        <v>9</v>
      </c>
      <c r="J65" s="64">
        <v>9</v>
      </c>
      <c r="K65" s="64">
        <v>9</v>
      </c>
      <c r="L65" s="64">
        <v>9</v>
      </c>
      <c r="M65" s="64">
        <v>9</v>
      </c>
      <c r="N65" s="64">
        <v>9</v>
      </c>
      <c r="O65" s="64">
        <v>9</v>
      </c>
      <c r="P65" s="64">
        <v>9</v>
      </c>
      <c r="Q65" s="64">
        <v>9</v>
      </c>
      <c r="R65" s="64">
        <v>9</v>
      </c>
      <c r="S65" s="64">
        <v>9</v>
      </c>
      <c r="T65" s="64">
        <v>9</v>
      </c>
      <c r="U65" s="64">
        <v>9</v>
      </c>
      <c r="V65" s="64">
        <v>9</v>
      </c>
      <c r="W65" s="64">
        <v>9</v>
      </c>
      <c r="X65" s="64">
        <v>9</v>
      </c>
      <c r="Y65" s="64">
        <v>9</v>
      </c>
      <c r="Z65" s="64">
        <v>9</v>
      </c>
      <c r="AA65" s="64">
        <v>9</v>
      </c>
      <c r="AB65" s="64">
        <v>9</v>
      </c>
      <c r="AC65" s="64">
        <v>9</v>
      </c>
      <c r="AD65" s="64">
        <v>9</v>
      </c>
      <c r="AE65" s="64">
        <v>9</v>
      </c>
      <c r="AF65" s="64">
        <v>9</v>
      </c>
      <c r="AG65" s="54">
        <v>10.050000000000001</v>
      </c>
      <c r="AH65" s="47">
        <f t="shared" si="2"/>
        <v>9</v>
      </c>
      <c r="AI65" s="48">
        <f t="shared" si="3"/>
        <v>9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v>326.04000000000002</v>
      </c>
      <c r="C68" s="59">
        <f t="shared" ref="C68:AG68" si="11">SUM(C55:C67)</f>
        <v>326.04000000000002</v>
      </c>
      <c r="D68" s="59">
        <f t="shared" si="11"/>
        <v>356.04</v>
      </c>
      <c r="E68" s="59">
        <f t="shared" si="11"/>
        <v>354.44</v>
      </c>
      <c r="F68" s="59">
        <f t="shared" si="11"/>
        <v>354.44</v>
      </c>
      <c r="G68" s="59">
        <f t="shared" si="11"/>
        <v>354.44</v>
      </c>
      <c r="H68" s="59">
        <f t="shared" si="11"/>
        <v>354.44</v>
      </c>
      <c r="I68" s="59">
        <f t="shared" si="11"/>
        <v>354.44</v>
      </c>
      <c r="J68" s="59">
        <f t="shared" si="11"/>
        <v>354.44</v>
      </c>
      <c r="K68" s="59">
        <f t="shared" si="11"/>
        <v>348.94</v>
      </c>
      <c r="L68" s="59">
        <f t="shared" si="11"/>
        <v>348.94</v>
      </c>
      <c r="M68" s="59">
        <f t="shared" si="11"/>
        <v>354.94</v>
      </c>
      <c r="N68" s="59">
        <f t="shared" si="11"/>
        <v>362.24</v>
      </c>
      <c r="O68" s="59">
        <f t="shared" si="11"/>
        <v>365.94</v>
      </c>
      <c r="P68" s="59">
        <f t="shared" si="11"/>
        <v>359.93999999999994</v>
      </c>
      <c r="Q68" s="59">
        <f t="shared" si="11"/>
        <v>358.03999999999996</v>
      </c>
      <c r="R68" s="59">
        <f t="shared" si="11"/>
        <v>355.04</v>
      </c>
      <c r="S68" s="59">
        <f t="shared" si="11"/>
        <v>361.94</v>
      </c>
      <c r="T68" s="59">
        <f t="shared" si="11"/>
        <v>352.74000000000007</v>
      </c>
      <c r="U68" s="59">
        <f t="shared" si="11"/>
        <v>342.14000000000004</v>
      </c>
      <c r="V68" s="59">
        <f t="shared" si="11"/>
        <v>347.54000000000008</v>
      </c>
      <c r="W68" s="59">
        <f t="shared" si="11"/>
        <v>345.14000000000004</v>
      </c>
      <c r="X68" s="59">
        <f t="shared" si="11"/>
        <v>345.14000000000004</v>
      </c>
      <c r="Y68" s="59">
        <f t="shared" si="11"/>
        <v>360.14000000000004</v>
      </c>
      <c r="Z68" s="59">
        <f t="shared" si="11"/>
        <v>366.94000000000005</v>
      </c>
      <c r="AA68" s="59">
        <f t="shared" si="11"/>
        <v>366.94000000000005</v>
      </c>
      <c r="AB68" s="59">
        <f t="shared" ref="AB68" si="12">SUM(AB55:AB67)</f>
        <v>427.54</v>
      </c>
      <c r="AC68" s="59">
        <f t="shared" si="11"/>
        <v>427.44</v>
      </c>
      <c r="AD68" s="59">
        <f t="shared" ref="AD68:AE68" si="13">SUM(AD55:AD67)</f>
        <v>422.64</v>
      </c>
      <c r="AE68" s="59">
        <f t="shared" si="13"/>
        <v>394.54000000000008</v>
      </c>
      <c r="AF68" s="59">
        <f t="shared" si="11"/>
        <v>357.14</v>
      </c>
      <c r="AG68" s="60">
        <f t="shared" si="11"/>
        <v>489.91</v>
      </c>
      <c r="AH68" s="47">
        <f t="shared" si="2"/>
        <v>427.54</v>
      </c>
      <c r="AI68" s="48">
        <f t="shared" si="3"/>
        <v>326.04000000000002</v>
      </c>
      <c r="AK68" s="74"/>
    </row>
    <row r="69" spans="1:40" x14ac:dyDescent="0.25">
      <c r="A69" s="44" t="s">
        <v>85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/>
      <c r="N69" s="45"/>
      <c r="O69" s="45">
        <v>30</v>
      </c>
      <c r="P69" s="45">
        <v>30</v>
      </c>
      <c r="Q69" s="45">
        <v>30</v>
      </c>
      <c r="R69" s="45">
        <v>50</v>
      </c>
      <c r="S69" s="45">
        <v>30</v>
      </c>
      <c r="T69" s="45">
        <v>30</v>
      </c>
      <c r="U69" s="45">
        <v>30</v>
      </c>
      <c r="V69" s="45">
        <v>10.199999999999999</v>
      </c>
      <c r="W69" s="45">
        <v>14</v>
      </c>
      <c r="X69" s="45">
        <v>14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50</v>
      </c>
      <c r="AI69" s="48">
        <f t="shared" si="3"/>
        <v>0</v>
      </c>
      <c r="AK69" s="74"/>
    </row>
    <row r="70" spans="1:40" x14ac:dyDescent="0.25">
      <c r="A70" s="53" t="s">
        <v>86</v>
      </c>
      <c r="B70" s="45">
        <v>0</v>
      </c>
      <c r="C70" s="45">
        <v>0</v>
      </c>
      <c r="D70" s="45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/>
      <c r="N70" s="64"/>
      <c r="O70" s="64">
        <v>15.8</v>
      </c>
      <c r="P70" s="64">
        <v>16</v>
      </c>
      <c r="Q70" s="64">
        <v>14</v>
      </c>
      <c r="R70" s="64">
        <v>31.4</v>
      </c>
      <c r="S70" s="64">
        <v>16.100000000000001</v>
      </c>
      <c r="T70" s="64">
        <v>16.100000000000001</v>
      </c>
      <c r="U70" s="64">
        <v>16.100000000000001</v>
      </c>
      <c r="V70" s="64">
        <v>4.2</v>
      </c>
      <c r="W70" s="64">
        <v>8.1999999999999993</v>
      </c>
      <c r="X70" s="64">
        <v>8.1999999999999993</v>
      </c>
      <c r="Y70" s="64">
        <v>0</v>
      </c>
      <c r="Z70" s="64">
        <v>0</v>
      </c>
      <c r="AA70" s="64">
        <v>0</v>
      </c>
      <c r="AB70" s="64">
        <v>0</v>
      </c>
      <c r="AC70" s="64">
        <v>4.8</v>
      </c>
      <c r="AD70" s="64">
        <v>0</v>
      </c>
      <c r="AE70" s="64">
        <v>0</v>
      </c>
      <c r="AF70" s="64">
        <v>0</v>
      </c>
      <c r="AG70" s="54">
        <v>32</v>
      </c>
      <c r="AH70" s="47">
        <f t="shared" si="2"/>
        <v>31.4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>
        <v>0</v>
      </c>
      <c r="C71" s="45">
        <v>0</v>
      </c>
      <c r="D71" s="45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/>
      <c r="N71" s="66"/>
      <c r="O71" s="66">
        <v>5.8</v>
      </c>
      <c r="P71" s="66">
        <v>5.8</v>
      </c>
      <c r="Q71" s="66">
        <v>5.8</v>
      </c>
      <c r="R71" s="66">
        <v>11.5</v>
      </c>
      <c r="S71" s="66">
        <v>5.9</v>
      </c>
      <c r="T71" s="66">
        <v>5.6</v>
      </c>
      <c r="U71" s="66">
        <v>5.6</v>
      </c>
      <c r="V71" s="66">
        <v>1.5</v>
      </c>
      <c r="W71" s="66">
        <v>3</v>
      </c>
      <c r="X71" s="66">
        <v>3</v>
      </c>
      <c r="Y71" s="66">
        <v>0</v>
      </c>
      <c r="Z71" s="66">
        <v>0</v>
      </c>
      <c r="AA71" s="66">
        <v>0</v>
      </c>
      <c r="AB71" s="66">
        <v>0</v>
      </c>
      <c r="AC71" s="66">
        <v>1.8</v>
      </c>
      <c r="AD71" s="66">
        <v>0</v>
      </c>
      <c r="AE71" s="66">
        <v>0</v>
      </c>
      <c r="AF71" s="66">
        <v>0</v>
      </c>
      <c r="AG71" s="67">
        <v>14</v>
      </c>
      <c r="AH71" s="47">
        <f t="shared" si="2"/>
        <v>11.5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F72" si="14">M69+M70+M71</f>
        <v>0</v>
      </c>
      <c r="N72" s="59">
        <f t="shared" si="14"/>
        <v>0</v>
      </c>
      <c r="O72" s="59">
        <f t="shared" si="14"/>
        <v>51.599999999999994</v>
      </c>
      <c r="P72" s="59">
        <f t="shared" si="14"/>
        <v>51.8</v>
      </c>
      <c r="Q72" s="59">
        <f t="shared" si="14"/>
        <v>49.8</v>
      </c>
      <c r="R72" s="59">
        <f t="shared" si="14"/>
        <v>92.9</v>
      </c>
      <c r="S72" s="59">
        <f t="shared" si="14"/>
        <v>52</v>
      </c>
      <c r="T72" s="59">
        <f t="shared" si="14"/>
        <v>51.7</v>
      </c>
      <c r="U72" s="59">
        <f t="shared" si="14"/>
        <v>51.7</v>
      </c>
      <c r="V72" s="59">
        <f t="shared" si="14"/>
        <v>15.899999999999999</v>
      </c>
      <c r="W72" s="59">
        <f t="shared" si="14"/>
        <v>25.2</v>
      </c>
      <c r="X72" s="59">
        <f t="shared" si="14"/>
        <v>25.2</v>
      </c>
      <c r="Y72" s="59">
        <f t="shared" si="14"/>
        <v>0</v>
      </c>
      <c r="Z72" s="59">
        <f t="shared" si="14"/>
        <v>0</v>
      </c>
      <c r="AA72" s="59">
        <f>AA69+AA70+AA71</f>
        <v>0</v>
      </c>
      <c r="AB72" s="59">
        <f>AB69+AB70+AB71</f>
        <v>0</v>
      </c>
      <c r="AC72" s="59">
        <f t="shared" si="14"/>
        <v>6.6</v>
      </c>
      <c r="AD72" s="59">
        <f t="shared" ref="AD72:AE72" si="15">AD69+AD70+AD71</f>
        <v>0</v>
      </c>
      <c r="AE72" s="59">
        <f t="shared" si="15"/>
        <v>0</v>
      </c>
      <c r="AF72" s="59">
        <f t="shared" si="14"/>
        <v>0</v>
      </c>
      <c r="AG72" s="60">
        <f>SUM(AG69:AG71)</f>
        <v>106</v>
      </c>
      <c r="AH72" s="47">
        <f t="shared" si="2"/>
        <v>92.9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22</v>
      </c>
      <c r="C73" s="45">
        <v>24</v>
      </c>
      <c r="D73" s="45">
        <v>5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15.2</v>
      </c>
      <c r="N73" s="45">
        <v>23</v>
      </c>
      <c r="O73" s="45">
        <v>33.9</v>
      </c>
      <c r="P73" s="45">
        <v>42.7</v>
      </c>
      <c r="Q73" s="45">
        <v>18.3</v>
      </c>
      <c r="R73" s="45">
        <v>53.5</v>
      </c>
      <c r="S73" s="45">
        <v>46.6</v>
      </c>
      <c r="T73" s="45">
        <v>56.3</v>
      </c>
      <c r="U73" s="45">
        <v>10.3</v>
      </c>
      <c r="V73" s="45">
        <v>22.3</v>
      </c>
      <c r="W73" s="45">
        <v>28</v>
      </c>
      <c r="X73" s="45">
        <v>17.7</v>
      </c>
      <c r="Y73" s="45">
        <v>3</v>
      </c>
      <c r="Z73" s="45">
        <v>2.6</v>
      </c>
      <c r="AA73" s="45">
        <v>13.2</v>
      </c>
      <c r="AB73" s="45">
        <v>19.600000000000001</v>
      </c>
      <c r="AC73" s="45">
        <v>22</v>
      </c>
      <c r="AD73" s="45">
        <v>25.7</v>
      </c>
      <c r="AE73" s="45">
        <v>27.9</v>
      </c>
      <c r="AF73" s="45">
        <v>28.6</v>
      </c>
      <c r="AG73" s="51"/>
      <c r="AH73" s="47">
        <f t="shared" si="2"/>
        <v>56.3</v>
      </c>
      <c r="AI73" s="48">
        <f t="shared" si="3"/>
        <v>0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/>
      <c r="N74" s="64"/>
      <c r="O74" s="64"/>
      <c r="P74" s="64"/>
      <c r="Q74" s="64"/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-378</v>
      </c>
      <c r="C75" s="64">
        <v>-403</v>
      </c>
      <c r="D75" s="64">
        <v>-430</v>
      </c>
      <c r="E75" s="64">
        <v>-410</v>
      </c>
      <c r="F75" s="64">
        <v>-448</v>
      </c>
      <c r="G75" s="64">
        <v>-470</v>
      </c>
      <c r="H75" s="64">
        <v>-490</v>
      </c>
      <c r="I75" s="64">
        <v>-478</v>
      </c>
      <c r="J75" s="64">
        <v>-456</v>
      </c>
      <c r="K75" s="64">
        <v>-448</v>
      </c>
      <c r="L75" s="64">
        <v>-458</v>
      </c>
      <c r="M75" s="64">
        <v>-457</v>
      </c>
      <c r="N75" s="64">
        <v>-465</v>
      </c>
      <c r="O75" s="64">
        <v>-422</v>
      </c>
      <c r="P75" s="64">
        <v>-414</v>
      </c>
      <c r="Q75" s="64">
        <v>-431.5</v>
      </c>
      <c r="R75" s="64">
        <v>-449.1</v>
      </c>
      <c r="S75" s="64">
        <v>-470.1</v>
      </c>
      <c r="T75" s="64">
        <v>-439</v>
      </c>
      <c r="U75" s="64">
        <v>-439.7</v>
      </c>
      <c r="V75" s="64">
        <v>-488.2</v>
      </c>
      <c r="W75" s="64">
        <v>-463</v>
      </c>
      <c r="X75" s="64">
        <v>-484</v>
      </c>
      <c r="Y75" s="64">
        <v>-473.6</v>
      </c>
      <c r="Z75" s="64">
        <v>-399</v>
      </c>
      <c r="AA75" s="64">
        <v>-369</v>
      </c>
      <c r="AB75" s="64">
        <v>-388</v>
      </c>
      <c r="AC75" s="64">
        <v>-365</v>
      </c>
      <c r="AD75" s="64">
        <v>-354</v>
      </c>
      <c r="AE75" s="64">
        <v>-375</v>
      </c>
      <c r="AF75" s="64">
        <v>-359</v>
      </c>
      <c r="AG75" s="75"/>
      <c r="AH75" s="47">
        <f t="shared" si="2"/>
        <v>-354</v>
      </c>
      <c r="AI75" s="48">
        <f t="shared" si="3"/>
        <v>-490</v>
      </c>
      <c r="AK75" s="74"/>
    </row>
    <row r="76" spans="1:40" x14ac:dyDescent="0.25">
      <c r="A76" s="53" t="s">
        <v>92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75"/>
      <c r="AH76" s="47">
        <f t="shared" si="2"/>
        <v>0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76">
        <v>0</v>
      </c>
      <c r="AG77" s="75"/>
      <c r="AH77" s="47">
        <f t="shared" ref="AH77:AH120" si="16">MAX(B77:AF77)</f>
        <v>0</v>
      </c>
      <c r="AI77" s="48">
        <f t="shared" ref="AI77:AI120" si="17">MIN(B77:AF77)</f>
        <v>0</v>
      </c>
      <c r="AK77" s="74"/>
    </row>
    <row r="78" spans="1:40" x14ac:dyDescent="0.25">
      <c r="A78" s="53" t="s">
        <v>94</v>
      </c>
      <c r="B78" s="45">
        <v>0</v>
      </c>
      <c r="C78" s="45">
        <v>0</v>
      </c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v>0</v>
      </c>
      <c r="O78" s="45">
        <v>0</v>
      </c>
      <c r="P78" s="45">
        <v>0</v>
      </c>
      <c r="Q78" s="45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45">
        <v>0</v>
      </c>
      <c r="AD78" s="45">
        <v>0</v>
      </c>
      <c r="AE78" s="45">
        <v>0</v>
      </c>
      <c r="AF78" s="76">
        <v>0</v>
      </c>
      <c r="AG78" s="75"/>
      <c r="AH78" s="47">
        <f t="shared" si="16"/>
        <v>0</v>
      </c>
      <c r="AI78" s="48">
        <f t="shared" si="17"/>
        <v>0</v>
      </c>
      <c r="AK78" s="74"/>
    </row>
    <row r="79" spans="1:40" ht="15.75" thickBot="1" x14ac:dyDescent="0.3">
      <c r="A79" s="53" t="s">
        <v>95</v>
      </c>
      <c r="B79" s="45">
        <v>0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v>0</v>
      </c>
      <c r="Q79" s="45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45">
        <v>0</v>
      </c>
      <c r="AD79" s="45">
        <v>0</v>
      </c>
      <c r="AE79" s="45">
        <v>0</v>
      </c>
      <c r="AF79" s="76">
        <v>0</v>
      </c>
      <c r="AG79" s="75"/>
      <c r="AH79" s="47">
        <f t="shared" si="16"/>
        <v>0</v>
      </c>
      <c r="AI79" s="48">
        <f t="shared" si="17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>
        <v>0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v>0</v>
      </c>
      <c r="Q80" s="45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45">
        <v>0</v>
      </c>
      <c r="AD80" s="45">
        <v>0</v>
      </c>
      <c r="AE80" s="45">
        <v>0</v>
      </c>
      <c r="AF80" s="76">
        <v>0</v>
      </c>
      <c r="AG80" s="75"/>
      <c r="AH80" s="47">
        <f t="shared" si="16"/>
        <v>0</v>
      </c>
      <c r="AI80" s="48">
        <f t="shared" si="17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>
        <v>0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v>0</v>
      </c>
      <c r="Q81" s="45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45">
        <v>0</v>
      </c>
      <c r="AD81" s="45">
        <v>0</v>
      </c>
      <c r="AE81" s="45">
        <v>0</v>
      </c>
      <c r="AF81" s="76">
        <v>0</v>
      </c>
      <c r="AG81" s="75"/>
      <c r="AH81" s="47">
        <f t="shared" si="16"/>
        <v>0</v>
      </c>
      <c r="AI81" s="48">
        <f t="shared" si="17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>
        <v>0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45">
        <v>0</v>
      </c>
      <c r="AD82" s="45">
        <v>0</v>
      </c>
      <c r="AE82" s="45">
        <v>0</v>
      </c>
      <c r="AF82" s="76">
        <v>0</v>
      </c>
      <c r="AG82" s="85"/>
      <c r="AH82" s="47">
        <f t="shared" si="16"/>
        <v>0</v>
      </c>
      <c r="AI82" s="48">
        <f t="shared" si="17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>
        <v>0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45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45">
        <v>0</v>
      </c>
      <c r="AD83" s="45">
        <v>0</v>
      </c>
      <c r="AE83" s="45">
        <v>0</v>
      </c>
      <c r="AF83" s="76">
        <v>0</v>
      </c>
      <c r="AG83" s="85"/>
      <c r="AH83" s="47">
        <f t="shared" si="16"/>
        <v>0</v>
      </c>
      <c r="AI83" s="48">
        <f t="shared" si="17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v>30</v>
      </c>
      <c r="C84" s="59">
        <f t="shared" ref="C84:AF84" si="18">SUMIF(C73:C83,"&gt;0")</f>
        <v>24</v>
      </c>
      <c r="D84" s="59">
        <f t="shared" si="18"/>
        <v>5</v>
      </c>
      <c r="E84" s="59">
        <f t="shared" si="18"/>
        <v>0</v>
      </c>
      <c r="F84" s="59">
        <f t="shared" si="18"/>
        <v>0</v>
      </c>
      <c r="G84" s="59">
        <f t="shared" si="18"/>
        <v>0</v>
      </c>
      <c r="H84" s="59">
        <f t="shared" si="18"/>
        <v>0</v>
      </c>
      <c r="I84" s="59">
        <f t="shared" si="18"/>
        <v>0</v>
      </c>
      <c r="J84" s="59">
        <f t="shared" si="18"/>
        <v>0</v>
      </c>
      <c r="K84" s="59">
        <f t="shared" si="18"/>
        <v>0</v>
      </c>
      <c r="L84" s="59">
        <f t="shared" si="18"/>
        <v>0</v>
      </c>
      <c r="M84" s="59">
        <f t="shared" si="18"/>
        <v>15.2</v>
      </c>
      <c r="N84" s="59">
        <f t="shared" si="18"/>
        <v>23</v>
      </c>
      <c r="O84" s="59">
        <f t="shared" si="18"/>
        <v>33.9</v>
      </c>
      <c r="P84" s="59">
        <f t="shared" si="18"/>
        <v>42.7</v>
      </c>
      <c r="Q84" s="59">
        <f t="shared" si="18"/>
        <v>18.3</v>
      </c>
      <c r="R84" s="59">
        <f t="shared" si="18"/>
        <v>53.5</v>
      </c>
      <c r="S84" s="59">
        <f t="shared" si="18"/>
        <v>46.6</v>
      </c>
      <c r="T84" s="59">
        <f t="shared" si="18"/>
        <v>56.3</v>
      </c>
      <c r="U84" s="59">
        <f t="shared" si="18"/>
        <v>10.3</v>
      </c>
      <c r="V84" s="59">
        <f t="shared" si="18"/>
        <v>22.3</v>
      </c>
      <c r="W84" s="59">
        <f t="shared" si="18"/>
        <v>28</v>
      </c>
      <c r="X84" s="59">
        <f t="shared" si="18"/>
        <v>17.7</v>
      </c>
      <c r="Y84" s="59">
        <f t="shared" si="18"/>
        <v>3</v>
      </c>
      <c r="Z84" s="59">
        <f t="shared" si="18"/>
        <v>2.6</v>
      </c>
      <c r="AA84" s="59">
        <f t="shared" si="18"/>
        <v>13.2</v>
      </c>
      <c r="AB84" s="59">
        <f t="shared" ref="AB84" si="19">SUMIF(AB73:AB83,"&gt;0")</f>
        <v>19.600000000000001</v>
      </c>
      <c r="AC84" s="59">
        <f t="shared" si="18"/>
        <v>22</v>
      </c>
      <c r="AD84" s="59">
        <f t="shared" ref="AD84:AE84" si="20">SUMIF(AD73:AD83,"&gt;0")</f>
        <v>25.7</v>
      </c>
      <c r="AE84" s="59">
        <f t="shared" si="20"/>
        <v>27.9</v>
      </c>
      <c r="AF84" s="59">
        <f t="shared" si="18"/>
        <v>28.6</v>
      </c>
      <c r="AG84" s="88">
        <f>SUM(AG73:AG83)</f>
        <v>0</v>
      </c>
      <c r="AH84" s="47">
        <f t="shared" si="16"/>
        <v>56.3</v>
      </c>
      <c r="AI84" s="48">
        <f t="shared" si="17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16"/>
        <v>0</v>
      </c>
      <c r="AI85" s="48">
        <f t="shared" si="17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16"/>
        <v>0</v>
      </c>
      <c r="AI86" s="48">
        <f t="shared" si="17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16"/>
        <v>0</v>
      </c>
      <c r="AI87" s="48">
        <f t="shared" si="17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16"/>
        <v>0</v>
      </c>
      <c r="AI88" s="48">
        <f t="shared" si="17"/>
        <v>0</v>
      </c>
    </row>
    <row r="89" spans="1:40" ht="15.75" thickBot="1" x14ac:dyDescent="0.3">
      <c r="A89" s="73" t="s">
        <v>108</v>
      </c>
      <c r="B89" s="95">
        <v>1889.24</v>
      </c>
      <c r="C89" s="95">
        <f t="shared" ref="C89:AG89" si="21">C50+C54+C72+C68+C84+C88</f>
        <v>1883.24</v>
      </c>
      <c r="D89" s="95">
        <f t="shared" si="21"/>
        <v>1894.24</v>
      </c>
      <c r="E89" s="95">
        <f t="shared" si="21"/>
        <v>1937.14</v>
      </c>
      <c r="F89" s="95">
        <f t="shared" si="21"/>
        <v>1920.14</v>
      </c>
      <c r="G89" s="95">
        <f t="shared" si="21"/>
        <v>1897.14</v>
      </c>
      <c r="H89" s="95">
        <f t="shared" si="21"/>
        <v>1897.14</v>
      </c>
      <c r="I89" s="95">
        <f t="shared" si="21"/>
        <v>1917.14</v>
      </c>
      <c r="J89" s="95">
        <f t="shared" si="21"/>
        <v>1912.14</v>
      </c>
      <c r="K89" s="95">
        <f t="shared" si="21"/>
        <v>1928.64</v>
      </c>
      <c r="L89" s="95">
        <f t="shared" si="21"/>
        <v>1962.04</v>
      </c>
      <c r="M89" s="95">
        <f t="shared" si="21"/>
        <v>1989.24</v>
      </c>
      <c r="N89" s="95">
        <f t="shared" si="21"/>
        <v>2009.34</v>
      </c>
      <c r="O89" s="95">
        <f t="shared" si="21"/>
        <v>2013.44</v>
      </c>
      <c r="P89" s="95">
        <f t="shared" si="21"/>
        <v>2028.24</v>
      </c>
      <c r="Q89" s="95">
        <f t="shared" si="21"/>
        <v>2028.04</v>
      </c>
      <c r="R89" s="95">
        <f t="shared" si="21"/>
        <v>2098.34</v>
      </c>
      <c r="S89" s="95">
        <f t="shared" si="21"/>
        <v>2045.04</v>
      </c>
      <c r="T89" s="95">
        <f t="shared" si="21"/>
        <v>2064.6400000000003</v>
      </c>
      <c r="U89" s="95">
        <f t="shared" si="21"/>
        <v>2019.0200000000002</v>
      </c>
      <c r="V89" s="95">
        <f t="shared" si="21"/>
        <v>1990.6200000000001</v>
      </c>
      <c r="W89" s="95">
        <f t="shared" si="21"/>
        <v>1962.1200000000003</v>
      </c>
      <c r="X89" s="95">
        <f t="shared" si="21"/>
        <v>1951.8200000000004</v>
      </c>
      <c r="Y89" s="95">
        <f t="shared" si="21"/>
        <v>1926.9200000000003</v>
      </c>
      <c r="Z89" s="95">
        <f t="shared" si="21"/>
        <v>1992.52</v>
      </c>
      <c r="AA89" s="95">
        <f t="shared" si="21"/>
        <v>2008.72</v>
      </c>
      <c r="AB89" s="95">
        <f t="shared" ref="AB89" si="22">AB50+AB54+AB72+AB68+AB84+AB88</f>
        <v>2039.3199999999997</v>
      </c>
      <c r="AC89" s="95">
        <f t="shared" si="21"/>
        <v>2048.2199999999998</v>
      </c>
      <c r="AD89" s="95">
        <f t="shared" ref="AD89:AE89" si="23">AD50+AD54+AD72+AD68+AD84+AD88</f>
        <v>2040.5199999999998</v>
      </c>
      <c r="AE89" s="95">
        <f t="shared" si="23"/>
        <v>1970.42</v>
      </c>
      <c r="AF89" s="95">
        <f t="shared" si="21"/>
        <v>1925.7199999999998</v>
      </c>
      <c r="AG89" s="60">
        <f t="shared" si="21"/>
        <v>2111.5500000000002</v>
      </c>
      <c r="AH89" s="47">
        <f t="shared" si="16"/>
        <v>2098.34</v>
      </c>
      <c r="AI89" s="48">
        <f t="shared" si="17"/>
        <v>1883.24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16"/>
        <v>0</v>
      </c>
      <c r="AI90" s="48">
        <f t="shared" si="17"/>
        <v>0</v>
      </c>
    </row>
    <row r="91" spans="1:40" ht="15.75" thickBot="1" x14ac:dyDescent="0.3">
      <c r="A91" s="73" t="s">
        <v>110</v>
      </c>
      <c r="B91" s="95">
        <v>1889.24</v>
      </c>
      <c r="C91" s="95">
        <f t="shared" ref="C91:AF91" si="24">C89+C90</f>
        <v>1883.24</v>
      </c>
      <c r="D91" s="95">
        <f t="shared" si="24"/>
        <v>1894.24</v>
      </c>
      <c r="E91" s="95">
        <f t="shared" si="24"/>
        <v>1937.14</v>
      </c>
      <c r="F91" s="95">
        <f t="shared" si="24"/>
        <v>1920.14</v>
      </c>
      <c r="G91" s="95">
        <f t="shared" si="24"/>
        <v>1897.14</v>
      </c>
      <c r="H91" s="95">
        <f t="shared" si="24"/>
        <v>1897.14</v>
      </c>
      <c r="I91" s="95">
        <f t="shared" si="24"/>
        <v>1917.14</v>
      </c>
      <c r="J91" s="95">
        <f t="shared" si="24"/>
        <v>1912.14</v>
      </c>
      <c r="K91" s="95">
        <f t="shared" si="24"/>
        <v>1928.64</v>
      </c>
      <c r="L91" s="95">
        <f t="shared" si="24"/>
        <v>1962.04</v>
      </c>
      <c r="M91" s="95">
        <f t="shared" si="24"/>
        <v>1989.24</v>
      </c>
      <c r="N91" s="95">
        <f t="shared" si="24"/>
        <v>2009.34</v>
      </c>
      <c r="O91" s="95">
        <f t="shared" si="24"/>
        <v>2013.44</v>
      </c>
      <c r="P91" s="95">
        <f t="shared" si="24"/>
        <v>2028.24</v>
      </c>
      <c r="Q91" s="95">
        <f t="shared" si="24"/>
        <v>2028.04</v>
      </c>
      <c r="R91" s="95">
        <f t="shared" si="24"/>
        <v>2098.34</v>
      </c>
      <c r="S91" s="95">
        <f t="shared" si="24"/>
        <v>2045.04</v>
      </c>
      <c r="T91" s="95">
        <f t="shared" si="24"/>
        <v>2064.6400000000003</v>
      </c>
      <c r="U91" s="95">
        <f t="shared" si="24"/>
        <v>2019.0200000000002</v>
      </c>
      <c r="V91" s="95">
        <f t="shared" si="24"/>
        <v>1990.6200000000001</v>
      </c>
      <c r="W91" s="95">
        <f t="shared" si="24"/>
        <v>1962.1200000000003</v>
      </c>
      <c r="X91" s="95">
        <f t="shared" si="24"/>
        <v>1951.8200000000004</v>
      </c>
      <c r="Y91" s="95">
        <f t="shared" si="24"/>
        <v>1926.9200000000003</v>
      </c>
      <c r="Z91" s="95">
        <f t="shared" si="24"/>
        <v>1992.52</v>
      </c>
      <c r="AA91" s="95">
        <f t="shared" si="24"/>
        <v>2008.72</v>
      </c>
      <c r="AB91" s="95">
        <f t="shared" ref="AB91" si="25">AB89+AB90</f>
        <v>2039.3199999999997</v>
      </c>
      <c r="AC91" s="95">
        <f t="shared" si="24"/>
        <v>2048.2199999999998</v>
      </c>
      <c r="AD91" s="95">
        <f t="shared" ref="AD91:AE91" si="26">AD89+AD90</f>
        <v>2040.5199999999998</v>
      </c>
      <c r="AE91" s="95">
        <f t="shared" si="26"/>
        <v>1970.42</v>
      </c>
      <c r="AF91" s="95">
        <f t="shared" si="24"/>
        <v>1925.7199999999998</v>
      </c>
      <c r="AG91" s="88">
        <f>AG88+AG84+AG72+AG68+AG50+AG90</f>
        <v>1573.45</v>
      </c>
      <c r="AH91" s="47">
        <f t="shared" si="16"/>
        <v>2098.34</v>
      </c>
      <c r="AI91" s="48">
        <f t="shared" si="17"/>
        <v>1883.24</v>
      </c>
    </row>
    <row r="92" spans="1:40" ht="15.75" thickBot="1" x14ac:dyDescent="0.3">
      <c r="A92" s="73" t="s">
        <v>111</v>
      </c>
      <c r="B92" s="95">
        <v>1889.24</v>
      </c>
      <c r="C92" s="95">
        <f t="shared" ref="C92:AF92" si="27">C91-C99</f>
        <v>1883.24</v>
      </c>
      <c r="D92" s="95">
        <f t="shared" si="27"/>
        <v>1894.24</v>
      </c>
      <c r="E92" s="95">
        <f t="shared" si="27"/>
        <v>1937.14</v>
      </c>
      <c r="F92" s="95">
        <f t="shared" si="27"/>
        <v>1920.14</v>
      </c>
      <c r="G92" s="95">
        <f t="shared" si="27"/>
        <v>1897.14</v>
      </c>
      <c r="H92" s="95">
        <f t="shared" si="27"/>
        <v>1897.14</v>
      </c>
      <c r="I92" s="95">
        <f t="shared" si="27"/>
        <v>1917.14</v>
      </c>
      <c r="J92" s="95">
        <f t="shared" si="27"/>
        <v>1912.14</v>
      </c>
      <c r="K92" s="95">
        <f t="shared" si="27"/>
        <v>1928.64</v>
      </c>
      <c r="L92" s="95">
        <f t="shared" si="27"/>
        <v>1962.04</v>
      </c>
      <c r="M92" s="95">
        <f t="shared" si="27"/>
        <v>1989.24</v>
      </c>
      <c r="N92" s="95">
        <f t="shared" si="27"/>
        <v>2009.34</v>
      </c>
      <c r="O92" s="95">
        <f t="shared" si="27"/>
        <v>2013.44</v>
      </c>
      <c r="P92" s="95">
        <f t="shared" si="27"/>
        <v>2028.24</v>
      </c>
      <c r="Q92" s="95">
        <f t="shared" si="27"/>
        <v>2028.04</v>
      </c>
      <c r="R92" s="95">
        <f t="shared" si="27"/>
        <v>2098.34</v>
      </c>
      <c r="S92" s="95">
        <f t="shared" si="27"/>
        <v>2045.04</v>
      </c>
      <c r="T92" s="95">
        <f t="shared" si="27"/>
        <v>2064.6400000000003</v>
      </c>
      <c r="U92" s="95">
        <f t="shared" si="27"/>
        <v>2019.0200000000002</v>
      </c>
      <c r="V92" s="95">
        <f t="shared" si="27"/>
        <v>1990.6200000000001</v>
      </c>
      <c r="W92" s="95">
        <f t="shared" si="27"/>
        <v>1962.1200000000003</v>
      </c>
      <c r="X92" s="95">
        <f t="shared" si="27"/>
        <v>1951.8200000000004</v>
      </c>
      <c r="Y92" s="95">
        <f t="shared" si="27"/>
        <v>1926.9200000000003</v>
      </c>
      <c r="Z92" s="95">
        <f t="shared" si="27"/>
        <v>1992.52</v>
      </c>
      <c r="AA92" s="95">
        <f t="shared" si="27"/>
        <v>2008.72</v>
      </c>
      <c r="AB92" s="95">
        <f t="shared" ref="AB92" si="28">AB91-AB99</f>
        <v>2039.3199999999997</v>
      </c>
      <c r="AC92" s="95">
        <f t="shared" si="27"/>
        <v>2048.2199999999998</v>
      </c>
      <c r="AD92" s="95">
        <f t="shared" ref="AD92:AE92" si="29">AD91-AD99</f>
        <v>2040.5199999999998</v>
      </c>
      <c r="AE92" s="95">
        <f t="shared" si="29"/>
        <v>1970.42</v>
      </c>
      <c r="AF92" s="95">
        <f t="shared" si="27"/>
        <v>1925.7199999999998</v>
      </c>
      <c r="AG92" s="88"/>
      <c r="AH92" s="47">
        <f t="shared" si="16"/>
        <v>2098.34</v>
      </c>
      <c r="AI92" s="48">
        <f t="shared" si="17"/>
        <v>1883.24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16"/>
        <v>0</v>
      </c>
      <c r="AI93" s="48">
        <f t="shared" si="17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16"/>
        <v>0</v>
      </c>
      <c r="AI94" s="48">
        <f t="shared" si="17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16"/>
        <v>0</v>
      </c>
      <c r="AI95" s="48">
        <f t="shared" si="17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16"/>
        <v>0</v>
      </c>
      <c r="AI96" s="48">
        <f t="shared" si="17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16"/>
        <v>0</v>
      </c>
      <c r="AI97" s="48">
        <f t="shared" si="17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16"/>
        <v>0</v>
      </c>
      <c r="AI98" s="48">
        <f t="shared" si="17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16"/>
        <v>0</v>
      </c>
      <c r="AI99" s="48">
        <f t="shared" si="17"/>
        <v>0</v>
      </c>
      <c r="AK99" s="74"/>
    </row>
    <row r="100" spans="1:37" ht="15.75" thickBot="1" x14ac:dyDescent="0.3">
      <c r="A100" s="73" t="s">
        <v>116</v>
      </c>
      <c r="B100" s="59">
        <v>30</v>
      </c>
      <c r="C100" s="59">
        <f t="shared" ref="C100:AF100" si="30">C84-C99</f>
        <v>24</v>
      </c>
      <c r="D100" s="59">
        <f t="shared" si="30"/>
        <v>5</v>
      </c>
      <c r="E100" s="59">
        <f t="shared" si="30"/>
        <v>0</v>
      </c>
      <c r="F100" s="59">
        <f t="shared" si="30"/>
        <v>0</v>
      </c>
      <c r="G100" s="59">
        <f t="shared" si="30"/>
        <v>0</v>
      </c>
      <c r="H100" s="59">
        <f t="shared" si="30"/>
        <v>0</v>
      </c>
      <c r="I100" s="59">
        <f t="shared" si="30"/>
        <v>0</v>
      </c>
      <c r="J100" s="59">
        <f t="shared" si="30"/>
        <v>0</v>
      </c>
      <c r="K100" s="59">
        <f t="shared" si="30"/>
        <v>0</v>
      </c>
      <c r="L100" s="59">
        <f t="shared" si="30"/>
        <v>0</v>
      </c>
      <c r="M100" s="59">
        <f t="shared" si="30"/>
        <v>15.2</v>
      </c>
      <c r="N100" s="59">
        <f t="shared" si="30"/>
        <v>23</v>
      </c>
      <c r="O100" s="59">
        <f t="shared" si="30"/>
        <v>33.9</v>
      </c>
      <c r="P100" s="59">
        <f t="shared" si="30"/>
        <v>42.7</v>
      </c>
      <c r="Q100" s="59">
        <f t="shared" si="30"/>
        <v>18.3</v>
      </c>
      <c r="R100" s="59">
        <f t="shared" si="30"/>
        <v>53.5</v>
      </c>
      <c r="S100" s="59">
        <f t="shared" si="30"/>
        <v>46.6</v>
      </c>
      <c r="T100" s="59">
        <f t="shared" si="30"/>
        <v>56.3</v>
      </c>
      <c r="U100" s="59">
        <f t="shared" si="30"/>
        <v>10.3</v>
      </c>
      <c r="V100" s="59">
        <f t="shared" si="30"/>
        <v>22.3</v>
      </c>
      <c r="W100" s="59">
        <f t="shared" si="30"/>
        <v>28</v>
      </c>
      <c r="X100" s="59">
        <f t="shared" si="30"/>
        <v>17.7</v>
      </c>
      <c r="Y100" s="59">
        <f t="shared" si="30"/>
        <v>3</v>
      </c>
      <c r="Z100" s="59">
        <f t="shared" si="30"/>
        <v>2.6</v>
      </c>
      <c r="AA100" s="59">
        <f t="shared" si="30"/>
        <v>13.2</v>
      </c>
      <c r="AB100" s="59">
        <f t="shared" ref="AB100" si="31">AB84-AB99</f>
        <v>19.600000000000001</v>
      </c>
      <c r="AC100" s="59">
        <f t="shared" si="30"/>
        <v>22</v>
      </c>
      <c r="AD100" s="59">
        <f t="shared" ref="AD100:AE100" si="32">AD84-AD99</f>
        <v>25.7</v>
      </c>
      <c r="AE100" s="59">
        <f t="shared" si="32"/>
        <v>27.9</v>
      </c>
      <c r="AF100" s="59">
        <f t="shared" si="30"/>
        <v>28.6</v>
      </c>
      <c r="AG100" s="88"/>
      <c r="AH100" s="47">
        <f t="shared" si="16"/>
        <v>56.3</v>
      </c>
      <c r="AI100" s="48">
        <f t="shared" si="17"/>
        <v>0</v>
      </c>
    </row>
    <row r="101" spans="1:37" x14ac:dyDescent="0.25">
      <c r="A101" s="100" t="s">
        <v>117</v>
      </c>
      <c r="B101" s="101">
        <v>50</v>
      </c>
      <c r="C101" s="101">
        <v>50</v>
      </c>
      <c r="D101" s="101">
        <v>50.01</v>
      </c>
      <c r="E101" s="101">
        <v>50.06</v>
      </c>
      <c r="F101" s="101">
        <v>50.01</v>
      </c>
      <c r="G101" s="101">
        <v>50.02</v>
      </c>
      <c r="H101" s="101">
        <v>50</v>
      </c>
      <c r="I101" s="101">
        <v>49.9</v>
      </c>
      <c r="J101" s="101">
        <v>49.94</v>
      </c>
      <c r="K101" s="101">
        <v>50.05</v>
      </c>
      <c r="L101" s="101">
        <v>50</v>
      </c>
      <c r="M101" s="101">
        <v>50.033999999999999</v>
      </c>
      <c r="N101" s="101">
        <v>49.972999999999999</v>
      </c>
      <c r="O101" s="101">
        <v>50.031999999999996</v>
      </c>
      <c r="P101" s="101">
        <v>50.134</v>
      </c>
      <c r="Q101" s="101">
        <v>50.08</v>
      </c>
      <c r="R101" s="101">
        <v>50.015000000000001</v>
      </c>
      <c r="S101" s="101">
        <v>50.03</v>
      </c>
      <c r="T101" s="101">
        <v>50.061999999999998</v>
      </c>
      <c r="U101" s="101">
        <v>50.012999999999998</v>
      </c>
      <c r="V101" s="101">
        <v>49.984000000000002</v>
      </c>
      <c r="W101" s="101">
        <v>49.991</v>
      </c>
      <c r="X101" s="101">
        <v>50.063000000000002</v>
      </c>
      <c r="Y101" s="101">
        <v>50.08</v>
      </c>
      <c r="Z101" s="101">
        <v>50.029000000000003</v>
      </c>
      <c r="AA101" s="101">
        <v>50.037999999999997</v>
      </c>
      <c r="AB101" s="101">
        <v>50.02</v>
      </c>
      <c r="AC101" s="101">
        <v>50.05</v>
      </c>
      <c r="AD101" s="101">
        <v>50</v>
      </c>
      <c r="AE101" s="101">
        <v>50.06</v>
      </c>
      <c r="AF101" s="101">
        <v>50.05</v>
      </c>
      <c r="AG101" s="102"/>
      <c r="AH101" s="47">
        <f t="shared" si="16"/>
        <v>50.134</v>
      </c>
      <c r="AI101" s="48">
        <f t="shared" si="17"/>
        <v>49.9</v>
      </c>
    </row>
    <row r="102" spans="1:37" x14ac:dyDescent="0.25">
      <c r="A102" s="103" t="s">
        <v>118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4"/>
      <c r="AH102" s="47">
        <f t="shared" si="16"/>
        <v>0</v>
      </c>
      <c r="AI102" s="48">
        <f t="shared" si="17"/>
        <v>0</v>
      </c>
    </row>
    <row r="103" spans="1:37" x14ac:dyDescent="0.25">
      <c r="A103" s="103" t="s">
        <v>119</v>
      </c>
      <c r="B103" s="64">
        <v>127</v>
      </c>
      <c r="C103" s="64">
        <v>127</v>
      </c>
      <c r="D103" s="64">
        <v>130</v>
      </c>
      <c r="E103" s="64">
        <v>129.4</v>
      </c>
      <c r="F103" s="64">
        <v>129.4</v>
      </c>
      <c r="G103" s="64">
        <v>129.4</v>
      </c>
      <c r="H103" s="64">
        <v>129.4</v>
      </c>
      <c r="I103" s="64">
        <v>129.4</v>
      </c>
      <c r="J103" s="64">
        <v>125.4</v>
      </c>
      <c r="K103" s="64">
        <v>124.2</v>
      </c>
      <c r="L103" s="64">
        <v>126.5</v>
      </c>
      <c r="M103" s="64">
        <v>125.4</v>
      </c>
      <c r="N103" s="64">
        <v>123.6</v>
      </c>
      <c r="O103" s="64">
        <v>125</v>
      </c>
      <c r="P103" s="64">
        <v>123.6</v>
      </c>
      <c r="Q103" s="64">
        <v>124.4</v>
      </c>
      <c r="R103" s="64">
        <v>125.8</v>
      </c>
      <c r="S103" s="64">
        <v>126.3</v>
      </c>
      <c r="T103" s="64">
        <v>124.6</v>
      </c>
      <c r="U103" s="64">
        <v>125.8</v>
      </c>
      <c r="V103" s="64">
        <v>126.7</v>
      </c>
      <c r="W103" s="64">
        <v>127.3</v>
      </c>
      <c r="X103" s="64">
        <v>128.19999999999999</v>
      </c>
      <c r="Y103" s="64">
        <v>126.1</v>
      </c>
      <c r="Z103" s="64">
        <v>124.7</v>
      </c>
      <c r="AA103" s="64">
        <v>128.80000000000001</v>
      </c>
      <c r="AB103" s="64">
        <v>129.19999999999999</v>
      </c>
      <c r="AC103" s="64">
        <v>128.19999999999999</v>
      </c>
      <c r="AD103" s="64">
        <v>129</v>
      </c>
      <c r="AE103" s="64">
        <v>129.9</v>
      </c>
      <c r="AF103" s="64">
        <v>130</v>
      </c>
      <c r="AG103" s="104"/>
      <c r="AH103" s="47">
        <f t="shared" si="16"/>
        <v>130</v>
      </c>
      <c r="AI103" s="48">
        <f t="shared" si="17"/>
        <v>123.6</v>
      </c>
    </row>
    <row r="104" spans="1:37" x14ac:dyDescent="0.25">
      <c r="A104" s="103" t="s">
        <v>120</v>
      </c>
      <c r="B104" s="64">
        <v>129</v>
      </c>
      <c r="C104" s="64">
        <v>129</v>
      </c>
      <c r="D104" s="64">
        <v>129</v>
      </c>
      <c r="E104" s="64">
        <v>131</v>
      </c>
      <c r="F104" s="64">
        <v>131</v>
      </c>
      <c r="G104" s="64">
        <v>131</v>
      </c>
      <c r="H104" s="64">
        <v>131</v>
      </c>
      <c r="I104" s="64">
        <v>131</v>
      </c>
      <c r="J104" s="64">
        <v>131</v>
      </c>
      <c r="K104" s="64">
        <v>128</v>
      </c>
      <c r="L104" s="64">
        <v>130.30000000000001</v>
      </c>
      <c r="M104" s="64">
        <v>129.1</v>
      </c>
      <c r="N104" s="64">
        <v>127.3</v>
      </c>
      <c r="O104" s="64">
        <v>129.69999999999999</v>
      </c>
      <c r="P104" s="64">
        <v>129.30000000000001</v>
      </c>
      <c r="Q104" s="64">
        <v>131.19999999999999</v>
      </c>
      <c r="R104" s="64">
        <v>128.30000000000001</v>
      </c>
      <c r="S104" s="64">
        <v>126.8</v>
      </c>
      <c r="T104" s="64">
        <v>127.3</v>
      </c>
      <c r="U104" s="64">
        <v>127.3</v>
      </c>
      <c r="V104" s="64">
        <v>130.69999999999999</v>
      </c>
      <c r="W104" s="64">
        <v>127.2</v>
      </c>
      <c r="X104" s="64">
        <v>129.5</v>
      </c>
      <c r="Y104" s="64">
        <v>127.1</v>
      </c>
      <c r="Z104" s="64">
        <v>129</v>
      </c>
      <c r="AA104" s="64">
        <v>128.19999999999999</v>
      </c>
      <c r="AB104" s="64">
        <v>129.69999999999999</v>
      </c>
      <c r="AC104" s="64">
        <v>127.9</v>
      </c>
      <c r="AD104" s="64">
        <v>129</v>
      </c>
      <c r="AE104" s="64">
        <v>128.30000000000001</v>
      </c>
      <c r="AF104" s="64">
        <v>128.6</v>
      </c>
      <c r="AG104" s="104"/>
      <c r="AH104" s="47">
        <f t="shared" si="16"/>
        <v>131.19999999999999</v>
      </c>
      <c r="AI104" s="48">
        <f t="shared" si="17"/>
        <v>126.8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16"/>
        <v>0</v>
      </c>
      <c r="AI105" s="48">
        <f t="shared" si="17"/>
        <v>0</v>
      </c>
    </row>
    <row r="106" spans="1:37" x14ac:dyDescent="0.25">
      <c r="A106" s="105" t="s">
        <v>122</v>
      </c>
      <c r="B106" s="106">
        <v>128</v>
      </c>
      <c r="C106" s="106">
        <v>128</v>
      </c>
      <c r="D106" s="106">
        <v>130</v>
      </c>
      <c r="E106" s="106">
        <v>131.1</v>
      </c>
      <c r="F106" s="106">
        <v>131.1</v>
      </c>
      <c r="G106" s="106">
        <v>131.1</v>
      </c>
      <c r="H106" s="106">
        <v>131.1</v>
      </c>
      <c r="I106" s="106">
        <v>131.1</v>
      </c>
      <c r="J106" s="106">
        <v>131.1</v>
      </c>
      <c r="K106" s="106">
        <v>131.5</v>
      </c>
      <c r="L106" s="106">
        <v>130.9</v>
      </c>
      <c r="M106" s="106">
        <v>130.5</v>
      </c>
      <c r="N106" s="106">
        <v>132.4</v>
      </c>
      <c r="O106" s="106">
        <v>134.80000000000001</v>
      </c>
      <c r="P106" s="106">
        <v>132.19999999999999</v>
      </c>
      <c r="Q106" s="106">
        <v>130.6</v>
      </c>
      <c r="R106" s="106">
        <v>133.80000000000001</v>
      </c>
      <c r="S106" s="106">
        <v>130.9</v>
      </c>
      <c r="T106" s="106">
        <v>130.1</v>
      </c>
      <c r="U106" s="106">
        <v>128.6</v>
      </c>
      <c r="V106" s="106">
        <v>130.4</v>
      </c>
      <c r="W106" s="106">
        <v>134</v>
      </c>
      <c r="X106" s="106">
        <v>135.80000000000001</v>
      </c>
      <c r="Y106" s="106">
        <v>129.5</v>
      </c>
      <c r="Z106" s="106">
        <v>132.6</v>
      </c>
      <c r="AA106" s="106">
        <v>134</v>
      </c>
      <c r="AB106" s="106">
        <v>131.5</v>
      </c>
      <c r="AC106" s="106">
        <v>131.6</v>
      </c>
      <c r="AD106" s="106">
        <v>130.69999999999999</v>
      </c>
      <c r="AE106" s="106">
        <v>132.19999999999999</v>
      </c>
      <c r="AF106" s="106">
        <v>133</v>
      </c>
      <c r="AG106" s="107"/>
      <c r="AH106" s="47">
        <f t="shared" si="16"/>
        <v>135.80000000000001</v>
      </c>
      <c r="AI106" s="48">
        <f t="shared" si="17"/>
        <v>128</v>
      </c>
    </row>
    <row r="107" spans="1:37" x14ac:dyDescent="0.25">
      <c r="A107" s="103" t="s">
        <v>123</v>
      </c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>
        <v>128.5</v>
      </c>
      <c r="N107" s="64">
        <v>133.4</v>
      </c>
      <c r="O107" s="64">
        <v>130.1</v>
      </c>
      <c r="P107" s="64">
        <v>129.5</v>
      </c>
      <c r="Q107" s="64">
        <v>133.30000000000001</v>
      </c>
      <c r="R107" s="64">
        <v>130.9</v>
      </c>
      <c r="S107" s="64">
        <v>127.1</v>
      </c>
      <c r="T107" s="64">
        <v>129.9</v>
      </c>
      <c r="U107" s="64">
        <v>128.19999999999999</v>
      </c>
      <c r="V107" s="64">
        <v>128.9</v>
      </c>
      <c r="W107" s="64">
        <v>131.1</v>
      </c>
      <c r="X107" s="64">
        <v>129.5</v>
      </c>
      <c r="Y107" s="64">
        <v>127.7</v>
      </c>
      <c r="Z107" s="64">
        <v>132</v>
      </c>
      <c r="AA107" s="64">
        <v>129.9</v>
      </c>
      <c r="AB107" s="64">
        <v>131.19999999999999</v>
      </c>
      <c r="AC107" s="64">
        <v>128.6</v>
      </c>
      <c r="AD107" s="64">
        <v>126.1</v>
      </c>
      <c r="AE107" s="64">
        <v>132.4</v>
      </c>
      <c r="AF107" s="64">
        <v>132.19999999999999</v>
      </c>
      <c r="AG107" s="104"/>
      <c r="AH107" s="47">
        <f t="shared" si="16"/>
        <v>133.4</v>
      </c>
      <c r="AI107" s="48">
        <f t="shared" si="17"/>
        <v>126.1</v>
      </c>
    </row>
    <row r="108" spans="1:37" ht="15.75" thickBot="1" x14ac:dyDescent="0.3">
      <c r="A108" s="103" t="s">
        <v>124</v>
      </c>
      <c r="B108" s="92">
        <v>64.400000000000006</v>
      </c>
      <c r="C108" s="92">
        <v>64.400000000000006</v>
      </c>
      <c r="D108" s="92">
        <v>65.400000000000006</v>
      </c>
      <c r="E108" s="92">
        <v>65.099999999999994</v>
      </c>
      <c r="F108" s="92">
        <v>65.099999999999994</v>
      </c>
      <c r="G108" s="92">
        <v>65.099999999999994</v>
      </c>
      <c r="H108" s="92">
        <v>65.5</v>
      </c>
      <c r="I108" s="92">
        <v>63.4</v>
      </c>
      <c r="J108" s="92">
        <v>62.8</v>
      </c>
      <c r="K108" s="92">
        <v>62.1</v>
      </c>
      <c r="L108" s="92">
        <v>63.5</v>
      </c>
      <c r="M108" s="92">
        <v>62.8</v>
      </c>
      <c r="N108" s="92">
        <v>61.8</v>
      </c>
      <c r="O108" s="92">
        <v>62.6</v>
      </c>
      <c r="P108" s="92">
        <v>62.1</v>
      </c>
      <c r="Q108" s="92">
        <v>62.5</v>
      </c>
      <c r="R108" s="92">
        <v>63.2</v>
      </c>
      <c r="S108" s="92">
        <v>63.3</v>
      </c>
      <c r="T108" s="92">
        <v>63.1</v>
      </c>
      <c r="U108" s="92">
        <v>63.7</v>
      </c>
      <c r="V108" s="92">
        <v>63.9</v>
      </c>
      <c r="W108" s="92">
        <v>64.099999999999994</v>
      </c>
      <c r="X108" s="92">
        <v>64.5</v>
      </c>
      <c r="Y108" s="92">
        <v>63.4</v>
      </c>
      <c r="Z108" s="92">
        <v>62.8</v>
      </c>
      <c r="AA108" s="92">
        <v>64.7</v>
      </c>
      <c r="AB108" s="92">
        <v>64.8</v>
      </c>
      <c r="AC108" s="92">
        <v>64.400000000000006</v>
      </c>
      <c r="AD108" s="92">
        <v>64.8</v>
      </c>
      <c r="AE108" s="92">
        <v>65.400000000000006</v>
      </c>
      <c r="AF108" s="92">
        <v>65.400000000000006</v>
      </c>
      <c r="AG108" s="108"/>
      <c r="AH108" s="47">
        <f t="shared" si="16"/>
        <v>65.5</v>
      </c>
      <c r="AI108" s="48">
        <f t="shared" si="17"/>
        <v>61.8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16"/>
        <v>0</v>
      </c>
      <c r="AI109" s="48">
        <f t="shared" si="17"/>
        <v>0</v>
      </c>
    </row>
    <row r="110" spans="1:37" ht="15.75" thickBot="1" x14ac:dyDescent="0.3">
      <c r="A110" s="110" t="s">
        <v>126</v>
      </c>
      <c r="B110" s="111">
        <v>71.5</v>
      </c>
      <c r="C110" s="111">
        <f t="shared" ref="C110:O110" si="33">SUM(C20,C26,C29:C30,C58,C60:C61,C63,C65,C111:C115,C138,C144,C150,C159,C161,C173,C180,C183:C184,C191,C193,C195,C199:C201,C203:C205,C210,C216:C217,C219:C221,C229,C234)</f>
        <v>37.44</v>
      </c>
      <c r="D110" s="111">
        <f t="shared" si="33"/>
        <v>32.44</v>
      </c>
      <c r="E110" s="111">
        <f t="shared" si="33"/>
        <v>33.539999999999949</v>
      </c>
      <c r="F110" s="111">
        <f t="shared" si="33"/>
        <v>36.539999999999949</v>
      </c>
      <c r="G110" s="111">
        <f t="shared" si="33"/>
        <v>23.539999999999981</v>
      </c>
      <c r="H110" s="111">
        <f t="shared" si="33"/>
        <v>55.140000000000022</v>
      </c>
      <c r="I110" s="111">
        <f t="shared" si="33"/>
        <v>65.140000000000015</v>
      </c>
      <c r="J110" s="111">
        <f t="shared" si="33"/>
        <v>149.04</v>
      </c>
      <c r="K110" s="111">
        <f t="shared" si="33"/>
        <v>182.23999999999998</v>
      </c>
      <c r="L110" s="111">
        <f t="shared" si="33"/>
        <v>188.23999999999995</v>
      </c>
      <c r="M110" s="111">
        <f t="shared" si="33"/>
        <v>200.33999999999997</v>
      </c>
      <c r="N110" s="111">
        <f t="shared" si="33"/>
        <v>205.23999999999998</v>
      </c>
      <c r="O110" s="111">
        <f t="shared" si="33"/>
        <v>231.43999999999997</v>
      </c>
      <c r="P110" s="111">
        <v>42</v>
      </c>
      <c r="Q110" s="111">
        <f t="shared" ref="Q110:AF110" si="34">SUM(Q20,Q26,Q29:Q30,Q58,Q60:Q61,Q63,Q65,Q111:Q115,Q138,Q144,Q150,Q159,Q161,Q173,Q180,Q183:Q184,Q191,Q193,Q195,Q199:Q201,Q203:Q205,Q210,Q216:Q217,Q219:Q221,Q229,Q234)</f>
        <v>219.40000000000003</v>
      </c>
      <c r="R110" s="111">
        <f t="shared" si="34"/>
        <v>156.30000000000001</v>
      </c>
      <c r="S110" s="111">
        <f t="shared" si="34"/>
        <v>171.39999999999998</v>
      </c>
      <c r="T110" s="111">
        <f t="shared" si="34"/>
        <v>141.19999999999999</v>
      </c>
      <c r="U110" s="111">
        <f t="shared" si="34"/>
        <v>174.79999999999998</v>
      </c>
      <c r="V110" s="111">
        <f t="shared" si="34"/>
        <v>169.89999999999998</v>
      </c>
      <c r="W110" s="111">
        <f t="shared" si="34"/>
        <v>160.69999999999999</v>
      </c>
      <c r="X110" s="111">
        <f t="shared" si="34"/>
        <v>168.29999999999995</v>
      </c>
      <c r="Y110" s="111">
        <f t="shared" si="34"/>
        <v>166.79999999999998</v>
      </c>
      <c r="Z110" s="111">
        <f t="shared" si="34"/>
        <v>207.6</v>
      </c>
      <c r="AA110" s="111">
        <f t="shared" si="34"/>
        <v>169.39999999999998</v>
      </c>
      <c r="AB110" s="111">
        <f t="shared" ref="AB110" si="35">SUM(AB20,AB26,AB29:AB30,AB58,AB60:AB61,AB63,AB65,AB111:AB115,AB138,AB144,AB150,AB159,AB161,AB173,AB180,AB183:AB184,AB191,AB193,AB195,AB199:AB201,AB203:AB205,AB210,AB216:AB217,AB219:AB221,AB229,AB234)</f>
        <v>156.00000000000003</v>
      </c>
      <c r="AC110" s="111">
        <f t="shared" si="34"/>
        <v>145.90000000000003</v>
      </c>
      <c r="AD110" s="111"/>
      <c r="AE110" s="111">
        <f t="shared" si="34"/>
        <v>47.600000000000023</v>
      </c>
      <c r="AF110" s="111">
        <f t="shared" si="34"/>
        <v>22.000000000000021</v>
      </c>
      <c r="AG110" s="112"/>
      <c r="AH110" s="47">
        <f t="shared" si="16"/>
        <v>231.43999999999997</v>
      </c>
      <c r="AI110" s="48">
        <f t="shared" si="17"/>
        <v>22.000000000000021</v>
      </c>
    </row>
    <row r="111" spans="1:37" x14ac:dyDescent="0.25">
      <c r="A111" s="100" t="s">
        <v>127</v>
      </c>
      <c r="B111" s="113">
        <v>76</v>
      </c>
      <c r="C111" s="113">
        <v>74</v>
      </c>
      <c r="D111" s="113">
        <v>72</v>
      </c>
      <c r="E111" s="113">
        <v>45.7</v>
      </c>
      <c r="F111" s="113">
        <v>45.7</v>
      </c>
      <c r="G111" s="113">
        <v>45.7</v>
      </c>
      <c r="H111" s="113">
        <v>59.9</v>
      </c>
      <c r="I111" s="113">
        <v>59.9</v>
      </c>
      <c r="J111" s="113">
        <v>55.2</v>
      </c>
      <c r="K111" s="113">
        <v>66.3</v>
      </c>
      <c r="L111" s="113">
        <v>44.2</v>
      </c>
      <c r="M111" s="113">
        <v>45.6</v>
      </c>
      <c r="N111" s="113">
        <v>65.2</v>
      </c>
      <c r="O111" s="113">
        <v>61.7</v>
      </c>
      <c r="P111" s="113">
        <v>62.5</v>
      </c>
      <c r="Q111" s="113">
        <v>70.5</v>
      </c>
      <c r="R111" s="113">
        <v>32.200000000000003</v>
      </c>
      <c r="S111" s="113">
        <v>63.5</v>
      </c>
      <c r="T111" s="113">
        <v>66.5</v>
      </c>
      <c r="U111" s="113">
        <v>65.2</v>
      </c>
      <c r="V111" s="113">
        <v>65.400000000000006</v>
      </c>
      <c r="W111" s="113">
        <v>57</v>
      </c>
      <c r="X111" s="113">
        <v>62.6</v>
      </c>
      <c r="Y111" s="113">
        <v>78.599999999999994</v>
      </c>
      <c r="Z111" s="113">
        <v>78.400000000000006</v>
      </c>
      <c r="AA111" s="113">
        <v>69.3</v>
      </c>
      <c r="AB111" s="113">
        <v>55.5</v>
      </c>
      <c r="AC111" s="113">
        <v>52.1</v>
      </c>
      <c r="AD111" s="113">
        <v>46.8</v>
      </c>
      <c r="AE111" s="113">
        <v>32</v>
      </c>
      <c r="AF111" s="113">
        <v>5.6</v>
      </c>
      <c r="AG111" s="114">
        <v>75</v>
      </c>
      <c r="AH111" s="47">
        <f t="shared" si="16"/>
        <v>78.599999999999994</v>
      </c>
      <c r="AI111" s="48">
        <f t="shared" si="17"/>
        <v>5.6</v>
      </c>
    </row>
    <row r="112" spans="1:37" x14ac:dyDescent="0.25">
      <c r="A112" s="103" t="s">
        <v>128</v>
      </c>
      <c r="B112" s="115">
        <v>46</v>
      </c>
      <c r="C112" s="115">
        <v>44</v>
      </c>
      <c r="D112" s="115">
        <v>43</v>
      </c>
      <c r="E112" s="115">
        <v>74.7</v>
      </c>
      <c r="F112" s="115">
        <v>74.7</v>
      </c>
      <c r="G112" s="115">
        <v>74.7</v>
      </c>
      <c r="H112" s="115">
        <v>92.9</v>
      </c>
      <c r="I112" s="115">
        <v>92.9</v>
      </c>
      <c r="J112" s="115">
        <v>84.8</v>
      </c>
      <c r="K112" s="115">
        <v>100.2</v>
      </c>
      <c r="L112" s="115">
        <v>71.599999999999994</v>
      </c>
      <c r="M112" s="115">
        <v>73.3</v>
      </c>
      <c r="N112" s="115">
        <v>99.4</v>
      </c>
      <c r="O112" s="115">
        <v>96.7</v>
      </c>
      <c r="P112" s="115">
        <v>99</v>
      </c>
      <c r="Q112" s="115">
        <v>102.9</v>
      </c>
      <c r="R112" s="115">
        <v>92.9</v>
      </c>
      <c r="S112" s="115">
        <v>94.1</v>
      </c>
      <c r="T112" s="115">
        <v>102.3</v>
      </c>
      <c r="U112" s="115">
        <v>96.2</v>
      </c>
      <c r="V112" s="115">
        <v>97.1</v>
      </c>
      <c r="W112" s="115">
        <v>83.3</v>
      </c>
      <c r="X112" s="115">
        <v>91.1</v>
      </c>
      <c r="Y112" s="115">
        <v>115.7</v>
      </c>
      <c r="Z112" s="115">
        <v>114.2</v>
      </c>
      <c r="AA112" s="115">
        <v>104.5</v>
      </c>
      <c r="AB112" s="115">
        <v>80.599999999999994</v>
      </c>
      <c r="AC112" s="115">
        <v>74.900000000000006</v>
      </c>
      <c r="AD112" s="115">
        <v>69.599999999999994</v>
      </c>
      <c r="AE112" s="115">
        <v>55</v>
      </c>
      <c r="AF112" s="115">
        <v>11.1</v>
      </c>
      <c r="AG112" s="114">
        <v>240</v>
      </c>
      <c r="AH112" s="47">
        <f t="shared" si="16"/>
        <v>115.7</v>
      </c>
      <c r="AI112" s="48">
        <f t="shared" si="17"/>
        <v>11.1</v>
      </c>
    </row>
    <row r="113" spans="1:37" x14ac:dyDescent="0.25">
      <c r="A113" s="103" t="s">
        <v>129</v>
      </c>
      <c r="B113" s="115">
        <v>-156</v>
      </c>
      <c r="C113" s="115">
        <v>-160</v>
      </c>
      <c r="D113" s="115">
        <v>-165</v>
      </c>
      <c r="E113" s="115">
        <f>-80.9-85.2</f>
        <v>-166.10000000000002</v>
      </c>
      <c r="F113" s="115">
        <f t="shared" ref="F113:G113" si="36">-80.9-85.2</f>
        <v>-166.10000000000002</v>
      </c>
      <c r="G113" s="115">
        <f t="shared" si="36"/>
        <v>-166.10000000000002</v>
      </c>
      <c r="H113" s="115">
        <f>-81.1-86.6</f>
        <v>-167.7</v>
      </c>
      <c r="I113" s="115">
        <f t="shared" ref="I113" si="37">-81.1-86.6</f>
        <v>-167.7</v>
      </c>
      <c r="J113" s="115">
        <f>-59.7-63.1</f>
        <v>-122.80000000000001</v>
      </c>
      <c r="K113" s="115">
        <f>-62.1-66.7</f>
        <v>-128.80000000000001</v>
      </c>
      <c r="L113" s="115">
        <f>-39.8-43.1</f>
        <v>-82.9</v>
      </c>
      <c r="M113" s="115">
        <v>-80</v>
      </c>
      <c r="N113" s="115">
        <v>-127</v>
      </c>
      <c r="O113" s="115">
        <v>-120</v>
      </c>
      <c r="P113" s="115">
        <v>-122</v>
      </c>
      <c r="Q113" s="115">
        <v>-91.6</v>
      </c>
      <c r="R113" s="115">
        <v>-123.5</v>
      </c>
      <c r="S113" s="115">
        <v>-137.5</v>
      </c>
      <c r="T113" s="115">
        <v>-173.6</v>
      </c>
      <c r="U113" s="115">
        <v>-129.1</v>
      </c>
      <c r="V113" s="115">
        <v>-134.6</v>
      </c>
      <c r="W113" s="115">
        <v>-108.2</v>
      </c>
      <c r="X113" s="115">
        <v>-111.2</v>
      </c>
      <c r="Y113" s="115">
        <v>-146.6</v>
      </c>
      <c r="Z113" s="115">
        <v>-121.2</v>
      </c>
      <c r="AA113" s="115">
        <v>-138.5</v>
      </c>
      <c r="AB113" s="115">
        <f>-70.5-75.5</f>
        <v>-146</v>
      </c>
      <c r="AC113" s="115">
        <f>-70-76.4</f>
        <v>-146.4</v>
      </c>
      <c r="AD113" s="115">
        <f>-78-83</f>
        <v>-161</v>
      </c>
      <c r="AE113" s="115">
        <f>-91.2-93</f>
        <v>-184.2</v>
      </c>
      <c r="AF113" s="115">
        <f>-62.1-66.6</f>
        <v>-128.69999999999999</v>
      </c>
      <c r="AG113" s="114">
        <v>240</v>
      </c>
      <c r="AH113" s="47">
        <f t="shared" si="16"/>
        <v>-80</v>
      </c>
      <c r="AI113" s="48">
        <f t="shared" si="17"/>
        <v>-184.2</v>
      </c>
    </row>
    <row r="114" spans="1:37" x14ac:dyDescent="0.25">
      <c r="A114" s="103" t="s">
        <v>130</v>
      </c>
      <c r="B114" s="115">
        <v>-20</v>
      </c>
      <c r="C114" s="115">
        <v>-18</v>
      </c>
      <c r="D114" s="115">
        <v>-16</v>
      </c>
      <c r="E114" s="115">
        <v>-18.100000000000001</v>
      </c>
      <c r="F114" s="115">
        <v>-18.100000000000001</v>
      </c>
      <c r="G114" s="115">
        <v>-18.100000000000001</v>
      </c>
      <c r="H114" s="115">
        <v>-16</v>
      </c>
      <c r="I114" s="115">
        <v>-16</v>
      </c>
      <c r="J114" s="115">
        <v>-4.0999999999999996</v>
      </c>
      <c r="K114" s="115">
        <v>-5</v>
      </c>
      <c r="L114" s="115">
        <v>0.6</v>
      </c>
      <c r="M114" s="115">
        <v>2</v>
      </c>
      <c r="N114" s="115">
        <v>-3.2</v>
      </c>
      <c r="O114" s="115">
        <v>16</v>
      </c>
      <c r="P114" s="115">
        <v>16.399999999999999</v>
      </c>
      <c r="Q114" s="115">
        <v>20.399999999999999</v>
      </c>
      <c r="R114" s="115">
        <v>27.6</v>
      </c>
      <c r="S114" s="115">
        <v>17.8</v>
      </c>
      <c r="T114" s="115">
        <v>14.2</v>
      </c>
      <c r="U114" s="115">
        <v>12.4</v>
      </c>
      <c r="V114" s="115">
        <v>6.8</v>
      </c>
      <c r="W114" s="115">
        <v>10.7</v>
      </c>
      <c r="X114" s="115">
        <v>8.1999999999999993</v>
      </c>
      <c r="Y114" s="115">
        <v>1.7</v>
      </c>
      <c r="Z114" s="115">
        <v>4.4000000000000004</v>
      </c>
      <c r="AA114" s="115">
        <v>2.8</v>
      </c>
      <c r="AB114" s="115">
        <v>-1.2</v>
      </c>
      <c r="AC114" s="115">
        <v>-0.8</v>
      </c>
      <c r="AD114" s="115">
        <v>-6.7</v>
      </c>
      <c r="AE114" s="115">
        <v>-9.4</v>
      </c>
      <c r="AF114" s="115">
        <v>-10.9</v>
      </c>
      <c r="AG114" s="114">
        <v>60</v>
      </c>
      <c r="AH114" s="47">
        <f t="shared" si="16"/>
        <v>27.6</v>
      </c>
      <c r="AI114" s="48">
        <f t="shared" si="17"/>
        <v>-20</v>
      </c>
    </row>
    <row r="115" spans="1:37" x14ac:dyDescent="0.25">
      <c r="A115" s="116" t="s">
        <v>131</v>
      </c>
      <c r="B115" s="117">
        <v>11.6</v>
      </c>
      <c r="C115" s="117">
        <v>11</v>
      </c>
      <c r="D115" s="117">
        <v>12</v>
      </c>
      <c r="E115" s="117">
        <v>10.9</v>
      </c>
      <c r="F115" s="117">
        <v>10.9</v>
      </c>
      <c r="G115" s="117">
        <v>10.9</v>
      </c>
      <c r="H115" s="117">
        <v>9.6</v>
      </c>
      <c r="I115" s="117">
        <v>9.6</v>
      </c>
      <c r="J115" s="117">
        <v>49.5</v>
      </c>
      <c r="K115" s="117">
        <v>53.1</v>
      </c>
      <c r="L115" s="117">
        <v>53.3</v>
      </c>
      <c r="M115" s="117">
        <v>52</v>
      </c>
      <c r="N115" s="117">
        <v>62.6</v>
      </c>
      <c r="O115" s="117">
        <v>65.099999999999994</v>
      </c>
      <c r="P115" s="117">
        <v>75.400000000000006</v>
      </c>
      <c r="Q115" s="117">
        <v>5.5</v>
      </c>
      <c r="R115" s="117">
        <v>18.8</v>
      </c>
      <c r="S115" s="117">
        <v>18.7</v>
      </c>
      <c r="T115" s="117">
        <v>18.399999999999999</v>
      </c>
      <c r="U115" s="117">
        <v>18.399999999999999</v>
      </c>
      <c r="V115" s="117">
        <v>22.9</v>
      </c>
      <c r="W115" s="117">
        <v>22.8</v>
      </c>
      <c r="X115" s="117">
        <v>22.5</v>
      </c>
      <c r="Y115" s="117">
        <v>22.3</v>
      </c>
      <c r="Z115" s="117">
        <v>21.2</v>
      </c>
      <c r="AA115" s="117">
        <v>20.7</v>
      </c>
      <c r="AB115" s="117">
        <v>19.600000000000001</v>
      </c>
      <c r="AC115" s="117">
        <v>18.899999999999999</v>
      </c>
      <c r="AD115" s="117">
        <v>20.5</v>
      </c>
      <c r="AE115" s="117">
        <v>20.399999999999999</v>
      </c>
      <c r="AF115" s="117">
        <v>11.3</v>
      </c>
      <c r="AG115" s="118">
        <v>120</v>
      </c>
      <c r="AH115" s="47">
        <f t="shared" si="16"/>
        <v>75.400000000000006</v>
      </c>
      <c r="AI115" s="48">
        <f t="shared" si="17"/>
        <v>5.5</v>
      </c>
    </row>
    <row r="116" spans="1:37" x14ac:dyDescent="0.25">
      <c r="A116" s="116" t="s">
        <v>132</v>
      </c>
      <c r="B116" s="117">
        <v>40</v>
      </c>
      <c r="C116" s="117">
        <v>30</v>
      </c>
      <c r="D116" s="117">
        <v>22</v>
      </c>
      <c r="E116" s="117">
        <v>38</v>
      </c>
      <c r="F116" s="117">
        <v>38</v>
      </c>
      <c r="G116" s="117">
        <v>38</v>
      </c>
      <c r="H116" s="117">
        <v>40</v>
      </c>
      <c r="I116" s="117">
        <v>48</v>
      </c>
      <c r="J116" s="117">
        <v>61.9</v>
      </c>
      <c r="K116" s="117">
        <v>58.7</v>
      </c>
      <c r="L116" s="117">
        <v>48</v>
      </c>
      <c r="M116" s="117">
        <v>51</v>
      </c>
      <c r="N116" s="117">
        <v>63</v>
      </c>
      <c r="O116" s="117">
        <v>56.1</v>
      </c>
      <c r="P116" s="117">
        <v>67</v>
      </c>
      <c r="Q116" s="117">
        <v>78.010000000000005</v>
      </c>
      <c r="R116" s="117">
        <v>47.1</v>
      </c>
      <c r="S116" s="117">
        <v>39.4</v>
      </c>
      <c r="T116" s="117">
        <v>1.1000000000000001</v>
      </c>
      <c r="U116" s="117">
        <v>40.299999999999997</v>
      </c>
      <c r="V116" s="117">
        <v>31.1</v>
      </c>
      <c r="W116" s="117">
        <v>40.6</v>
      </c>
      <c r="X116" s="117">
        <v>31.5</v>
      </c>
      <c r="Y116" s="117">
        <v>20.7</v>
      </c>
      <c r="Z116" s="117">
        <v>50.8</v>
      </c>
      <c r="AA116" s="117">
        <v>41.5</v>
      </c>
      <c r="AB116" s="117">
        <v>42.1</v>
      </c>
      <c r="AC116" s="117">
        <v>43.3</v>
      </c>
      <c r="AD116" s="117">
        <v>37.799999999999997</v>
      </c>
      <c r="AE116" s="117">
        <v>41</v>
      </c>
      <c r="AF116" s="117">
        <v>60.9</v>
      </c>
      <c r="AG116" s="118"/>
      <c r="AH116" s="47">
        <f t="shared" si="16"/>
        <v>78.010000000000005</v>
      </c>
      <c r="AI116" s="48">
        <f t="shared" si="17"/>
        <v>1.1000000000000001</v>
      </c>
    </row>
    <row r="117" spans="1:37" x14ac:dyDescent="0.25">
      <c r="A117" s="116" t="s">
        <v>133</v>
      </c>
      <c r="B117" s="117">
        <v>-16</v>
      </c>
      <c r="C117" s="117">
        <v>-17</v>
      </c>
      <c r="D117" s="117">
        <v>-19</v>
      </c>
      <c r="E117" s="117">
        <v>-16.399999999999999</v>
      </c>
      <c r="F117" s="117">
        <v>-16.399999999999999</v>
      </c>
      <c r="G117" s="117">
        <v>-16.399999999999999</v>
      </c>
      <c r="H117" s="117">
        <v>-1.7</v>
      </c>
      <c r="I117" s="117">
        <v>-1.7</v>
      </c>
      <c r="J117" s="117">
        <v>-7</v>
      </c>
      <c r="K117" s="117">
        <v>8.9</v>
      </c>
      <c r="L117" s="117">
        <v>6.6</v>
      </c>
      <c r="M117" s="117">
        <v>20</v>
      </c>
      <c r="N117" s="117">
        <v>2.5</v>
      </c>
      <c r="O117" s="117">
        <v>5.4</v>
      </c>
      <c r="P117" s="117">
        <v>4.0999999999999996</v>
      </c>
      <c r="Q117" s="117">
        <v>5.0999999999999996</v>
      </c>
      <c r="R117" s="117">
        <v>2.6</v>
      </c>
      <c r="S117" s="117">
        <v>1.3</v>
      </c>
      <c r="T117" s="117">
        <v>52</v>
      </c>
      <c r="U117" s="117">
        <v>0</v>
      </c>
      <c r="V117" s="117">
        <v>1.3</v>
      </c>
      <c r="W117" s="117">
        <v>2.1</v>
      </c>
      <c r="X117" s="117">
        <v>7.8</v>
      </c>
      <c r="Y117" s="117">
        <v>12.5</v>
      </c>
      <c r="Z117" s="117">
        <v>4.5999999999999996</v>
      </c>
      <c r="AA117" s="117">
        <v>3</v>
      </c>
      <c r="AB117" s="117">
        <v>2.6</v>
      </c>
      <c r="AC117" s="117">
        <v>-1.3</v>
      </c>
      <c r="AD117" s="117">
        <v>-4.5999999999999996</v>
      </c>
      <c r="AE117" s="117">
        <v>-4.5</v>
      </c>
      <c r="AF117" s="117">
        <v>-14.2</v>
      </c>
      <c r="AG117" s="119"/>
      <c r="AH117" s="47">
        <f t="shared" si="16"/>
        <v>52</v>
      </c>
      <c r="AI117" s="48">
        <f t="shared" si="17"/>
        <v>-19</v>
      </c>
    </row>
    <row r="118" spans="1:37" x14ac:dyDescent="0.25">
      <c r="A118" s="120" t="s">
        <v>134</v>
      </c>
      <c r="B118" s="106">
        <v>41</v>
      </c>
      <c r="C118" s="106">
        <v>45</v>
      </c>
      <c r="D118" s="106">
        <v>52</v>
      </c>
      <c r="E118" s="106">
        <v>48.7</v>
      </c>
      <c r="F118" s="106">
        <v>48.7</v>
      </c>
      <c r="G118" s="106">
        <v>48.7</v>
      </c>
      <c r="H118" s="106">
        <v>65.099999999999994</v>
      </c>
      <c r="I118" s="106">
        <v>62</v>
      </c>
      <c r="J118" s="106">
        <v>59.5</v>
      </c>
      <c r="K118" s="106">
        <v>59.2</v>
      </c>
      <c r="L118" s="106">
        <v>55.3</v>
      </c>
      <c r="M118" s="106">
        <v>55</v>
      </c>
      <c r="N118" s="106">
        <v>55</v>
      </c>
      <c r="O118" s="106">
        <v>46.3</v>
      </c>
      <c r="P118" s="106">
        <v>49</v>
      </c>
      <c r="Q118" s="106">
        <v>49</v>
      </c>
      <c r="R118" s="106">
        <v>50.74</v>
      </c>
      <c r="S118" s="106">
        <v>46.8</v>
      </c>
      <c r="T118" s="106">
        <v>52</v>
      </c>
      <c r="U118" s="106">
        <v>45.4</v>
      </c>
      <c r="V118" s="106">
        <v>45.7</v>
      </c>
      <c r="W118" s="106">
        <v>40.1</v>
      </c>
      <c r="X118" s="106">
        <v>39.4</v>
      </c>
      <c r="Y118" s="106">
        <v>33.200000000000003</v>
      </c>
      <c r="Z118" s="106">
        <v>27.5</v>
      </c>
      <c r="AA118" s="106">
        <v>25.4</v>
      </c>
      <c r="AB118" s="106">
        <v>27.7</v>
      </c>
      <c r="AC118" s="106">
        <v>29.3</v>
      </c>
      <c r="AD118" s="106">
        <v>33.5</v>
      </c>
      <c r="AE118" s="106">
        <v>38</v>
      </c>
      <c r="AF118" s="106">
        <v>43.3</v>
      </c>
      <c r="AG118" s="119"/>
      <c r="AH118" s="47">
        <f t="shared" si="16"/>
        <v>65.099999999999994</v>
      </c>
      <c r="AI118" s="48">
        <f t="shared" si="17"/>
        <v>25.4</v>
      </c>
    </row>
    <row r="119" spans="1:37" x14ac:dyDescent="0.25">
      <c r="A119" s="121" t="s">
        <v>135</v>
      </c>
      <c r="B119" s="106">
        <v>77</v>
      </c>
      <c r="C119" s="106">
        <v>80</v>
      </c>
      <c r="D119" s="106">
        <v>90</v>
      </c>
      <c r="E119" s="106">
        <v>95</v>
      </c>
      <c r="F119" s="106">
        <v>95</v>
      </c>
      <c r="G119" s="106">
        <v>95</v>
      </c>
      <c r="H119" s="106">
        <v>35.200000000000003</v>
      </c>
      <c r="I119" s="106">
        <v>45</v>
      </c>
      <c r="J119" s="106">
        <v>55.1</v>
      </c>
      <c r="K119" s="106">
        <v>62.2</v>
      </c>
      <c r="L119" s="106">
        <v>683.2</v>
      </c>
      <c r="M119" s="106">
        <v>73</v>
      </c>
      <c r="N119" s="106">
        <v>59</v>
      </c>
      <c r="O119" s="106">
        <v>70.5</v>
      </c>
      <c r="P119" s="106">
        <v>72</v>
      </c>
      <c r="Q119" s="106">
        <v>59.7</v>
      </c>
      <c r="R119" s="106">
        <v>81.099999999999994</v>
      </c>
      <c r="S119" s="106">
        <v>74</v>
      </c>
      <c r="T119" s="106">
        <v>85</v>
      </c>
      <c r="U119" s="106">
        <v>69.2</v>
      </c>
      <c r="V119" s="106">
        <v>64.8</v>
      </c>
      <c r="W119" s="106">
        <v>48.3</v>
      </c>
      <c r="X119" s="106">
        <v>51.3</v>
      </c>
      <c r="Y119" s="106">
        <v>59.8</v>
      </c>
      <c r="Z119" s="106">
        <v>48.5</v>
      </c>
      <c r="AA119" s="106">
        <v>62.8</v>
      </c>
      <c r="AB119" s="106">
        <v>66.400000000000006</v>
      </c>
      <c r="AC119" s="106">
        <v>69.2</v>
      </c>
      <c r="AD119" s="106">
        <v>84.5</v>
      </c>
      <c r="AE119" s="106">
        <v>86</v>
      </c>
      <c r="AF119" s="106">
        <v>78</v>
      </c>
      <c r="AG119" s="119"/>
      <c r="AH119" s="47">
        <f t="shared" si="16"/>
        <v>683.2</v>
      </c>
      <c r="AI119" s="48">
        <f t="shared" si="17"/>
        <v>35.200000000000003</v>
      </c>
    </row>
    <row r="120" spans="1:37" ht="15.75" thickBot="1" x14ac:dyDescent="0.3">
      <c r="A120" s="120" t="s">
        <v>136</v>
      </c>
      <c r="B120" s="106">
        <v>20</v>
      </c>
      <c r="C120" s="106">
        <v>18</v>
      </c>
      <c r="D120" s="106">
        <v>14</v>
      </c>
      <c r="E120" s="106">
        <v>11.9</v>
      </c>
      <c r="F120" s="106">
        <v>11.9</v>
      </c>
      <c r="G120" s="106">
        <v>11.9</v>
      </c>
      <c r="H120" s="106">
        <v>-36</v>
      </c>
      <c r="I120" s="106">
        <v>-36</v>
      </c>
      <c r="J120" s="106">
        <v>-29.7</v>
      </c>
      <c r="K120" s="106">
        <v>-23.1</v>
      </c>
      <c r="L120" s="106">
        <v>-31.2</v>
      </c>
      <c r="M120" s="106">
        <v>-20</v>
      </c>
      <c r="N120" s="106">
        <v>22</v>
      </c>
      <c r="O120" s="106">
        <v>-15</v>
      </c>
      <c r="P120" s="106">
        <v>-24</v>
      </c>
      <c r="Q120" s="106">
        <v>-26.4</v>
      </c>
      <c r="R120" s="106">
        <v>-12.8</v>
      </c>
      <c r="S120" s="106">
        <v>-7.4</v>
      </c>
      <c r="T120" s="106">
        <v>-59.2</v>
      </c>
      <c r="U120" s="106">
        <v>-2.2999999999999998</v>
      </c>
      <c r="V120" s="106">
        <v>-15.3</v>
      </c>
      <c r="W120" s="106">
        <v>-9.1</v>
      </c>
      <c r="X120" s="106">
        <v>-5.5</v>
      </c>
      <c r="Y120" s="106">
        <v>5</v>
      </c>
      <c r="Z120" s="106">
        <v>16.2</v>
      </c>
      <c r="AA120" s="106">
        <v>20.5</v>
      </c>
      <c r="AB120" s="106">
        <v>20.8</v>
      </c>
      <c r="AC120" s="106">
        <v>19.100000000000001</v>
      </c>
      <c r="AD120" s="106">
        <v>25.5</v>
      </c>
      <c r="AE120" s="106">
        <v>21</v>
      </c>
      <c r="AF120" s="106">
        <v>20.6</v>
      </c>
      <c r="AG120" s="119"/>
      <c r="AH120" s="47">
        <f t="shared" si="16"/>
        <v>25.5</v>
      </c>
      <c r="AI120" s="48">
        <f t="shared" si="17"/>
        <v>-59.2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38">SUM(B122:B226)</f>
        <v>0</v>
      </c>
      <c r="C227" s="137">
        <f t="shared" si="38"/>
        <v>0</v>
      </c>
      <c r="D227" s="137">
        <f t="shared" si="38"/>
        <v>0</v>
      </c>
      <c r="E227" s="137">
        <f t="shared" si="38"/>
        <v>0</v>
      </c>
      <c r="F227" s="137">
        <f t="shared" si="38"/>
        <v>0</v>
      </c>
      <c r="G227" s="137">
        <f t="shared" si="38"/>
        <v>0</v>
      </c>
      <c r="H227" s="137">
        <f t="shared" si="38"/>
        <v>0</v>
      </c>
      <c r="I227" s="137">
        <f t="shared" si="38"/>
        <v>0</v>
      </c>
      <c r="J227" s="137">
        <f t="shared" si="38"/>
        <v>0</v>
      </c>
      <c r="K227" s="137">
        <f t="shared" si="38"/>
        <v>0</v>
      </c>
      <c r="L227" s="137">
        <f t="shared" si="38"/>
        <v>0</v>
      </c>
      <c r="M227" s="137">
        <f t="shared" si="38"/>
        <v>0</v>
      </c>
      <c r="N227" s="137">
        <f t="shared" si="38"/>
        <v>0</v>
      </c>
      <c r="O227" s="137">
        <f t="shared" si="38"/>
        <v>0</v>
      </c>
      <c r="P227" s="137">
        <f t="shared" si="38"/>
        <v>0</v>
      </c>
      <c r="Q227" s="137">
        <f t="shared" si="38"/>
        <v>0</v>
      </c>
      <c r="R227" s="137">
        <f t="shared" si="38"/>
        <v>0</v>
      </c>
      <c r="S227" s="137">
        <f t="shared" si="38"/>
        <v>0</v>
      </c>
      <c r="T227" s="137">
        <f t="shared" si="38"/>
        <v>0</v>
      </c>
      <c r="U227" s="137">
        <f t="shared" si="38"/>
        <v>0</v>
      </c>
      <c r="V227" s="137">
        <f t="shared" si="38"/>
        <v>0</v>
      </c>
      <c r="W227" s="137">
        <f t="shared" si="38"/>
        <v>0</v>
      </c>
      <c r="X227" s="137">
        <f t="shared" si="38"/>
        <v>0</v>
      </c>
      <c r="Y227" s="137">
        <f t="shared" si="38"/>
        <v>0</v>
      </c>
      <c r="Z227" s="137">
        <f t="shared" si="38"/>
        <v>0</v>
      </c>
      <c r="AA227" s="137">
        <f t="shared" si="38"/>
        <v>0</v>
      </c>
      <c r="AB227" s="137">
        <f t="shared" si="38"/>
        <v>0</v>
      </c>
      <c r="AC227" s="137">
        <f t="shared" si="38"/>
        <v>0</v>
      </c>
      <c r="AD227" s="137">
        <f t="shared" si="38"/>
        <v>0</v>
      </c>
      <c r="AE227" s="137">
        <f t="shared" si="38"/>
        <v>0</v>
      </c>
      <c r="AF227" s="138">
        <f t="shared" si="38"/>
        <v>0</v>
      </c>
      <c r="AG227" s="139">
        <f t="shared" si="38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39">AF229</f>
        <v>0</v>
      </c>
      <c r="C229" s="141">
        <v>0.3</v>
      </c>
      <c r="D229" s="141">
        <f t="shared" ref="D229:P234" si="40">C229</f>
        <v>0.3</v>
      </c>
      <c r="E229" s="141">
        <f t="shared" si="40"/>
        <v>0.3</v>
      </c>
      <c r="F229" s="141">
        <f t="shared" si="40"/>
        <v>0.3</v>
      </c>
      <c r="G229" s="141">
        <f t="shared" si="40"/>
        <v>0.3</v>
      </c>
      <c r="H229" s="141">
        <f t="shared" si="40"/>
        <v>0.3</v>
      </c>
      <c r="I229" s="141">
        <f t="shared" si="40"/>
        <v>0.3</v>
      </c>
      <c r="J229" s="141">
        <f t="shared" si="40"/>
        <v>0.3</v>
      </c>
      <c r="K229" s="141">
        <f t="shared" si="40"/>
        <v>0.3</v>
      </c>
      <c r="L229" s="141">
        <f t="shared" si="40"/>
        <v>0.3</v>
      </c>
      <c r="M229" s="141">
        <f t="shared" si="40"/>
        <v>0.3</v>
      </c>
      <c r="N229" s="141">
        <f t="shared" si="40"/>
        <v>0.3</v>
      </c>
      <c r="O229" s="141">
        <f t="shared" si="40"/>
        <v>0.3</v>
      </c>
      <c r="P229" s="141">
        <f t="shared" si="40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39"/>
        <v>0</v>
      </c>
      <c r="C230" s="129">
        <v>0.4</v>
      </c>
      <c r="D230" s="129">
        <f t="shared" si="40"/>
        <v>0.4</v>
      </c>
      <c r="E230" s="129">
        <f t="shared" si="40"/>
        <v>0.4</v>
      </c>
      <c r="F230" s="129">
        <f t="shared" si="40"/>
        <v>0.4</v>
      </c>
      <c r="G230" s="129">
        <f t="shared" si="40"/>
        <v>0.4</v>
      </c>
      <c r="H230" s="129">
        <f t="shared" si="40"/>
        <v>0.4</v>
      </c>
      <c r="I230" s="129">
        <f t="shared" si="40"/>
        <v>0.4</v>
      </c>
      <c r="J230" s="129">
        <f t="shared" si="40"/>
        <v>0.4</v>
      </c>
      <c r="K230" s="129">
        <f t="shared" si="40"/>
        <v>0.4</v>
      </c>
      <c r="L230" s="129">
        <f t="shared" si="40"/>
        <v>0.4</v>
      </c>
      <c r="M230" s="129">
        <f t="shared" si="40"/>
        <v>0.4</v>
      </c>
      <c r="N230" s="129">
        <f t="shared" si="40"/>
        <v>0.4</v>
      </c>
      <c r="O230" s="129">
        <f t="shared" si="40"/>
        <v>0.4</v>
      </c>
      <c r="P230" s="129">
        <f t="shared" si="40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39"/>
        <v>0</v>
      </c>
      <c r="C231" s="129">
        <v>1.5</v>
      </c>
      <c r="D231" s="129">
        <f t="shared" si="40"/>
        <v>1.5</v>
      </c>
      <c r="E231" s="129">
        <f t="shared" si="40"/>
        <v>1.5</v>
      </c>
      <c r="F231" s="129">
        <f t="shared" si="40"/>
        <v>1.5</v>
      </c>
      <c r="G231" s="129">
        <f t="shared" si="40"/>
        <v>1.5</v>
      </c>
      <c r="H231" s="129">
        <f t="shared" si="40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40"/>
        <v>123.21900000000009</v>
      </c>
      <c r="K231" s="129">
        <f t="shared" ca="1" si="40"/>
        <v>123.21900000000009</v>
      </c>
      <c r="L231" s="129">
        <f t="shared" ca="1" si="40"/>
        <v>123.21900000000009</v>
      </c>
      <c r="M231" s="129">
        <f t="shared" ca="1" si="40"/>
        <v>119.19900000000008</v>
      </c>
      <c r="N231" s="129">
        <f t="shared" ca="1" si="40"/>
        <v>119.19900000000008</v>
      </c>
      <c r="O231" s="129">
        <f t="shared" ca="1" si="40"/>
        <v>119.19900000000008</v>
      </c>
      <c r="P231" s="129">
        <f t="shared" ca="1" si="40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39"/>
        <v>0</v>
      </c>
      <c r="C232" s="129">
        <v>0.3</v>
      </c>
      <c r="D232" s="129">
        <f t="shared" si="40"/>
        <v>0.3</v>
      </c>
      <c r="E232" s="129">
        <f t="shared" si="40"/>
        <v>0.3</v>
      </c>
      <c r="F232" s="129">
        <f t="shared" si="40"/>
        <v>0.3</v>
      </c>
      <c r="G232" s="129">
        <f t="shared" si="40"/>
        <v>0.3</v>
      </c>
      <c r="H232" s="129">
        <f t="shared" si="40"/>
        <v>0.3</v>
      </c>
      <c r="I232" s="129">
        <f t="shared" si="40"/>
        <v>0.3</v>
      </c>
      <c r="J232" s="129">
        <f t="shared" si="40"/>
        <v>0.3</v>
      </c>
      <c r="K232" s="129">
        <f t="shared" si="40"/>
        <v>0.3</v>
      </c>
      <c r="L232" s="129">
        <f t="shared" si="40"/>
        <v>0.3</v>
      </c>
      <c r="M232" s="129">
        <f t="shared" si="40"/>
        <v>0.3</v>
      </c>
      <c r="N232" s="129">
        <f t="shared" si="40"/>
        <v>0.3</v>
      </c>
      <c r="O232" s="129">
        <f t="shared" si="40"/>
        <v>0.3</v>
      </c>
      <c r="P232" s="129">
        <f t="shared" si="40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39"/>
        <v>0</v>
      </c>
      <c r="C233" s="129">
        <v>0.4</v>
      </c>
      <c r="D233" s="129">
        <f t="shared" si="40"/>
        <v>0.4</v>
      </c>
      <c r="E233" s="129">
        <f t="shared" si="40"/>
        <v>0.4</v>
      </c>
      <c r="F233" s="129">
        <f t="shared" si="40"/>
        <v>0.4</v>
      </c>
      <c r="G233" s="129">
        <f t="shared" si="40"/>
        <v>0.4</v>
      </c>
      <c r="H233" s="129">
        <f t="shared" si="40"/>
        <v>0.4</v>
      </c>
      <c r="I233" s="129">
        <f t="shared" si="40"/>
        <v>0.4</v>
      </c>
      <c r="J233" s="129">
        <f t="shared" si="40"/>
        <v>0.4</v>
      </c>
      <c r="K233" s="129">
        <f t="shared" si="40"/>
        <v>0.4</v>
      </c>
      <c r="L233" s="129">
        <f t="shared" si="40"/>
        <v>0.4</v>
      </c>
      <c r="M233" s="129">
        <f t="shared" si="40"/>
        <v>0.4</v>
      </c>
      <c r="N233" s="129">
        <f t="shared" si="40"/>
        <v>0.4</v>
      </c>
      <c r="O233" s="129">
        <f t="shared" si="40"/>
        <v>0.4</v>
      </c>
      <c r="P233" s="129">
        <f t="shared" si="40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39"/>
        <v>0</v>
      </c>
      <c r="C234" s="133">
        <v>0.64</v>
      </c>
      <c r="D234" s="133">
        <f t="shared" si="40"/>
        <v>0.64</v>
      </c>
      <c r="E234" s="133">
        <f t="shared" si="40"/>
        <v>0.64</v>
      </c>
      <c r="F234" s="133">
        <f t="shared" si="40"/>
        <v>0.64</v>
      </c>
      <c r="G234" s="133">
        <f t="shared" si="40"/>
        <v>0.64</v>
      </c>
      <c r="H234" s="133">
        <f t="shared" si="40"/>
        <v>0.64</v>
      </c>
      <c r="I234" s="133">
        <f t="shared" si="40"/>
        <v>0.64</v>
      </c>
      <c r="J234" s="133">
        <f t="shared" si="40"/>
        <v>0.64</v>
      </c>
      <c r="K234" s="133">
        <f t="shared" si="40"/>
        <v>0.64</v>
      </c>
      <c r="L234" s="133">
        <f t="shared" si="40"/>
        <v>0.64</v>
      </c>
      <c r="M234" s="133">
        <f t="shared" si="40"/>
        <v>0.64</v>
      </c>
      <c r="N234" s="133">
        <f t="shared" si="40"/>
        <v>0.64</v>
      </c>
      <c r="O234" s="133">
        <f t="shared" si="40"/>
        <v>0.64</v>
      </c>
      <c r="P234" s="133">
        <f t="shared" si="40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41">SUM(B229:B234)</f>
        <v>0</v>
      </c>
      <c r="C235" s="137">
        <f t="shared" si="41"/>
        <v>3.54</v>
      </c>
      <c r="D235" s="137">
        <f t="shared" si="41"/>
        <v>3.54</v>
      </c>
      <c r="E235" s="137">
        <f t="shared" si="41"/>
        <v>3.54</v>
      </c>
      <c r="F235" s="137">
        <f t="shared" si="41"/>
        <v>3.54</v>
      </c>
      <c r="G235" s="137">
        <f t="shared" si="41"/>
        <v>3.54</v>
      </c>
      <c r="H235" s="137">
        <f t="shared" si="41"/>
        <v>3.54</v>
      </c>
      <c r="I235" s="137">
        <f t="shared" ca="1" si="41"/>
        <v>121.23900000000009</v>
      </c>
      <c r="J235" s="137">
        <f t="shared" ca="1" si="41"/>
        <v>121.23900000000009</v>
      </c>
      <c r="K235" s="137">
        <f t="shared" ca="1" si="41"/>
        <v>121.23900000000009</v>
      </c>
      <c r="L235" s="137">
        <f t="shared" ca="1" si="41"/>
        <v>125.2590000000001</v>
      </c>
      <c r="M235" s="137">
        <f t="shared" ca="1" si="41"/>
        <v>121.23900000000009</v>
      </c>
      <c r="N235" s="137">
        <f t="shared" ca="1" si="41"/>
        <v>121.23900000000009</v>
      </c>
      <c r="O235" s="137">
        <f t="shared" ca="1" si="41"/>
        <v>121.23900000000009</v>
      </c>
      <c r="P235" s="137">
        <f t="shared" ca="1" si="41"/>
        <v>121.23900000000009</v>
      </c>
      <c r="Q235" s="137">
        <f t="shared" si="41"/>
        <v>0</v>
      </c>
      <c r="R235" s="137">
        <f t="shared" si="41"/>
        <v>0</v>
      </c>
      <c r="S235" s="137">
        <f t="shared" si="41"/>
        <v>0</v>
      </c>
      <c r="T235" s="137">
        <f t="shared" si="41"/>
        <v>0</v>
      </c>
      <c r="U235" s="137">
        <f t="shared" si="41"/>
        <v>0</v>
      </c>
      <c r="V235" s="137">
        <f t="shared" si="41"/>
        <v>0</v>
      </c>
      <c r="W235" s="137">
        <f t="shared" si="41"/>
        <v>0</v>
      </c>
      <c r="X235" s="137">
        <f t="shared" si="41"/>
        <v>0</v>
      </c>
      <c r="Y235" s="137">
        <f t="shared" si="41"/>
        <v>0</v>
      </c>
      <c r="Z235" s="137">
        <f t="shared" si="41"/>
        <v>0</v>
      </c>
      <c r="AA235" s="137">
        <f t="shared" si="41"/>
        <v>0</v>
      </c>
      <c r="AB235" s="137">
        <f t="shared" si="41"/>
        <v>0</v>
      </c>
      <c r="AC235" s="137">
        <f t="shared" si="41"/>
        <v>0</v>
      </c>
      <c r="AD235" s="137">
        <f t="shared" si="41"/>
        <v>0</v>
      </c>
      <c r="AE235" s="137">
        <f t="shared" si="41"/>
        <v>0</v>
      </c>
      <c r="AF235" s="137">
        <f t="shared" si="41"/>
        <v>0</v>
      </c>
      <c r="AG235" s="146">
        <f t="shared" si="41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2009.34</v>
      </c>
      <c r="C244" s="162">
        <f>INDEX(G9:N9,1,MATCH(MAX(G91:N91),G91:N91,0))</f>
        <v>0.375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29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2080/03/29)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2080/03/29)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42">B91</f>
        <v>1889.24</v>
      </c>
      <c r="U249" s="171">
        <f t="shared" si="42"/>
        <v>1883.24</v>
      </c>
      <c r="V249" s="171">
        <f t="shared" si="42"/>
        <v>1894.24</v>
      </c>
      <c r="W249" s="171">
        <f t="shared" si="42"/>
        <v>1937.14</v>
      </c>
      <c r="X249" s="171">
        <f t="shared" si="42"/>
        <v>1920.14</v>
      </c>
      <c r="Y249" s="171">
        <f t="shared" si="42"/>
        <v>1897.14</v>
      </c>
      <c r="Z249" s="171">
        <f t="shared" si="42"/>
        <v>1897.14</v>
      </c>
      <c r="AA249" s="171">
        <f t="shared" si="42"/>
        <v>1917.14</v>
      </c>
      <c r="AB249" s="171">
        <f t="shared" si="42"/>
        <v>1912.14</v>
      </c>
      <c r="AC249" s="171">
        <f t="shared" si="42"/>
        <v>1928.64</v>
      </c>
      <c r="AD249" s="171">
        <f t="shared" si="42"/>
        <v>1962.04</v>
      </c>
      <c r="AE249" s="171">
        <f t="shared" si="42"/>
        <v>1989.24</v>
      </c>
      <c r="AF249" s="171">
        <f t="shared" si="42"/>
        <v>2009.34</v>
      </c>
      <c r="AG249" s="171">
        <f t="shared" si="42"/>
        <v>2013.44</v>
      </c>
      <c r="AH249" s="171">
        <f t="shared" si="42"/>
        <v>2028.24</v>
      </c>
      <c r="AI249" s="171">
        <f t="shared" si="42"/>
        <v>2028.04</v>
      </c>
      <c r="AJ249" s="171">
        <f t="shared" si="42"/>
        <v>2098.34</v>
      </c>
      <c r="AK249" s="171">
        <f t="shared" si="42"/>
        <v>2045.04</v>
      </c>
      <c r="AL249" s="171">
        <f t="shared" si="42"/>
        <v>2064.6400000000003</v>
      </c>
      <c r="AM249" s="171">
        <f t="shared" si="42"/>
        <v>2019.0200000000002</v>
      </c>
      <c r="AN249" s="171">
        <f t="shared" si="42"/>
        <v>1990.6200000000001</v>
      </c>
      <c r="AO249" s="171">
        <f t="shared" si="42"/>
        <v>1962.1200000000003</v>
      </c>
      <c r="AP249" s="171">
        <f t="shared" si="42"/>
        <v>1951.8200000000004</v>
      </c>
      <c r="AQ249" s="171">
        <f t="shared" si="42"/>
        <v>1926.9200000000003</v>
      </c>
      <c r="AR249" s="171">
        <f t="shared" si="42"/>
        <v>1992.52</v>
      </c>
      <c r="AS249" s="171">
        <f t="shared" si="42"/>
        <v>2008.72</v>
      </c>
      <c r="AT249" s="171">
        <f t="shared" si="42"/>
        <v>2039.3199999999997</v>
      </c>
      <c r="AU249" s="171">
        <f t="shared" si="42"/>
        <v>2048.2199999999998</v>
      </c>
      <c r="AV249" s="171">
        <f t="shared" si="42"/>
        <v>2040.5199999999998</v>
      </c>
      <c r="AW249" s="171">
        <f t="shared" si="42"/>
        <v>1970.42</v>
      </c>
      <c r="AX249" s="171">
        <f t="shared" si="42"/>
        <v>1925.7199999999998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43">C234</f>
        <v>0.64</v>
      </c>
      <c r="C270" s="174">
        <f t="shared" si="43"/>
        <v>0.64</v>
      </c>
      <c r="D270" s="174">
        <f t="shared" si="43"/>
        <v>0.64</v>
      </c>
      <c r="E270" s="174">
        <f t="shared" si="43"/>
        <v>0.64</v>
      </c>
      <c r="F270" s="174">
        <f t="shared" si="43"/>
        <v>0.64</v>
      </c>
      <c r="G270" s="174">
        <f t="shared" si="43"/>
        <v>0.64</v>
      </c>
      <c r="H270" s="174">
        <f t="shared" si="43"/>
        <v>0.64</v>
      </c>
      <c r="I270" s="174">
        <f t="shared" si="43"/>
        <v>0.64</v>
      </c>
      <c r="J270" s="174">
        <f t="shared" si="43"/>
        <v>0.64</v>
      </c>
      <c r="K270" s="174">
        <f t="shared" si="43"/>
        <v>0.64</v>
      </c>
      <c r="L270" s="174">
        <f t="shared" si="43"/>
        <v>0.64</v>
      </c>
      <c r="M270" s="174">
        <f t="shared" si="43"/>
        <v>0.64</v>
      </c>
      <c r="N270" s="174">
        <f t="shared" si="43"/>
        <v>0.64</v>
      </c>
      <c r="O270" s="174">
        <f t="shared" si="43"/>
        <v>0.64</v>
      </c>
      <c r="P270" s="174">
        <f t="shared" si="43"/>
        <v>0</v>
      </c>
      <c r="Q270" s="174">
        <f t="shared" si="43"/>
        <v>0</v>
      </c>
      <c r="R270" s="174">
        <f t="shared" si="43"/>
        <v>0</v>
      </c>
      <c r="S270" s="174">
        <f t="shared" si="43"/>
        <v>0</v>
      </c>
      <c r="T270" s="174">
        <f t="shared" si="43"/>
        <v>0</v>
      </c>
      <c r="U270" s="174">
        <f t="shared" si="43"/>
        <v>0</v>
      </c>
      <c r="V270" s="174">
        <f t="shared" si="43"/>
        <v>0</v>
      </c>
      <c r="W270" s="174">
        <f t="shared" si="43"/>
        <v>0</v>
      </c>
      <c r="X270" s="174">
        <f t="shared" si="43"/>
        <v>0</v>
      </c>
      <c r="Y270" s="174">
        <f t="shared" si="43"/>
        <v>0</v>
      </c>
      <c r="Z270" s="174">
        <f t="shared" si="43"/>
        <v>0</v>
      </c>
      <c r="AA270" s="174">
        <f t="shared" si="43"/>
        <v>0</v>
      </c>
      <c r="AB270" s="174">
        <f t="shared" si="43"/>
        <v>0</v>
      </c>
      <c r="AC270" s="174">
        <f t="shared" si="43"/>
        <v>0</v>
      </c>
      <c r="AD270" s="174">
        <f t="shared" si="43"/>
        <v>0</v>
      </c>
      <c r="AE270" s="174">
        <f t="shared" si="43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44">IF(B238&lt;100,"",B238-520)</f>
        <v/>
      </c>
      <c r="C271" s="175" t="str">
        <f t="shared" si="44"/>
        <v/>
      </c>
      <c r="D271" s="175" t="str">
        <f t="shared" si="44"/>
        <v/>
      </c>
      <c r="E271" s="175" t="str">
        <f t="shared" si="44"/>
        <v/>
      </c>
      <c r="F271" s="175" t="str">
        <f t="shared" si="44"/>
        <v/>
      </c>
      <c r="G271" s="175" t="str">
        <f t="shared" si="44"/>
        <v/>
      </c>
      <c r="H271" s="175" t="str">
        <f t="shared" si="44"/>
        <v/>
      </c>
      <c r="I271" s="175" t="str">
        <f t="shared" si="44"/>
        <v/>
      </c>
      <c r="J271" s="175" t="str">
        <f t="shared" si="44"/>
        <v/>
      </c>
      <c r="K271" s="175" t="str">
        <f t="shared" si="44"/>
        <v/>
      </c>
      <c r="L271" s="175" t="str">
        <f t="shared" si="44"/>
        <v/>
      </c>
      <c r="M271" s="175" t="str">
        <f t="shared" si="44"/>
        <v/>
      </c>
      <c r="N271" s="175" t="str">
        <f t="shared" si="44"/>
        <v/>
      </c>
      <c r="O271" s="175" t="str">
        <f t="shared" si="44"/>
        <v/>
      </c>
      <c r="P271" s="175" t="str">
        <f t="shared" si="44"/>
        <v/>
      </c>
      <c r="Q271" s="175" t="str">
        <f t="shared" si="44"/>
        <v/>
      </c>
      <c r="R271" s="175" t="str">
        <f t="shared" si="44"/>
        <v/>
      </c>
      <c r="S271" s="175" t="str">
        <f t="shared" si="44"/>
        <v/>
      </c>
      <c r="T271" s="175" t="str">
        <f t="shared" si="44"/>
        <v/>
      </c>
      <c r="U271" s="175" t="str">
        <f t="shared" si="44"/>
        <v/>
      </c>
      <c r="V271" s="175" t="str">
        <f t="shared" si="44"/>
        <v/>
      </c>
      <c r="W271" s="175" t="str">
        <f t="shared" si="44"/>
        <v/>
      </c>
      <c r="X271" s="175" t="str">
        <f t="shared" si="44"/>
        <v/>
      </c>
      <c r="Y271" s="175" t="str">
        <f t="shared" si="44"/>
        <v/>
      </c>
      <c r="Z271" s="175" t="str">
        <f t="shared" si="44"/>
        <v/>
      </c>
      <c r="AA271" s="175" t="str">
        <f t="shared" si="44"/>
        <v/>
      </c>
      <c r="AB271" s="175" t="str">
        <f t="shared" si="44"/>
        <v/>
      </c>
      <c r="AC271" s="175" t="str">
        <f t="shared" si="44"/>
        <v/>
      </c>
      <c r="AD271" s="175" t="str">
        <f t="shared" si="44"/>
        <v/>
      </c>
      <c r="AE271" s="175" t="str">
        <f t="shared" si="44"/>
        <v/>
      </c>
      <c r="AF271" s="175" t="str">
        <f t="shared" si="44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45">IF(B239&lt;100,"",B239-620)</f>
        <v/>
      </c>
      <c r="C272" s="175" t="str">
        <f t="shared" si="45"/>
        <v/>
      </c>
      <c r="D272" s="175" t="str">
        <f t="shared" si="45"/>
        <v/>
      </c>
      <c r="E272" s="175" t="str">
        <f t="shared" si="45"/>
        <v/>
      </c>
      <c r="F272" s="175" t="str">
        <f t="shared" si="45"/>
        <v/>
      </c>
      <c r="G272" s="175" t="str">
        <f t="shared" si="45"/>
        <v/>
      </c>
      <c r="H272" s="175" t="str">
        <f t="shared" si="45"/>
        <v/>
      </c>
      <c r="I272" s="175" t="str">
        <f t="shared" si="45"/>
        <v/>
      </c>
      <c r="J272" s="175" t="str">
        <f t="shared" si="45"/>
        <v/>
      </c>
      <c r="K272" s="175" t="str">
        <f t="shared" si="45"/>
        <v/>
      </c>
      <c r="L272" s="175" t="str">
        <f t="shared" si="45"/>
        <v/>
      </c>
      <c r="M272" s="175" t="str">
        <f t="shared" si="45"/>
        <v/>
      </c>
      <c r="N272" s="175" t="str">
        <f t="shared" si="45"/>
        <v/>
      </c>
      <c r="O272" s="175" t="str">
        <f t="shared" si="45"/>
        <v/>
      </c>
      <c r="P272" s="175" t="str">
        <f t="shared" si="45"/>
        <v/>
      </c>
      <c r="Q272" s="175" t="str">
        <f t="shared" si="45"/>
        <v/>
      </c>
      <c r="R272" s="175" t="str">
        <f t="shared" si="45"/>
        <v/>
      </c>
      <c r="S272" s="175" t="str">
        <f t="shared" si="45"/>
        <v/>
      </c>
      <c r="T272" s="175" t="str">
        <f t="shared" si="45"/>
        <v/>
      </c>
      <c r="U272" s="175" t="str">
        <f t="shared" si="45"/>
        <v/>
      </c>
      <c r="V272" s="175" t="str">
        <f t="shared" si="45"/>
        <v/>
      </c>
      <c r="W272" s="175" t="str">
        <f t="shared" si="45"/>
        <v/>
      </c>
      <c r="X272" s="175" t="str">
        <f t="shared" si="45"/>
        <v/>
      </c>
      <c r="Y272" s="175" t="str">
        <f t="shared" si="45"/>
        <v/>
      </c>
      <c r="Z272" s="175" t="str">
        <f t="shared" si="45"/>
        <v/>
      </c>
      <c r="AA272" s="175" t="str">
        <f t="shared" si="45"/>
        <v/>
      </c>
      <c r="AB272" s="175" t="str">
        <f t="shared" si="45"/>
        <v/>
      </c>
      <c r="AC272" s="175" t="str">
        <f t="shared" si="45"/>
        <v/>
      </c>
      <c r="AD272" s="175" t="str">
        <f t="shared" si="45"/>
        <v/>
      </c>
      <c r="AE272" s="175" t="str">
        <f t="shared" si="45"/>
        <v/>
      </c>
      <c r="AF272" s="175" t="str">
        <f t="shared" si="45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46">IF(B240&lt;100,"",B240-330)</f>
        <v/>
      </c>
      <c r="C273" s="175" t="str">
        <f t="shared" si="46"/>
        <v/>
      </c>
      <c r="D273" s="175" t="str">
        <f t="shared" si="46"/>
        <v/>
      </c>
      <c r="E273" s="175" t="str">
        <f t="shared" si="46"/>
        <v/>
      </c>
      <c r="F273" s="175" t="str">
        <f t="shared" si="46"/>
        <v/>
      </c>
      <c r="G273" s="175" t="str">
        <f t="shared" si="46"/>
        <v/>
      </c>
      <c r="H273" s="175" t="str">
        <f t="shared" si="46"/>
        <v/>
      </c>
      <c r="I273" s="175" t="str">
        <f t="shared" si="46"/>
        <v/>
      </c>
      <c r="J273" s="175" t="str">
        <f t="shared" si="46"/>
        <v/>
      </c>
      <c r="K273" s="175" t="str">
        <f t="shared" si="46"/>
        <v/>
      </c>
      <c r="L273" s="175" t="str">
        <f t="shared" si="46"/>
        <v/>
      </c>
      <c r="M273" s="175" t="str">
        <f t="shared" si="46"/>
        <v/>
      </c>
      <c r="N273" s="175" t="str">
        <f t="shared" si="46"/>
        <v/>
      </c>
      <c r="O273" s="175" t="str">
        <f t="shared" si="46"/>
        <v/>
      </c>
      <c r="P273" s="175" t="str">
        <f t="shared" si="46"/>
        <v/>
      </c>
      <c r="Q273" s="175" t="str">
        <f t="shared" si="46"/>
        <v/>
      </c>
      <c r="R273" s="175" t="str">
        <f t="shared" si="46"/>
        <v/>
      </c>
      <c r="S273" s="175" t="str">
        <f t="shared" si="46"/>
        <v/>
      </c>
      <c r="T273" s="175" t="str">
        <f t="shared" si="46"/>
        <v/>
      </c>
      <c r="U273" s="175" t="str">
        <f t="shared" si="46"/>
        <v/>
      </c>
      <c r="V273" s="175" t="str">
        <f t="shared" si="46"/>
        <v/>
      </c>
      <c r="W273" s="175" t="str">
        <f t="shared" si="46"/>
        <v/>
      </c>
      <c r="X273" s="175" t="str">
        <f t="shared" si="46"/>
        <v/>
      </c>
      <c r="Y273" s="175" t="str">
        <f t="shared" si="46"/>
        <v/>
      </c>
      <c r="Z273" s="175" t="str">
        <f t="shared" si="46"/>
        <v/>
      </c>
      <c r="AA273" s="175" t="str">
        <f t="shared" si="46"/>
        <v/>
      </c>
      <c r="AB273" s="175" t="str">
        <f t="shared" si="46"/>
        <v/>
      </c>
      <c r="AC273" s="175" t="str">
        <f t="shared" si="46"/>
        <v/>
      </c>
      <c r="AD273" s="175" t="str">
        <f t="shared" si="46"/>
        <v/>
      </c>
      <c r="AE273" s="175" t="str">
        <f t="shared" si="46"/>
        <v/>
      </c>
      <c r="AF273" s="175" t="str">
        <f t="shared" si="46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47">IF(B241&lt;100,"",B241-1500)</f>
        <v/>
      </c>
      <c r="C274" s="175" t="str">
        <f t="shared" si="47"/>
        <v/>
      </c>
      <c r="D274" s="175" t="str">
        <f t="shared" si="47"/>
        <v/>
      </c>
      <c r="E274" s="175" t="str">
        <f t="shared" si="47"/>
        <v/>
      </c>
      <c r="F274" s="175" t="str">
        <f t="shared" si="47"/>
        <v/>
      </c>
      <c r="G274" s="175" t="str">
        <f t="shared" si="47"/>
        <v/>
      </c>
      <c r="H274" s="175" t="str">
        <f t="shared" si="47"/>
        <v/>
      </c>
      <c r="I274" s="175" t="str">
        <f t="shared" si="47"/>
        <v/>
      </c>
      <c r="J274" s="175" t="str">
        <f t="shared" si="47"/>
        <v/>
      </c>
      <c r="K274" s="175" t="str">
        <f t="shared" si="47"/>
        <v/>
      </c>
      <c r="L274" s="175" t="str">
        <f t="shared" si="47"/>
        <v/>
      </c>
      <c r="M274" s="175" t="str">
        <f t="shared" si="47"/>
        <v/>
      </c>
      <c r="N274" s="175" t="str">
        <f t="shared" si="47"/>
        <v/>
      </c>
      <c r="O274" s="175" t="str">
        <f t="shared" si="47"/>
        <v/>
      </c>
      <c r="P274" s="175" t="str">
        <f t="shared" si="47"/>
        <v/>
      </c>
      <c r="Q274" s="175" t="str">
        <f t="shared" si="47"/>
        <v/>
      </c>
      <c r="R274" s="175" t="str">
        <f t="shared" si="47"/>
        <v/>
      </c>
      <c r="S274" s="175" t="str">
        <f t="shared" si="47"/>
        <v/>
      </c>
      <c r="T274" s="175" t="str">
        <f t="shared" si="47"/>
        <v/>
      </c>
      <c r="U274" s="175" t="str">
        <f t="shared" si="47"/>
        <v/>
      </c>
      <c r="V274" s="175" t="str">
        <f t="shared" si="47"/>
        <v/>
      </c>
      <c r="W274" s="175" t="str">
        <f t="shared" si="47"/>
        <v/>
      </c>
      <c r="X274" s="175" t="str">
        <f t="shared" si="47"/>
        <v/>
      </c>
      <c r="Y274" s="175" t="str">
        <f t="shared" si="47"/>
        <v/>
      </c>
      <c r="Z274" s="175" t="str">
        <f t="shared" si="47"/>
        <v/>
      </c>
      <c r="AA274" s="175" t="str">
        <f t="shared" si="47"/>
        <v/>
      </c>
      <c r="AB274" s="175" t="str">
        <f t="shared" si="47"/>
        <v/>
      </c>
      <c r="AC274" s="175" t="str">
        <f t="shared" si="47"/>
        <v/>
      </c>
      <c r="AD274" s="175" t="str">
        <f t="shared" si="47"/>
        <v/>
      </c>
      <c r="AE274" s="175" t="str">
        <f t="shared" si="47"/>
        <v/>
      </c>
      <c r="AF274" s="175" t="str">
        <f t="shared" si="47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B12:AF12 B14:AF17">
    <cfRule type="expression" dxfId="5068" priority="401">
      <formula>B$9&gt;=20/24</formula>
    </cfRule>
    <cfRule type="expression" dxfId="5067" priority="402">
      <formula>AND(B$9&gt;=14/24,B$9&lt;20/24)</formula>
    </cfRule>
    <cfRule type="expression" dxfId="5066" priority="403">
      <formula>AND(B$9&gt;=8/24,B$9&lt;14/24)</formula>
    </cfRule>
    <cfRule type="expression" dxfId="5065" priority="404">
      <formula>B$9&lt;8/24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G67 B12:AF12 B14:AF17">
    <cfRule type="expression" dxfId="5064" priority="399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5063" priority="398">
      <formula>$AH12=0</formula>
    </cfRule>
  </conditionalFormatting>
  <conditionalFormatting sqref="A116">
    <cfRule type="expression" dxfId="5062" priority="397">
      <formula>$AH116=0</formula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5061" priority="395">
      <formula>$AH47=0</formula>
    </cfRule>
  </conditionalFormatting>
  <conditionalFormatting sqref="A100">
    <cfRule type="expression" dxfId="5060" priority="394">
      <formula>$AH100=0</formula>
    </cfRule>
  </conditionalFormatting>
  <conditionalFormatting sqref="A20">
    <cfRule type="expression" dxfId="5059" priority="393">
      <formula>$AH20=0</formula>
    </cfRule>
  </conditionalFormatting>
  <conditionalFormatting sqref="A199:A204">
    <cfRule type="expression" dxfId="5058" priority="392">
      <formula>$AH199=0</formula>
    </cfRule>
  </conditionalFormatting>
  <conditionalFormatting sqref="A193:A198">
    <cfRule type="expression" dxfId="5057" priority="391">
      <formula>$AH193=0</formula>
    </cfRule>
  </conditionalFormatting>
  <conditionalFormatting sqref="A60">
    <cfRule type="expression" dxfId="5056" priority="390">
      <formula>$AH60=0</formula>
    </cfRule>
  </conditionalFormatting>
  <conditionalFormatting sqref="A96">
    <cfRule type="expression" dxfId="5055" priority="389">
      <formula>$AH96=0</formula>
    </cfRule>
  </conditionalFormatting>
  <conditionalFormatting sqref="AF101 E101:Y101">
    <cfRule type="expression" dxfId="5054" priority="385">
      <formula>E$9&gt;=20/24</formula>
    </cfRule>
    <cfRule type="expression" dxfId="5053" priority="386">
      <formula>AND(E$9&gt;=14/24,E$9&lt;20/24)</formula>
    </cfRule>
    <cfRule type="expression" dxfId="5052" priority="387">
      <formula>AND(E$9&gt;=8/24,E$9&lt;14/24)</formula>
    </cfRule>
    <cfRule type="expression" dxfId="5051" priority="388">
      <formula>E$9&lt;8/24</formula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050" priority="407">
      <formula>C$9&gt;=20/24</formula>
    </cfRule>
    <cfRule type="expression" dxfId="5049" priority="408">
      <formula>AND(C$9&gt;=14/24,C$9&lt;20/24)</formula>
    </cfRule>
    <cfRule type="expression" dxfId="5048" priority="409">
      <formula>AND(C$9&gt;=8/24,C$9&lt;14/24)</formula>
    </cfRule>
    <cfRule type="expression" dxfId="5047" priority="410">
      <formula>C$9&lt;8/24</formula>
    </cfRule>
  </conditionalFormatting>
  <conditionalFormatting sqref="A236">
    <cfRule type="expression" dxfId="5046" priority="411">
      <formula>$AH236=0</formula>
    </cfRule>
  </conditionalFormatting>
  <conditionalFormatting sqref="AG248">
    <cfRule type="expression" dxfId="5045" priority="412">
      <formula>B$9&gt;=20/24</formula>
    </cfRule>
    <cfRule type="expression" dxfId="5044" priority="413">
      <formula>AND(B$9&gt;=14/24,B$9&lt;20/24)</formula>
    </cfRule>
    <cfRule type="expression" dxfId="5043" priority="414">
      <formula>AND(B$9&gt;=8/24,B$9&lt;14/24)</formula>
    </cfRule>
    <cfRule type="expression" dxfId="5042" priority="415">
      <formula>B$9&lt;8/24</formula>
    </cfRule>
  </conditionalFormatting>
  <conditionalFormatting sqref="S8">
    <cfRule type="expression" dxfId="5041" priority="380">
      <formula>U$9&gt;=20/24</formula>
    </cfRule>
    <cfRule type="expression" dxfId="5040" priority="381">
      <formula>AND(U$9&gt;=14/24,U$9&lt;20/24)</formula>
    </cfRule>
    <cfRule type="expression" dxfId="5039" priority="382">
      <formula>AND(U$9&gt;=8/24,U$9&lt;14/24)</formula>
    </cfRule>
    <cfRule type="expression" dxfId="5038" priority="383">
      <formula>U$9&lt;8/24</formula>
    </cfRule>
  </conditionalFormatting>
  <conditionalFormatting sqref="AB8">
    <cfRule type="expression" dxfId="5037" priority="376">
      <formula>AD$9&gt;=20/24</formula>
    </cfRule>
    <cfRule type="expression" dxfId="5036" priority="377">
      <formula>AND(AD$9&gt;=14/24,AD$9&lt;20/24)</formula>
    </cfRule>
    <cfRule type="expression" dxfId="5035" priority="378">
      <formula>AND(AD$9&gt;=8/24,AD$9&lt;14/24)</formula>
    </cfRule>
    <cfRule type="expression" dxfId="5034" priority="379">
      <formula>AD$9&lt;8/24</formula>
    </cfRule>
  </conditionalFormatting>
  <conditionalFormatting sqref="AH248:AX248">
    <cfRule type="expression" dxfId="5033" priority="416">
      <formula>AG$9&gt;=20/24</formula>
    </cfRule>
    <cfRule type="expression" dxfId="5032" priority="417">
      <formula>AND(AG$9&gt;=14/24,AG$9&lt;20/24)</formula>
    </cfRule>
    <cfRule type="expression" dxfId="5031" priority="418">
      <formula>AND(AG$9&gt;=8/24,AG$9&lt;14/24)</formula>
    </cfRule>
    <cfRule type="expression" dxfId="5030" priority="419">
      <formula>AG$9&lt;8/24</formula>
    </cfRule>
  </conditionalFormatting>
  <conditionalFormatting sqref="T248">
    <cfRule type="expression" dxfId="5029" priority="420">
      <formula>AX$9&gt;=20/24</formula>
    </cfRule>
    <cfRule type="expression" dxfId="5028" priority="421">
      <formula>AND(AX$9&gt;=14/24,AX$9&lt;20/24)</formula>
    </cfRule>
    <cfRule type="expression" dxfId="5027" priority="422">
      <formula>AND(AX$9&gt;=8/24,AX$9&lt;14/24)</formula>
    </cfRule>
    <cfRule type="expression" dxfId="5026" priority="423">
      <formula>AX$9&lt;8/24</formula>
    </cfRule>
  </conditionalFormatting>
  <conditionalFormatting sqref="A117:A119">
    <cfRule type="expression" dxfId="5025" priority="375">
      <formula>$AH117=0</formula>
    </cfRule>
  </conditionalFormatting>
  <conditionalFormatting sqref="E73:AF73">
    <cfRule type="expression" dxfId="5024" priority="371">
      <formula>E$9&gt;=20/24</formula>
    </cfRule>
    <cfRule type="expression" dxfId="5023" priority="372">
      <formula>AND(E$9&gt;=14/24,E$9&lt;20/24)</formula>
    </cfRule>
    <cfRule type="expression" dxfId="5022" priority="373">
      <formula>AND(E$9&gt;=8/24,E$9&lt;14/24)</formula>
    </cfRule>
    <cfRule type="expression" dxfId="5021" priority="374">
      <formula>E$9&lt;8/24</formula>
    </cfRule>
  </conditionalFormatting>
  <conditionalFormatting sqref="AF102:AF108 M102:Y108 AC69:AF71 D88:AF88 X98:AF98 E74:AF75">
    <cfRule type="expression" dxfId="5020" priority="362">
      <formula>D$9&gt;=20/24</formula>
    </cfRule>
    <cfRule type="expression" dxfId="5019" priority="363">
      <formula>AND(D$9&gt;=14/24,D$9&lt;20/24)</formula>
    </cfRule>
    <cfRule type="expression" dxfId="5018" priority="364">
      <formula>AND(D$9&gt;=8/24,D$9&lt;14/24)</formula>
    </cfRule>
    <cfRule type="expression" dxfId="5017" priority="365">
      <formula>D$9&lt;8/24</formula>
    </cfRule>
  </conditionalFormatting>
  <conditionalFormatting sqref="AC69:AF71">
    <cfRule type="expression" dxfId="5016" priority="361">
      <formula>AC69&gt;$AG69</formula>
    </cfRule>
  </conditionalFormatting>
  <conditionalFormatting sqref="T55:AE60 AF60">
    <cfRule type="expression" dxfId="5015" priority="357">
      <formula>T$9&gt;=20/24</formula>
    </cfRule>
    <cfRule type="expression" dxfId="5014" priority="358">
      <formula>AND(T$9&gt;=14/24,T$9&lt;20/24)</formula>
    </cfRule>
    <cfRule type="expression" dxfId="5013" priority="359">
      <formula>AND(T$9&gt;=8/24,T$9&lt;14/24)</formula>
    </cfRule>
    <cfRule type="expression" dxfId="5012" priority="360">
      <formula>T$9&lt;8/24</formula>
    </cfRule>
  </conditionalFormatting>
  <conditionalFormatting sqref="T55:AE60 AF60">
    <cfRule type="expression" dxfId="5011" priority="356">
      <formula>T55&gt;$AG55</formula>
    </cfRule>
  </conditionalFormatting>
  <conditionalFormatting sqref="C99:AF99 D90:AF90">
    <cfRule type="expression" dxfId="5010" priority="352">
      <formula>C$9&gt;=20/24</formula>
    </cfRule>
    <cfRule type="expression" dxfId="5009" priority="353">
      <formula>AND(C$9&gt;=14/24,C$9&lt;20/24)</formula>
    </cfRule>
    <cfRule type="expression" dxfId="5008" priority="354">
      <formula>AND(C$9&gt;=8/24,C$9&lt;14/24)</formula>
    </cfRule>
    <cfRule type="expression" dxfId="5007" priority="355">
      <formula>C$9&lt;8/24</formula>
    </cfRule>
  </conditionalFormatting>
  <conditionalFormatting sqref="U49:AF49">
    <cfRule type="expression" dxfId="5006" priority="348">
      <formula>U$9&gt;=20/24</formula>
    </cfRule>
    <cfRule type="expression" dxfId="5005" priority="349">
      <formula>AND(U$9&gt;=14/24,U$9&lt;20/24)</formula>
    </cfRule>
    <cfRule type="expression" dxfId="5004" priority="350">
      <formula>AND(U$9&gt;=8/24,U$9&lt;14/24)</formula>
    </cfRule>
    <cfRule type="expression" dxfId="5003" priority="351">
      <formula>U$9&lt;8/24</formula>
    </cfRule>
  </conditionalFormatting>
  <conditionalFormatting sqref="U49:AF49">
    <cfRule type="expression" dxfId="5002" priority="347">
      <formula>U49&gt;$AG49</formula>
    </cfRule>
  </conditionalFormatting>
  <conditionalFormatting sqref="AG72 AG89 E102:L108">
    <cfRule type="expression" dxfId="5001" priority="334">
      <formula>E$9&gt;=20/24</formula>
    </cfRule>
    <cfRule type="expression" dxfId="5000" priority="335">
      <formula>AND(E$9&gt;=14/24,E$9&lt;20/24)</formula>
    </cfRule>
    <cfRule type="expression" dxfId="4999" priority="336">
      <formula>AND(E$9&gt;=8/24,E$9&lt;14/24)</formula>
    </cfRule>
    <cfRule type="expression" dxfId="4998" priority="337">
      <formula>E$9&lt;8/24</formula>
    </cfRule>
  </conditionalFormatting>
  <conditionalFormatting sqref="AG50 AG68 AG72">
    <cfRule type="expression" dxfId="4997" priority="333">
      <formula>AG50&gt;$AG50</formula>
    </cfRule>
  </conditionalFormatting>
  <conditionalFormatting sqref="A45">
    <cfRule type="expression" dxfId="4996" priority="327">
      <formula>$AH45=0</formula>
    </cfRule>
  </conditionalFormatting>
  <conditionalFormatting sqref="X93:AF97">
    <cfRule type="expression" dxfId="4995" priority="323">
      <formula>X$9&gt;=20/24</formula>
    </cfRule>
    <cfRule type="expression" dxfId="4994" priority="324">
      <formula>AND(X$9&gt;=14/24,X$9&lt;20/24)</formula>
    </cfRule>
    <cfRule type="expression" dxfId="4993" priority="325">
      <formula>AND(X$9&gt;=8/24,X$9&lt;14/24)</formula>
    </cfRule>
    <cfRule type="expression" dxfId="4992" priority="326">
      <formula>X$9&lt;8/24</formula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Q51:AF53">
    <cfRule type="expression" dxfId="4991" priority="319">
      <formula>Q$9&gt;=20/24</formula>
    </cfRule>
    <cfRule type="expression" dxfId="4990" priority="320">
      <formula>AND(Q$9&gt;=14/24,Q$9&lt;20/24)</formula>
    </cfRule>
    <cfRule type="expression" dxfId="4989" priority="321">
      <formula>AND(Q$9&gt;=8/24,Q$9&lt;14/24)</formula>
    </cfRule>
    <cfRule type="expression" dxfId="4988" priority="322">
      <formula>Q$9&lt;8/24</formula>
    </cfRule>
  </conditionalFormatting>
  <conditionalFormatting sqref="Q51:AF53">
    <cfRule type="expression" dxfId="4987" priority="318">
      <formula>Q51&gt;$AG51</formula>
    </cfRule>
  </conditionalFormatting>
  <conditionalFormatting sqref="AG54">
    <cfRule type="expression" dxfId="4986" priority="314">
      <formula>AG$9&gt;=20/24</formula>
    </cfRule>
    <cfRule type="expression" dxfId="4985" priority="315">
      <formula>AND(AG$9&gt;=14/24,AG$9&lt;20/24)</formula>
    </cfRule>
    <cfRule type="expression" dxfId="4984" priority="316">
      <formula>AND(AG$9&gt;=8/24,AG$9&lt;14/24)</formula>
    </cfRule>
    <cfRule type="expression" dxfId="4983" priority="317">
      <formula>AG$9&lt;8/24</formula>
    </cfRule>
  </conditionalFormatting>
  <conditionalFormatting sqref="AG54">
    <cfRule type="expression" dxfId="4982" priority="313">
      <formula>AG54&gt;$AG54</formula>
    </cfRule>
  </conditionalFormatting>
  <conditionalFormatting sqref="C109:AF109">
    <cfRule type="expression" dxfId="4981" priority="309">
      <formula>C$9&gt;=20/24</formula>
    </cfRule>
    <cfRule type="expression" dxfId="4980" priority="310">
      <formula>AND(C$9&gt;=14/24,C$9&lt;20/24)</formula>
    </cfRule>
    <cfRule type="expression" dxfId="4979" priority="311">
      <formula>AND(C$9&gt;=8/24,C$9&lt;14/24)</formula>
    </cfRule>
    <cfRule type="expression" dxfId="4978" priority="312">
      <formula>C$9&lt;8/24</formula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4977" priority="307">
      <formula>$AH42=0</formula>
    </cfRule>
  </conditionalFormatting>
  <conditionalFormatting sqref="A92">
    <cfRule type="expression" dxfId="4976" priority="305">
      <formula>$AH92=0</formula>
    </cfRule>
  </conditionalFormatting>
  <conditionalFormatting sqref="A89">
    <cfRule type="expression" dxfId="4975" priority="306">
      <formula>$AH89=0</formula>
    </cfRule>
  </conditionalFormatting>
  <conditionalFormatting sqref="D112:AF112">
    <cfRule type="expression" dxfId="4974" priority="301">
      <formula>D$9&gt;=20/24</formula>
    </cfRule>
    <cfRule type="expression" dxfId="4973" priority="302">
      <formula>AND(D$9&gt;=14/24,D$9&lt;20/24)</formula>
    </cfRule>
    <cfRule type="expression" dxfId="4972" priority="303">
      <formula>AND(D$9&gt;=8/24,D$9&lt;14/24)</formula>
    </cfRule>
    <cfRule type="expression" dxfId="4971" priority="304">
      <formula>D$9&lt;8/24</formula>
    </cfRule>
  </conditionalFormatting>
  <conditionalFormatting sqref="A112">
    <cfRule type="expression" dxfId="4970" priority="300">
      <formula>$AH112=0</formula>
    </cfRule>
  </conditionalFormatting>
  <conditionalFormatting sqref="A23">
    <cfRule type="expression" dxfId="4969" priority="298">
      <formula>$AH23=0</formula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4968" priority="296">
      <formula>$AH39=0</formula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Z101:AE101">
    <cfRule type="expression" dxfId="4967" priority="292">
      <formula>Z$9&gt;=20/24</formula>
    </cfRule>
    <cfRule type="expression" dxfId="4966" priority="293">
      <formula>AND(Z$9&gt;=14/24,Z$9&lt;20/24)</formula>
    </cfRule>
    <cfRule type="expression" dxfId="4965" priority="294">
      <formula>AND(Z$9&gt;=8/24,Z$9&lt;14/24)</formula>
    </cfRule>
    <cfRule type="expression" dxfId="4964" priority="295">
      <formula>Z$9&lt;8/24</formula>
    </cfRule>
  </conditionalFormatting>
  <conditionalFormatting sqref="Z102:AE108">
    <cfRule type="expression" dxfId="4963" priority="288">
      <formula>Z$9&gt;=20/24</formula>
    </cfRule>
    <cfRule type="expression" dxfId="4962" priority="289">
      <formula>AND(Z$9&gt;=14/24,Z$9&lt;20/24)</formula>
    </cfRule>
    <cfRule type="expression" dxfId="4961" priority="290">
      <formula>AND(Z$9&gt;=8/24,Z$9&lt;14/24)</formula>
    </cfRule>
    <cfRule type="expression" dxfId="4960" priority="291">
      <formula>Z$9&lt;8/24</formula>
    </cfRule>
  </conditionalFormatting>
  <conditionalFormatting sqref="C111 C113:C119 Z25 V20:Z24 AA20:AF25 Z27:AF28">
    <cfRule type="expression" dxfId="4959" priority="284">
      <formula>C$9&gt;=20/24</formula>
    </cfRule>
    <cfRule type="expression" dxfId="4958" priority="285">
      <formula>AND(C$9&gt;=14/24,C$9&lt;20/24)</formula>
    </cfRule>
    <cfRule type="expression" dxfId="4957" priority="286">
      <formula>AND(C$9&gt;=8/24,C$9&lt;14/24)</formula>
    </cfRule>
    <cfRule type="expression" dxfId="4956" priority="287">
      <formula>C$9&lt;8/24</formula>
    </cfRule>
  </conditionalFormatting>
  <conditionalFormatting sqref="E49:T49">
    <cfRule type="expression" dxfId="4955" priority="280">
      <formula>E$9&gt;=20/24</formula>
    </cfRule>
    <cfRule type="expression" dxfId="4954" priority="281">
      <formula>AND(E$9&gt;=14/24,E$9&lt;20/24)</formula>
    </cfRule>
    <cfRule type="expression" dxfId="4953" priority="282">
      <formula>AND(E$9&gt;=8/24,E$9&lt;14/24)</formula>
    </cfRule>
    <cfRule type="expression" dxfId="4952" priority="283">
      <formula>E$9&lt;8/24</formula>
    </cfRule>
  </conditionalFormatting>
  <conditionalFormatting sqref="E49:T49 Z25 V20:Z24 AA20:AF25 Z27:AF28">
    <cfRule type="expression" dxfId="4951" priority="279">
      <formula>E20&gt;$AG20</formula>
    </cfRule>
  </conditionalFormatting>
  <conditionalFormatting sqref="C88 C98:W98 E69:AB71 R76:AB78 C85:AF87 AC76:AE83">
    <cfRule type="expression" dxfId="4950" priority="271">
      <formula>C$9&gt;=20/24</formula>
    </cfRule>
    <cfRule type="expression" dxfId="4949" priority="272">
      <formula>AND(C$9&gt;=14/24,C$9&lt;20/24)</formula>
    </cfRule>
    <cfRule type="expression" dxfId="4948" priority="273">
      <formula>AND(C$9&gt;=8/24,C$9&lt;14/24)</formula>
    </cfRule>
    <cfRule type="expression" dxfId="4947" priority="274">
      <formula>C$9&lt;8/24</formula>
    </cfRule>
  </conditionalFormatting>
  <conditionalFormatting sqref="E69:AB71">
    <cfRule type="expression" dxfId="4946" priority="270">
      <formula>E69&gt;$AG69</formula>
    </cfRule>
  </conditionalFormatting>
  <conditionalFormatting sqref="C89:AF89 C91:AF91 C100:AF100 E72:AF72">
    <cfRule type="expression" dxfId="4945" priority="266">
      <formula>C$9&gt;=20/24</formula>
    </cfRule>
    <cfRule type="expression" dxfId="4944" priority="267">
      <formula>AND(C$9&gt;=14/24,C$9&lt;20/24)</formula>
    </cfRule>
    <cfRule type="expression" dxfId="4943" priority="268">
      <formula>AND(C$9&gt;=8/24,C$9&lt;14/24)</formula>
    </cfRule>
    <cfRule type="expression" dxfId="4942" priority="269">
      <formula>C$9&lt;8/24</formula>
    </cfRule>
  </conditionalFormatting>
  <conditionalFormatting sqref="E72:AF72 D67:AF68">
    <cfRule type="expression" dxfId="4941" priority="265">
      <formula>D67&gt;$AG67</formula>
    </cfRule>
  </conditionalFormatting>
  <conditionalFormatting sqref="C84:AF84">
    <cfRule type="expression" dxfId="4940" priority="261">
      <formula>C$9&gt;=20/24</formula>
    </cfRule>
    <cfRule type="expression" dxfId="4939" priority="262">
      <formula>AND(C$9&gt;=14/24,C$9&lt;20/24)</formula>
    </cfRule>
    <cfRule type="expression" dxfId="4938" priority="263">
      <formula>AND(C$9&gt;=8/24,C$9&lt;14/24)</formula>
    </cfRule>
    <cfRule type="expression" dxfId="4937" priority="264">
      <formula>C$9&lt;8/24</formula>
    </cfRule>
  </conditionalFormatting>
  <conditionalFormatting sqref="C93:W97">
    <cfRule type="expression" dxfId="4936" priority="257">
      <formula>C$9&gt;=20/24</formula>
    </cfRule>
    <cfRule type="expression" dxfId="4935" priority="258">
      <formula>AND(C$9&gt;=14/24,C$9&lt;20/24)</formula>
    </cfRule>
    <cfRule type="expression" dxfId="4934" priority="259">
      <formula>AND(C$9&gt;=8/24,C$9&lt;14/24)</formula>
    </cfRule>
    <cfRule type="expression" dxfId="4933" priority="260">
      <formula>C$9&lt;8/24</formula>
    </cfRule>
  </conditionalFormatting>
  <conditionalFormatting sqref="E54:AF54">
    <cfRule type="expression" dxfId="4932" priority="253">
      <formula>E$9&gt;=20/24</formula>
    </cfRule>
    <cfRule type="expression" dxfId="4931" priority="254">
      <formula>AND(E$9&gt;=14/24,E$9&lt;20/24)</formula>
    </cfRule>
    <cfRule type="expression" dxfId="4930" priority="255">
      <formula>AND(E$9&gt;=8/24,E$9&lt;14/24)</formula>
    </cfRule>
    <cfRule type="expression" dxfId="4929" priority="256">
      <formula>E$9&lt;8/24</formula>
    </cfRule>
  </conditionalFormatting>
  <conditionalFormatting sqref="E54:AF54">
    <cfRule type="expression" dxfId="4928" priority="252">
      <formula>E54&gt;$AG54</formula>
    </cfRule>
  </conditionalFormatting>
  <conditionalFormatting sqref="C112">
    <cfRule type="expression" dxfId="4927" priority="248">
      <formula>C$9&gt;=20/24</formula>
    </cfRule>
    <cfRule type="expression" dxfId="4926" priority="249">
      <formula>AND(C$9&gt;=14/24,C$9&lt;20/24)</formula>
    </cfRule>
    <cfRule type="expression" dxfId="4925" priority="250">
      <formula>AND(C$9&gt;=8/24,C$9&lt;14/24)</formula>
    </cfRule>
    <cfRule type="expression" dxfId="4924" priority="251">
      <formula>C$9&lt;8/24</formula>
    </cfRule>
  </conditionalFormatting>
  <conditionalFormatting sqref="AC61:AF66">
    <cfRule type="expression" dxfId="4923" priority="244">
      <formula>AC$9&gt;=20/24</formula>
    </cfRule>
    <cfRule type="expression" dxfId="4922" priority="245">
      <formula>AND(AC$9&gt;=14/24,AC$9&lt;20/24)</formula>
    </cfRule>
    <cfRule type="expression" dxfId="4921" priority="246">
      <formula>AND(AC$9&gt;=8/24,AC$9&lt;14/24)</formula>
    </cfRule>
    <cfRule type="expression" dxfId="4920" priority="247">
      <formula>AC$9&lt;8/24</formula>
    </cfRule>
  </conditionalFormatting>
  <conditionalFormatting sqref="AC61:AF66">
    <cfRule type="expression" dxfId="4919" priority="243">
      <formula>AC61&gt;$AG61</formula>
    </cfRule>
  </conditionalFormatting>
  <conditionalFormatting sqref="V13:AF13">
    <cfRule type="expression" dxfId="4918" priority="238">
      <formula>V$9&gt;=20/24</formula>
    </cfRule>
    <cfRule type="expression" dxfId="4917" priority="239">
      <formula>AND(V$9&gt;=14/24,V$9&lt;20/24)</formula>
    </cfRule>
    <cfRule type="expression" dxfId="4916" priority="240">
      <formula>AND(V$9&gt;=8/24,V$9&lt;14/24)</formula>
    </cfRule>
    <cfRule type="expression" dxfId="4915" priority="241">
      <formula>V$9&lt;8/24</formula>
    </cfRule>
  </conditionalFormatting>
  <conditionalFormatting sqref="V13:AF13">
    <cfRule type="expression" dxfId="4914" priority="237">
      <formula>V13&gt;$AG13</formula>
    </cfRule>
  </conditionalFormatting>
  <conditionalFormatting sqref="R79:AB83">
    <cfRule type="expression" dxfId="4913" priority="229">
      <formula>R$9&gt;=20/24</formula>
    </cfRule>
    <cfRule type="expression" dxfId="4912" priority="230">
      <formula>AND(R$9&gt;=14/24,R$9&lt;20/24)</formula>
    </cfRule>
    <cfRule type="expression" dxfId="4911" priority="231">
      <formula>AND(R$9&gt;=8/24,R$9&lt;14/24)</formula>
    </cfRule>
    <cfRule type="expression" dxfId="4910" priority="232">
      <formula>R$9&lt;8/24</formula>
    </cfRule>
  </conditionalFormatting>
  <conditionalFormatting sqref="AL80:AN80 AL86:AN86 AN81:AN82">
    <cfRule type="expression" dxfId="4909" priority="225">
      <formula>AL$9&gt;=20/24</formula>
    </cfRule>
    <cfRule type="expression" dxfId="4908" priority="226">
      <formula>AND(AL$9&gt;=14/24,AL$9&lt;20/24)</formula>
    </cfRule>
    <cfRule type="expression" dxfId="4907" priority="227">
      <formula>AND(AL$9&gt;=8/24,AL$9&lt;14/24)</formula>
    </cfRule>
    <cfRule type="expression" dxfId="4906" priority="228">
      <formula>AL$9&lt;8/24</formula>
    </cfRule>
  </conditionalFormatting>
  <conditionalFormatting sqref="AN83:AN84">
    <cfRule type="expression" dxfId="4905" priority="221">
      <formula>AN$9&gt;=20/24</formula>
    </cfRule>
    <cfRule type="expression" dxfId="4904" priority="222">
      <formula>AND(AN$9&gt;=14/24,AN$9&lt;20/24)</formula>
    </cfRule>
    <cfRule type="expression" dxfId="4903" priority="223">
      <formula>AND(AN$9&gt;=8/24,AN$9&lt;14/24)</formula>
    </cfRule>
    <cfRule type="expression" dxfId="4902" priority="224">
      <formula>AN$9&lt;8/24</formula>
    </cfRule>
  </conditionalFormatting>
  <conditionalFormatting sqref="AL81:AM85">
    <cfRule type="expression" dxfId="4901" priority="425">
      <formula>AJ$9&gt;=20/24</formula>
    </cfRule>
    <cfRule type="expression" dxfId="4900" priority="426">
      <formula>AND(AJ$9&gt;=14/24,AJ$9&lt;20/24)</formula>
    </cfRule>
    <cfRule type="expression" dxfId="4899" priority="427">
      <formula>AND(AJ$9&gt;=8/24,AJ$9&lt;14/24)</formula>
    </cfRule>
    <cfRule type="expression" dxfId="4898" priority="428">
      <formula>AJ$9&lt;8/24</formula>
    </cfRule>
  </conditionalFormatting>
  <conditionalFormatting sqref="A120">
    <cfRule type="expression" dxfId="4897" priority="220">
      <formula>$AH120=0</formula>
    </cfRule>
  </conditionalFormatting>
  <conditionalFormatting sqref="C90">
    <cfRule type="expression" dxfId="4896" priority="202">
      <formula>C$9&gt;=20/24</formula>
    </cfRule>
    <cfRule type="expression" dxfId="4895" priority="203">
      <formula>AND(C$9&gt;=14/24,C$9&lt;20/24)</formula>
    </cfRule>
    <cfRule type="expression" dxfId="4894" priority="204">
      <formula>AND(C$9&gt;=8/24,C$9&lt;14/24)</formula>
    </cfRule>
    <cfRule type="expression" dxfId="4893" priority="205">
      <formula>C$9&lt;8/24</formula>
    </cfRule>
  </conditionalFormatting>
  <conditionalFormatting sqref="B88 B98 B49:D49 B74:D76 B69:D71 B102:D108 E76:Q76">
    <cfRule type="expression" dxfId="4892" priority="122">
      <formula>B$9&gt;=20/24</formula>
    </cfRule>
    <cfRule type="expression" dxfId="4891" priority="123">
      <formula>AND(B$9&gt;=14/24,B$9&lt;20/24)</formula>
    </cfRule>
    <cfRule type="expression" dxfId="4890" priority="124">
      <formula>AND(B$9&gt;=8/24,B$9&lt;14/24)</formula>
    </cfRule>
    <cfRule type="expression" dxfId="4889" priority="125">
      <formula>B$9&lt;8/24</formula>
    </cfRule>
  </conditionalFormatting>
  <conditionalFormatting sqref="B60:S60">
    <cfRule type="expression" dxfId="4888" priority="113">
      <formula>B$9&gt;=20/24</formula>
    </cfRule>
    <cfRule type="expression" dxfId="4887" priority="114">
      <formula>AND(B$9&gt;=14/24,B$9&lt;20/24)</formula>
    </cfRule>
    <cfRule type="expression" dxfId="4886" priority="115">
      <formula>AND(B$9&gt;=8/24,B$9&lt;14/24)</formula>
    </cfRule>
    <cfRule type="expression" dxfId="4885" priority="116">
      <formula>B$9&lt;8/24</formula>
    </cfRule>
  </conditionalFormatting>
  <conditionalFormatting sqref="E50:AF50">
    <cfRule type="expression" dxfId="4884" priority="187">
      <formula>E50&gt;$AG50</formula>
    </cfRule>
  </conditionalFormatting>
  <conditionalFormatting sqref="T61:AB66">
    <cfRule type="expression" dxfId="4883" priority="183">
      <formula>T$9&gt;=20/24</formula>
    </cfRule>
    <cfRule type="expression" dxfId="4882" priority="184">
      <formula>AND(T$9&gt;=14/24,T$9&lt;20/24)</formula>
    </cfRule>
    <cfRule type="expression" dxfId="4881" priority="185">
      <formula>AND(T$9&gt;=8/24,T$9&lt;14/24)</formula>
    </cfRule>
    <cfRule type="expression" dxfId="4880" priority="186">
      <formula>T$9&lt;8/24</formula>
    </cfRule>
  </conditionalFormatting>
  <conditionalFormatting sqref="T61:AB66">
    <cfRule type="expression" dxfId="4879" priority="182">
      <formula>T61&gt;$AG61</formula>
    </cfRule>
  </conditionalFormatting>
  <conditionalFormatting sqref="A11">
    <cfRule type="expression" dxfId="4878" priority="177">
      <formula>$AH11=0</formula>
    </cfRule>
  </conditionalFormatting>
  <conditionalFormatting sqref="V11:AF11">
    <cfRule type="expression" dxfId="4877" priority="173">
      <formula>V$9&gt;=20/24</formula>
    </cfRule>
    <cfRule type="expression" dxfId="4876" priority="174">
      <formula>AND(V$9&gt;=14/24,V$9&lt;20/24)</formula>
    </cfRule>
    <cfRule type="expression" dxfId="4875" priority="175">
      <formula>AND(V$9&gt;=8/24,V$9&lt;14/24)</formula>
    </cfRule>
    <cfRule type="expression" dxfId="4874" priority="176">
      <formula>V$9&lt;8/24</formula>
    </cfRule>
  </conditionalFormatting>
  <conditionalFormatting sqref="V11:AF11">
    <cfRule type="expression" dxfId="4873" priority="172">
      <formula>V11&gt;$AG11</formula>
    </cfRule>
  </conditionalFormatting>
  <conditionalFormatting sqref="A18">
    <cfRule type="expression" dxfId="4872" priority="170">
      <formula>$AH18=0</formula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V18:AF18">
    <cfRule type="expression" dxfId="4871" priority="166">
      <formula>V$9&gt;=20/24</formula>
    </cfRule>
    <cfRule type="expression" dxfId="4870" priority="167">
      <formula>AND(V$9&gt;=14/24,V$9&lt;20/24)</formula>
    </cfRule>
    <cfRule type="expression" dxfId="4869" priority="168">
      <formula>AND(V$9&gt;=8/24,V$9&lt;14/24)</formula>
    </cfRule>
    <cfRule type="expression" dxfId="4868" priority="169">
      <formula>V$9&lt;8/24</formula>
    </cfRule>
  </conditionalFormatting>
  <conditionalFormatting sqref="V18:AF18">
    <cfRule type="expression" dxfId="4867" priority="165">
      <formula>V18&gt;$AG18</formula>
    </cfRule>
  </conditionalFormatting>
  <conditionalFormatting sqref="A35">
    <cfRule type="expression" dxfId="4866" priority="163">
      <formula>$AH35=0</formula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46">
    <cfRule type="expression" dxfId="4865" priority="156">
      <formula>$AH46=0</formula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B120">
    <cfRule type="expression" dxfId="4864" priority="27">
      <formula>B$9&gt;=20/24</formula>
    </cfRule>
    <cfRule type="expression" dxfId="4863" priority="28">
      <formula>AND(B$9&gt;=14/24,B$9&lt;20/24)</formula>
    </cfRule>
    <cfRule type="expression" dxfId="4862" priority="29">
      <formula>AND(B$9&gt;=8/24,B$9&lt;14/24)</formula>
    </cfRule>
    <cfRule type="expression" dxfId="4861" priority="30">
      <formula>B$9&lt;8/24</formula>
    </cfRule>
  </conditionalFormatting>
  <conditionalFormatting sqref="D120:AF120">
    <cfRule type="expression" dxfId="4860" priority="147">
      <formula>D$9&gt;=20/24</formula>
    </cfRule>
    <cfRule type="expression" dxfId="4859" priority="148">
      <formula>AND(D$9&gt;=14/24,D$9&lt;20/24)</formula>
    </cfRule>
    <cfRule type="expression" dxfId="4858" priority="149">
      <formula>AND(D$9&gt;=8/24,D$9&lt;14/24)</formula>
    </cfRule>
    <cfRule type="expression" dxfId="4857" priority="150">
      <formula>D$9&lt;8/24</formula>
    </cfRule>
  </conditionalFormatting>
  <conditionalFormatting sqref="C120">
    <cfRule type="expression" dxfId="4856" priority="143">
      <formula>C$9&gt;=20/24</formula>
    </cfRule>
    <cfRule type="expression" dxfId="4855" priority="144">
      <formula>AND(C$9&gt;=14/24,C$9&lt;20/24)</formula>
    </cfRule>
    <cfRule type="expression" dxfId="4854" priority="145">
      <formula>AND(C$9&gt;=8/24,C$9&lt;14/24)</formula>
    </cfRule>
    <cfRule type="expression" dxfId="4853" priority="146">
      <formula>C$9&lt;8/24</formula>
    </cfRule>
  </conditionalFormatting>
  <conditionalFormatting sqref="B111 B113:B119">
    <cfRule type="expression" dxfId="4852" priority="139">
      <formula>B$9&gt;=20/24</formula>
    </cfRule>
    <cfRule type="expression" dxfId="4851" priority="140">
      <formula>AND(B$9&gt;=14/24,B$9&lt;20/24)</formula>
    </cfRule>
    <cfRule type="expression" dxfId="4850" priority="141">
      <formula>AND(B$9&gt;=8/24,B$9&lt;14/24)</formula>
    </cfRule>
    <cfRule type="expression" dxfId="4849" priority="142">
      <formula>B$9&lt;8/24</formula>
    </cfRule>
  </conditionalFormatting>
  <conditionalFormatting sqref="B101:D101">
    <cfRule type="expression" dxfId="4848" priority="135">
      <formula>B$9&gt;=20/24</formula>
    </cfRule>
    <cfRule type="expression" dxfId="4847" priority="136">
      <formula>AND(B$9&gt;=14/24,B$9&lt;20/24)</formula>
    </cfRule>
    <cfRule type="expression" dxfId="4846" priority="137">
      <formula>AND(B$9&gt;=8/24,B$9&lt;14/24)</formula>
    </cfRule>
    <cfRule type="expression" dxfId="4845" priority="138">
      <formula>B$9&lt;8/24</formula>
    </cfRule>
  </conditionalFormatting>
  <conditionalFormatting sqref="B73:D73 B56:S59">
    <cfRule type="expression" dxfId="4844" priority="131">
      <formula>B$9&gt;=20/24</formula>
    </cfRule>
    <cfRule type="expression" dxfId="4843" priority="132">
      <formula>AND(B$9&gt;=14/24,B$9&lt;20/24)</formula>
    </cfRule>
    <cfRule type="expression" dxfId="4842" priority="133">
      <formula>AND(B$9&gt;=8/24,B$9&lt;14/24)</formula>
    </cfRule>
    <cfRule type="expression" dxfId="4841" priority="134">
      <formula>B$9&lt;8/24</formula>
    </cfRule>
  </conditionalFormatting>
  <conditionalFormatting sqref="B55:S55">
    <cfRule type="expression" dxfId="4840" priority="127">
      <formula>B$9&gt;=20/24</formula>
    </cfRule>
    <cfRule type="expression" dxfId="4839" priority="128">
      <formula>AND(B$9&gt;=14/24,B$9&lt;20/24)</formula>
    </cfRule>
    <cfRule type="expression" dxfId="4838" priority="129">
      <formula>AND(B$9&gt;=8/24,B$9&lt;14/24)</formula>
    </cfRule>
    <cfRule type="expression" dxfId="4837" priority="130">
      <formula>B$9&lt;8/24</formula>
    </cfRule>
  </conditionalFormatting>
  <conditionalFormatting sqref="B55:S59">
    <cfRule type="expression" dxfId="4836" priority="126">
      <formula>B55&gt;$AG55</formula>
    </cfRule>
  </conditionalFormatting>
  <conditionalFormatting sqref="B49:D49 B69:D71">
    <cfRule type="expression" dxfId="4835" priority="121">
      <formula>B49&gt;$AG49</formula>
    </cfRule>
  </conditionalFormatting>
  <conditionalFormatting sqref="B99 B90">
    <cfRule type="expression" dxfId="4834" priority="117">
      <formula>B$9&gt;=20/24</formula>
    </cfRule>
    <cfRule type="expression" dxfId="4833" priority="118">
      <formula>AND(B$9&gt;=14/24,B$9&lt;20/24)</formula>
    </cfRule>
    <cfRule type="expression" dxfId="4832" priority="119">
      <formula>AND(B$9&gt;=8/24,B$9&lt;14/24)</formula>
    </cfRule>
    <cfRule type="expression" dxfId="4831" priority="120">
      <formula>B$9&lt;8/24</formula>
    </cfRule>
  </conditionalFormatting>
  <conditionalFormatting sqref="B60:S60">
    <cfRule type="expression" dxfId="4830" priority="112">
      <formula>B60&gt;$AG60</formula>
    </cfRule>
  </conditionalFormatting>
  <conditionalFormatting sqref="B93:B97">
    <cfRule type="expression" dxfId="4829" priority="108">
      <formula>B$9&gt;=20/24</formula>
    </cfRule>
    <cfRule type="expression" dxfId="4828" priority="109">
      <formula>AND(B$9&gt;=14/24,B$9&lt;20/24)</formula>
    </cfRule>
    <cfRule type="expression" dxfId="4827" priority="110">
      <formula>AND(B$9&gt;=8/24,B$9&lt;14/24)</formula>
    </cfRule>
    <cfRule type="expression" dxfId="4826" priority="111">
      <formula>B$9&lt;8/24</formula>
    </cfRule>
  </conditionalFormatting>
  <conditionalFormatting sqref="B51:P53">
    <cfRule type="expression" dxfId="4825" priority="104">
      <formula>B$9&gt;=20/24</formula>
    </cfRule>
    <cfRule type="expression" dxfId="4824" priority="105">
      <formula>AND(B$9&gt;=14/24,B$9&lt;20/24)</formula>
    </cfRule>
    <cfRule type="expression" dxfId="4823" priority="106">
      <formula>AND(B$9&gt;=8/24,B$9&lt;14/24)</formula>
    </cfRule>
    <cfRule type="expression" dxfId="4822" priority="107">
      <formula>B$9&lt;8/24</formula>
    </cfRule>
  </conditionalFormatting>
  <conditionalFormatting sqref="B51:P53">
    <cfRule type="expression" dxfId="4821" priority="103">
      <formula>B51&gt;$AG51</formula>
    </cfRule>
  </conditionalFormatting>
  <conditionalFormatting sqref="B109">
    <cfRule type="expression" dxfId="4820" priority="99">
      <formula>B$9&gt;=20/24</formula>
    </cfRule>
    <cfRule type="expression" dxfId="4819" priority="100">
      <formula>AND(B$9&gt;=14/24,B$9&lt;20/24)</formula>
    </cfRule>
    <cfRule type="expression" dxfId="4818" priority="101">
      <formula>AND(B$9&gt;=8/24,B$9&lt;14/24)</formula>
    </cfRule>
    <cfRule type="expression" dxfId="4817" priority="102">
      <formula>B$9&lt;8/24</formula>
    </cfRule>
  </conditionalFormatting>
  <conditionalFormatting sqref="B112">
    <cfRule type="expression" dxfId="4816" priority="95">
      <formula>B$9&gt;=20/24</formula>
    </cfRule>
    <cfRule type="expression" dxfId="4815" priority="96">
      <formula>AND(B$9&gt;=14/24,B$9&lt;20/24)</formula>
    </cfRule>
    <cfRule type="expression" dxfId="4814" priority="97">
      <formula>AND(B$9&gt;=8/24,B$9&lt;14/24)</formula>
    </cfRule>
    <cfRule type="expression" dxfId="4813" priority="98">
      <formula>B$9&lt;8/24</formula>
    </cfRule>
  </conditionalFormatting>
  <conditionalFormatting sqref="B20:U34 V25:Y34 Z29:AF34 B19:AF19 Z26:AF26 B36:AF45">
    <cfRule type="expression" dxfId="4812" priority="91">
      <formula>B$9&gt;=20/24</formula>
    </cfRule>
    <cfRule type="expression" dxfId="4811" priority="92">
      <formula>AND(B$9&gt;=14/24,B$9&lt;20/24)</formula>
    </cfRule>
    <cfRule type="expression" dxfId="4810" priority="93">
      <formula>AND(B$9&gt;=8/24,B$9&lt;14/24)</formula>
    </cfRule>
    <cfRule type="expression" dxfId="4809" priority="94">
      <formula>B$9&lt;8/24</formula>
    </cfRule>
  </conditionalFormatting>
  <conditionalFormatting sqref="B20:U34 V25:Y34 Z29:AF34 B19:AF19 Z26:AF26 B36:AF45">
    <cfRule type="expression" dxfId="4808" priority="90">
      <formula>B19&gt;$AG19</formula>
    </cfRule>
  </conditionalFormatting>
  <conditionalFormatting sqref="B85:B87 B77:Q83">
    <cfRule type="expression" dxfId="4807" priority="86">
      <formula>B$9&gt;=20/24</formula>
    </cfRule>
    <cfRule type="expression" dxfId="4806" priority="87">
      <formula>AND(B$9&gt;=14/24,B$9&lt;20/24)</formula>
    </cfRule>
    <cfRule type="expression" dxfId="4805" priority="88">
      <formula>AND(B$9&gt;=8/24,B$9&lt;14/24)</formula>
    </cfRule>
    <cfRule type="expression" dxfId="4804" priority="89">
      <formula>B$9&lt;8/24</formula>
    </cfRule>
  </conditionalFormatting>
  <conditionalFormatting sqref="B89 B91 B100 B72:D72">
    <cfRule type="expression" dxfId="4803" priority="82">
      <formula>B$9&gt;=20/24</formula>
    </cfRule>
    <cfRule type="expression" dxfId="4802" priority="83">
      <formula>AND(B$9&gt;=14/24,B$9&lt;20/24)</formula>
    </cfRule>
    <cfRule type="expression" dxfId="4801" priority="84">
      <formula>AND(B$9&gt;=8/24,B$9&lt;14/24)</formula>
    </cfRule>
    <cfRule type="expression" dxfId="4800" priority="85">
      <formula>B$9&lt;8/24</formula>
    </cfRule>
  </conditionalFormatting>
  <conditionalFormatting sqref="B67:C68 B72:D72">
    <cfRule type="expression" dxfId="4799" priority="81">
      <formula>B67&gt;$AG67</formula>
    </cfRule>
  </conditionalFormatting>
  <conditionalFormatting sqref="B84">
    <cfRule type="expression" dxfId="4798" priority="77">
      <formula>B$9&gt;=20/24</formula>
    </cfRule>
    <cfRule type="expression" dxfId="4797" priority="78">
      <formula>AND(B$9&gt;=14/24,B$9&lt;20/24)</formula>
    </cfRule>
    <cfRule type="expression" dxfId="4796" priority="79">
      <formula>AND(B$9&gt;=8/24,B$9&lt;14/24)</formula>
    </cfRule>
    <cfRule type="expression" dxfId="4795" priority="80">
      <formula>B$9&lt;8/24</formula>
    </cfRule>
  </conditionalFormatting>
  <conditionalFormatting sqref="B54:D54">
    <cfRule type="expression" dxfId="4794" priority="73">
      <formula>B$9&gt;=20/24</formula>
    </cfRule>
    <cfRule type="expression" dxfId="4793" priority="74">
      <formula>AND(B$9&gt;=14/24,B$9&lt;20/24)</formula>
    </cfRule>
    <cfRule type="expression" dxfId="4792" priority="75">
      <formula>AND(B$9&gt;=8/24,B$9&lt;14/24)</formula>
    </cfRule>
    <cfRule type="expression" dxfId="4791" priority="76">
      <formula>B$9&lt;8/24</formula>
    </cfRule>
  </conditionalFormatting>
  <conditionalFormatting sqref="B54:D54">
    <cfRule type="expression" dxfId="4790" priority="72">
      <formula>B54&gt;$AG54</formula>
    </cfRule>
  </conditionalFormatting>
  <conditionalFormatting sqref="B61:S66">
    <cfRule type="expression" dxfId="4789" priority="68">
      <formula>B$9&gt;=20/24</formula>
    </cfRule>
    <cfRule type="expression" dxfId="4788" priority="69">
      <formula>AND(B$9&gt;=14/24,B$9&lt;20/24)</formula>
    </cfRule>
    <cfRule type="expression" dxfId="4787" priority="70">
      <formula>AND(B$9&gt;=8/24,B$9&lt;14/24)</formula>
    </cfRule>
    <cfRule type="expression" dxfId="4786" priority="71">
      <formula>B$9&lt;8/24</formula>
    </cfRule>
  </conditionalFormatting>
  <conditionalFormatting sqref="B61:S66">
    <cfRule type="expression" dxfId="4785" priority="67">
      <formula>B61&gt;$AG61</formula>
    </cfRule>
  </conditionalFormatting>
  <conditionalFormatting sqref="B47:AF47">
    <cfRule type="expression" dxfId="4784" priority="66">
      <formula>B47&gt;$AG47</formula>
    </cfRule>
  </conditionalFormatting>
  <conditionalFormatting sqref="B13:U13">
    <cfRule type="expression" dxfId="4783" priority="62">
      <formula>B$9&gt;=20/24</formula>
    </cfRule>
    <cfRule type="expression" dxfId="4782" priority="63">
      <formula>AND(B$9&gt;=14/24,B$9&lt;20/24)</formula>
    </cfRule>
    <cfRule type="expression" dxfId="4781" priority="64">
      <formula>AND(B$9&gt;=8/24,B$9&lt;14/24)</formula>
    </cfRule>
    <cfRule type="expression" dxfId="4780" priority="65">
      <formula>B$9&lt;8/24</formula>
    </cfRule>
  </conditionalFormatting>
  <conditionalFormatting sqref="B13:U13">
    <cfRule type="expression" dxfId="4779" priority="61">
      <formula>B13&gt;$AG13</formula>
    </cfRule>
  </conditionalFormatting>
  <conditionalFormatting sqref="B47:AF47">
    <cfRule type="expression" dxfId="4778" priority="57">
      <formula>B$9&gt;=20/24</formula>
    </cfRule>
    <cfRule type="expression" dxfId="4777" priority="58">
      <formula>AND(B$9&gt;=14/24,B$9&lt;20/24)</formula>
    </cfRule>
    <cfRule type="expression" dxfId="4776" priority="59">
      <formula>AND(B$9&gt;=8/24,B$9&lt;14/24)</formula>
    </cfRule>
    <cfRule type="expression" dxfId="4775" priority="60">
      <formula>B$9&lt;8/24</formula>
    </cfRule>
  </conditionalFormatting>
  <conditionalFormatting sqref="B48:AF48">
    <cfRule type="expression" dxfId="4774" priority="53">
      <formula>B$9&gt;=20/24</formula>
    </cfRule>
    <cfRule type="expression" dxfId="4773" priority="54">
      <formula>AND(B$9&gt;=14/24,B$9&lt;20/24)</formula>
    </cfRule>
    <cfRule type="expression" dxfId="4772" priority="55">
      <formula>AND(B$9&gt;=8/24,B$9&lt;14/24)</formula>
    </cfRule>
    <cfRule type="expression" dxfId="4771" priority="56">
      <formula>B$9&lt;8/24</formula>
    </cfRule>
  </conditionalFormatting>
  <conditionalFormatting sqref="B48:AF48">
    <cfRule type="expression" dxfId="4770" priority="52">
      <formula>B48&gt;$AG48</formula>
    </cfRule>
  </conditionalFormatting>
  <conditionalFormatting sqref="B50:D50">
    <cfRule type="expression" dxfId="4769" priority="51">
      <formula>B50&gt;$AG50</formula>
    </cfRule>
  </conditionalFormatting>
  <conditionalFormatting sqref="B11:U11">
    <cfRule type="expression" dxfId="4768" priority="47">
      <formula>B$9&gt;=20/24</formula>
    </cfRule>
    <cfRule type="expression" dxfId="4767" priority="48">
      <formula>AND(B$9&gt;=14/24,B$9&lt;20/24)</formula>
    </cfRule>
    <cfRule type="expression" dxfId="4766" priority="49">
      <formula>AND(B$9&gt;=8/24,B$9&lt;14/24)</formula>
    </cfRule>
    <cfRule type="expression" dxfId="4765" priority="50">
      <formula>B$9&lt;8/24</formula>
    </cfRule>
  </conditionalFormatting>
  <conditionalFormatting sqref="B11:U11">
    <cfRule type="expression" dxfId="4764" priority="46">
      <formula>B11&gt;$AG11</formula>
    </cfRule>
  </conditionalFormatting>
  <conditionalFormatting sqref="B18:U18">
    <cfRule type="expression" dxfId="4763" priority="42">
      <formula>B$9&gt;=20/24</formula>
    </cfRule>
    <cfRule type="expression" dxfId="4762" priority="43">
      <formula>AND(B$9&gt;=14/24,B$9&lt;20/24)</formula>
    </cfRule>
    <cfRule type="expression" dxfId="4761" priority="44">
      <formula>AND(B$9&gt;=8/24,B$9&lt;14/24)</formula>
    </cfRule>
    <cfRule type="expression" dxfId="4760" priority="45">
      <formula>B$9&lt;8/24</formula>
    </cfRule>
  </conditionalFormatting>
  <conditionalFormatting sqref="B18:U18">
    <cfRule type="expression" dxfId="4759" priority="41">
      <formula>B18&gt;$AG18</formula>
    </cfRule>
  </conditionalFormatting>
  <conditionalFormatting sqref="B35:AF35">
    <cfRule type="expression" dxfId="4758" priority="37">
      <formula>B$9&gt;=20/24</formula>
    </cfRule>
    <cfRule type="expression" dxfId="4757" priority="38">
      <formula>AND(B$9&gt;=14/24,B$9&lt;20/24)</formula>
    </cfRule>
    <cfRule type="expression" dxfId="4756" priority="39">
      <formula>AND(B$9&gt;=8/24,B$9&lt;14/24)</formula>
    </cfRule>
    <cfRule type="expression" dxfId="4755" priority="40">
      <formula>B$9&lt;8/24</formula>
    </cfRule>
  </conditionalFormatting>
  <conditionalFormatting sqref="B35:AF35">
    <cfRule type="expression" dxfId="4754" priority="36">
      <formula>B35&gt;$AG35</formula>
    </cfRule>
  </conditionalFormatting>
  <conditionalFormatting sqref="B46:AF46">
    <cfRule type="expression" dxfId="4753" priority="35">
      <formula>B46&gt;$AG46</formula>
    </cfRule>
  </conditionalFormatting>
  <conditionalFormatting sqref="B46:AF46">
    <cfRule type="expression" dxfId="4752" priority="31">
      <formula>B$9&gt;=20/24</formula>
    </cfRule>
    <cfRule type="expression" dxfId="4751" priority="32">
      <formula>AND(B$9&gt;=14/24,B$9&lt;20/24)</formula>
    </cfRule>
    <cfRule type="expression" dxfId="4750" priority="33">
      <formula>AND(B$9&gt;=8/24,B$9&lt;14/24)</formula>
    </cfRule>
    <cfRule type="expression" dxfId="4749" priority="34">
      <formula>B$9&lt;8/24</formula>
    </cfRule>
  </conditionalFormatting>
  <conditionalFormatting sqref="AF55:AF59">
    <cfRule type="expression" dxfId="4748" priority="23">
      <formula>AF$9&gt;=20/24</formula>
    </cfRule>
    <cfRule type="expression" dxfId="4747" priority="24">
      <formula>AND(AF$9&gt;=14/24,AF$9&lt;20/24)</formula>
    </cfRule>
    <cfRule type="expression" dxfId="4746" priority="25">
      <formula>AND(AF$9&gt;=8/24,AF$9&lt;14/24)</formula>
    </cfRule>
    <cfRule type="expression" dxfId="4745" priority="26">
      <formula>AF$9&lt;8/24</formula>
    </cfRule>
  </conditionalFormatting>
  <conditionalFormatting sqref="AF55:AF59">
    <cfRule type="expression" dxfId="4744" priority="22">
      <formula>AF55&gt;$AG55</formula>
    </cfRule>
  </conditionalFormatting>
  <conditionalFormatting sqref="AF76:AF83">
    <cfRule type="expression" dxfId="4743" priority="5">
      <formula>AF$9&gt;=20/24</formula>
    </cfRule>
    <cfRule type="expression" dxfId="4742" priority="6">
      <formula>AND(AF$9&gt;=14/24,AF$9&lt;20/24)</formula>
    </cfRule>
    <cfRule type="expression" dxfId="4741" priority="7">
      <formula>AND(AF$9&gt;=8/24,AF$9&lt;14/24)</formula>
    </cfRule>
    <cfRule type="expression" dxfId="4740" priority="8">
      <formula>AF$9&lt;8/24</formula>
    </cfRule>
  </conditionalFormatting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B1C7-E41C-4C9B-89E5-5A891E967314}">
  <dimension ref="A1:CJ281"/>
  <sheetViews>
    <sheetView workbookViewId="0">
      <pane xSplit="1" ySplit="10" topLeftCell="I109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J129" sqref="AJ12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2080/03/30</v>
      </c>
      <c r="C4" s="187"/>
      <c r="D4" s="187"/>
      <c r="E4" s="188" t="str">
        <f ca="1">"2079/"&amp;"12/"&amp;INT(MID(CELL("filename",G6),FIND("]",CELL("filename",G6))+1,200))</f>
        <v>2079/12/30</v>
      </c>
      <c r="F4" s="188"/>
      <c r="G4" s="188"/>
      <c r="H4" s="188" t="str">
        <f ca="1">TEXT(E4,"dddd")</f>
        <v>Saturday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18.399999999999999</v>
      </c>
      <c r="C5" s="30">
        <f t="shared" si="0"/>
        <v>21.2</v>
      </c>
      <c r="D5" s="30">
        <f t="shared" si="0"/>
        <v>23.2</v>
      </c>
      <c r="E5" s="30">
        <f t="shared" si="0"/>
        <v>13.9</v>
      </c>
      <c r="F5" s="30">
        <f t="shared" si="0"/>
        <v>14.3</v>
      </c>
      <c r="G5" s="30">
        <f t="shared" si="0"/>
        <v>3.8</v>
      </c>
      <c r="H5" s="30">
        <f t="shared" si="0"/>
        <v>5.5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10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55</v>
      </c>
      <c r="S5" s="30">
        <f t="shared" si="0"/>
        <v>50.128999999999998</v>
      </c>
      <c r="T5" s="30">
        <f t="shared" si="0"/>
        <v>49.935000000000002</v>
      </c>
      <c r="U5" s="30">
        <f t="shared" si="0"/>
        <v>14.3</v>
      </c>
      <c r="V5" s="30">
        <f t="shared" si="0"/>
        <v>14.3</v>
      </c>
      <c r="W5" s="30">
        <f t="shared" si="0"/>
        <v>14.3</v>
      </c>
      <c r="X5" s="30">
        <f t="shared" si="0"/>
        <v>0</v>
      </c>
      <c r="Y5" s="30">
        <f t="shared" si="0"/>
        <v>12</v>
      </c>
      <c r="Z5" s="30">
        <f t="shared" si="0"/>
        <v>30.1</v>
      </c>
      <c r="AA5" s="30">
        <f t="shared" si="0"/>
        <v>23.2</v>
      </c>
      <c r="AB5" s="30">
        <f t="shared" si="0"/>
        <v>29.1</v>
      </c>
      <c r="AC5" s="30">
        <f t="shared" si="0"/>
        <v>33</v>
      </c>
      <c r="AD5" s="30">
        <f t="shared" si="0"/>
        <v>32</v>
      </c>
      <c r="AE5" s="30">
        <f t="shared" si="0"/>
        <v>33.5</v>
      </c>
      <c r="AF5" s="30">
        <f>B84</f>
        <v>20.7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1870MW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Load=1125</v>
      </c>
      <c r="B7" s="35">
        <f t="shared" ref="B7:AF7" si="1">B91</f>
        <v>1907.02</v>
      </c>
      <c r="C7" s="35">
        <f t="shared" si="1"/>
        <v>1913.42</v>
      </c>
      <c r="D7" s="35">
        <f t="shared" si="1"/>
        <v>1903.7200000000003</v>
      </c>
      <c r="E7" s="35">
        <f t="shared" si="1"/>
        <v>1792.92</v>
      </c>
      <c r="F7" s="35">
        <f t="shared" si="1"/>
        <v>1771.1200000000001</v>
      </c>
      <c r="G7" s="35">
        <f t="shared" si="1"/>
        <v>1777.82</v>
      </c>
      <c r="H7" s="35">
        <f t="shared" si="1"/>
        <v>1841.4199999999998</v>
      </c>
      <c r="I7" s="35">
        <f t="shared" si="1"/>
        <v>1848.12</v>
      </c>
      <c r="J7" s="35">
        <f t="shared" si="1"/>
        <v>1821.52</v>
      </c>
      <c r="K7" s="35">
        <f t="shared" si="1"/>
        <v>1821.52</v>
      </c>
      <c r="L7" s="35">
        <f t="shared" si="1"/>
        <v>1869.02</v>
      </c>
      <c r="M7" s="35">
        <f t="shared" si="1"/>
        <v>1869.6200000000001</v>
      </c>
      <c r="N7" s="35">
        <f>N91</f>
        <v>1840.0200000000002</v>
      </c>
      <c r="O7" s="35">
        <f t="shared" si="1"/>
        <v>1902.22</v>
      </c>
      <c r="P7" s="35">
        <f t="shared" si="1"/>
        <v>1884.32</v>
      </c>
      <c r="Q7" s="35">
        <f t="shared" si="1"/>
        <v>1782.8200000000002</v>
      </c>
      <c r="R7" s="35">
        <f t="shared" si="1"/>
        <v>1774.8200000000002</v>
      </c>
      <c r="S7" s="35">
        <f t="shared" si="1"/>
        <v>1124.54</v>
      </c>
      <c r="T7" s="35">
        <f t="shared" si="1"/>
        <v>1870.8689999999999</v>
      </c>
      <c r="U7" s="35">
        <f t="shared" si="1"/>
        <v>1927.9749999999997</v>
      </c>
      <c r="V7" s="35">
        <f t="shared" si="1"/>
        <v>1892.3399999999997</v>
      </c>
      <c r="W7" s="35">
        <f t="shared" si="1"/>
        <v>1881.0399999999997</v>
      </c>
      <c r="X7" s="35">
        <f t="shared" si="1"/>
        <v>1865.84</v>
      </c>
      <c r="Y7" s="35">
        <f t="shared" si="1"/>
        <v>1845.6399999999999</v>
      </c>
      <c r="Z7" s="35">
        <f t="shared" si="1"/>
        <v>1937.54</v>
      </c>
      <c r="AA7" s="35">
        <f t="shared" si="1"/>
        <v>2021.1389999999997</v>
      </c>
      <c r="AB7" s="35">
        <f t="shared" si="1"/>
        <v>2093.4389999999994</v>
      </c>
      <c r="AC7" s="35">
        <f t="shared" si="1"/>
        <v>2117.739</v>
      </c>
      <c r="AD7" s="35">
        <f t="shared" si="1"/>
        <v>2065.2389999999996</v>
      </c>
      <c r="AE7" s="35">
        <f t="shared" si="1"/>
        <v>2031.9389999999999</v>
      </c>
      <c r="AF7" s="35">
        <f t="shared" si="1"/>
        <v>1993.24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86.5</v>
      </c>
      <c r="C11" s="45">
        <v>86.4</v>
      </c>
      <c r="D11" s="45">
        <v>86.4</v>
      </c>
      <c r="E11" s="45">
        <v>45</v>
      </c>
      <c r="F11" s="45">
        <v>0</v>
      </c>
      <c r="G11" s="45">
        <v>0</v>
      </c>
      <c r="H11" s="45">
        <v>70</v>
      </c>
      <c r="I11" s="45">
        <v>70</v>
      </c>
      <c r="J11" s="45">
        <v>70</v>
      </c>
      <c r="K11" s="45">
        <v>70</v>
      </c>
      <c r="L11" s="45">
        <v>70.7</v>
      </c>
      <c r="M11" s="45">
        <v>72</v>
      </c>
      <c r="N11" s="45">
        <v>72</v>
      </c>
      <c r="O11" s="45">
        <v>72</v>
      </c>
      <c r="P11" s="45">
        <v>74.900000000000006</v>
      </c>
      <c r="Q11" s="45">
        <v>86</v>
      </c>
      <c r="R11" s="45">
        <v>86</v>
      </c>
      <c r="S11" s="45">
        <v>59.1</v>
      </c>
      <c r="T11" s="45">
        <v>86.5</v>
      </c>
      <c r="U11" s="45">
        <v>81.599999999999994</v>
      </c>
      <c r="V11" s="45">
        <v>81.599999999999994</v>
      </c>
      <c r="W11" s="45">
        <v>81.599999999999994</v>
      </c>
      <c r="X11" s="45">
        <v>81.599999999999994</v>
      </c>
      <c r="Y11" s="45">
        <v>81.599999999999994</v>
      </c>
      <c r="Z11" s="45">
        <v>81.599999999999994</v>
      </c>
      <c r="AA11" s="45">
        <v>81.599999999999994</v>
      </c>
      <c r="AB11" s="45">
        <v>90.4</v>
      </c>
      <c r="AC11" s="45">
        <v>90.4</v>
      </c>
      <c r="AD11" s="45">
        <v>90.4</v>
      </c>
      <c r="AE11" s="45">
        <v>90.4</v>
      </c>
      <c r="AF11" s="45">
        <v>85.5</v>
      </c>
      <c r="AG11" s="46">
        <v>86</v>
      </c>
      <c r="AH11" s="47">
        <f t="shared" ref="AH11:AH76" si="2">MAX(B11:AF11)</f>
        <v>90.4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26.5</v>
      </c>
      <c r="C12" s="45">
        <v>26.5</v>
      </c>
      <c r="D12" s="45">
        <v>26.5</v>
      </c>
      <c r="E12" s="45">
        <v>26.5</v>
      </c>
      <c r="F12" s="45">
        <v>10.8</v>
      </c>
      <c r="G12" s="45">
        <v>10.8</v>
      </c>
      <c r="H12" s="45">
        <v>10.8</v>
      </c>
      <c r="I12" s="45">
        <v>10.8</v>
      </c>
      <c r="J12" s="45">
        <v>0</v>
      </c>
      <c r="K12" s="45">
        <v>0</v>
      </c>
      <c r="L12" s="45">
        <v>10.8</v>
      </c>
      <c r="M12" s="45">
        <v>10.8</v>
      </c>
      <c r="N12" s="45">
        <v>0</v>
      </c>
      <c r="O12" s="45">
        <v>10.8</v>
      </c>
      <c r="P12" s="45">
        <v>0</v>
      </c>
      <c r="Q12" s="45">
        <v>15</v>
      </c>
      <c r="R12" s="45">
        <v>10</v>
      </c>
      <c r="S12" s="45">
        <v>0</v>
      </c>
      <c r="T12" s="45">
        <v>26.5</v>
      </c>
      <c r="U12" s="45">
        <v>10.8</v>
      </c>
      <c r="V12" s="45">
        <v>10.8</v>
      </c>
      <c r="W12" s="45">
        <v>10.8</v>
      </c>
      <c r="X12" s="45">
        <v>10.8</v>
      </c>
      <c r="Y12" s="45">
        <v>10.8</v>
      </c>
      <c r="Z12" s="45">
        <v>26.5</v>
      </c>
      <c r="AA12" s="45">
        <v>26.5</v>
      </c>
      <c r="AB12" s="45">
        <v>26.5</v>
      </c>
      <c r="AC12" s="45">
        <v>26.5</v>
      </c>
      <c r="AD12" s="45">
        <v>26.5</v>
      </c>
      <c r="AE12" s="45">
        <v>26.5</v>
      </c>
      <c r="AF12" s="45">
        <v>16</v>
      </c>
      <c r="AG12" s="49">
        <v>54</v>
      </c>
      <c r="AH12" s="47">
        <f t="shared" si="2"/>
        <v>26.5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55.1</v>
      </c>
      <c r="C13" s="45">
        <v>55.1</v>
      </c>
      <c r="D13" s="45">
        <v>54.9</v>
      </c>
      <c r="E13" s="45">
        <v>54.9</v>
      </c>
      <c r="F13" s="45">
        <v>54.9</v>
      </c>
      <c r="G13" s="45">
        <v>54.9</v>
      </c>
      <c r="H13" s="45">
        <v>54.9</v>
      </c>
      <c r="I13" s="45">
        <v>54.9</v>
      </c>
      <c r="J13" s="45">
        <v>54.9</v>
      </c>
      <c r="K13" s="45">
        <v>54.9</v>
      </c>
      <c r="L13" s="45">
        <v>54.9</v>
      </c>
      <c r="M13" s="45">
        <v>54.9</v>
      </c>
      <c r="N13" s="45">
        <v>54.9</v>
      </c>
      <c r="O13" s="45">
        <v>54.9</v>
      </c>
      <c r="P13" s="45">
        <v>54.9</v>
      </c>
      <c r="Q13" s="45">
        <v>54.9</v>
      </c>
      <c r="R13" s="45">
        <v>54.9</v>
      </c>
      <c r="S13" s="45">
        <v>54.6</v>
      </c>
      <c r="T13" s="45">
        <v>54.9</v>
      </c>
      <c r="U13" s="45">
        <v>54.8</v>
      </c>
      <c r="V13" s="45">
        <v>54.8</v>
      </c>
      <c r="W13" s="45">
        <v>54.8</v>
      </c>
      <c r="X13" s="45">
        <v>54.8</v>
      </c>
      <c r="Y13" s="45">
        <v>54.8</v>
      </c>
      <c r="Z13" s="45">
        <v>54.9</v>
      </c>
      <c r="AA13" s="45">
        <v>54.999000000000002</v>
      </c>
      <c r="AB13" s="45">
        <v>54.999000000000002</v>
      </c>
      <c r="AC13" s="45">
        <v>54.999000000000002</v>
      </c>
      <c r="AD13" s="45">
        <v>54.999000000000002</v>
      </c>
      <c r="AE13" s="45">
        <v>54.999000000000002</v>
      </c>
      <c r="AF13" s="45">
        <v>55.9</v>
      </c>
      <c r="AG13" s="46">
        <v>52.4</v>
      </c>
      <c r="AH13" s="47">
        <f t="shared" si="2"/>
        <v>55.9</v>
      </c>
      <c r="AI13" s="48">
        <f t="shared" si="3"/>
        <v>54.6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45">
        <v>50.4</v>
      </c>
      <c r="C14" s="45">
        <v>50.2</v>
      </c>
      <c r="D14" s="45">
        <v>50.4</v>
      </c>
      <c r="E14" s="45">
        <v>50.4</v>
      </c>
      <c r="F14" s="45">
        <v>50.4</v>
      </c>
      <c r="G14" s="45">
        <v>50.4</v>
      </c>
      <c r="H14" s="45">
        <v>50.4</v>
      </c>
      <c r="I14" s="45">
        <v>50.4</v>
      </c>
      <c r="J14" s="45">
        <v>50.4</v>
      </c>
      <c r="K14" s="45">
        <v>50.4</v>
      </c>
      <c r="L14" s="45">
        <v>50.4</v>
      </c>
      <c r="M14" s="45">
        <v>50.4</v>
      </c>
      <c r="N14" s="45">
        <v>50.4</v>
      </c>
      <c r="O14" s="45">
        <v>50.4</v>
      </c>
      <c r="P14" s="45">
        <v>50.4</v>
      </c>
      <c r="Q14" s="45">
        <v>50.4</v>
      </c>
      <c r="R14" s="45">
        <v>50.4</v>
      </c>
      <c r="S14" s="50">
        <v>0</v>
      </c>
      <c r="T14" s="50">
        <v>50.9</v>
      </c>
      <c r="U14" s="50">
        <v>50.7</v>
      </c>
      <c r="V14" s="50">
        <v>50.7</v>
      </c>
      <c r="W14" s="50">
        <v>50.7</v>
      </c>
      <c r="X14" s="50">
        <v>50.7</v>
      </c>
      <c r="Y14" s="50">
        <v>50.7</v>
      </c>
      <c r="Z14" s="45">
        <v>50.6</v>
      </c>
      <c r="AA14" s="45">
        <v>50.2</v>
      </c>
      <c r="AB14" s="45">
        <v>50.2</v>
      </c>
      <c r="AC14" s="45">
        <v>50.2</v>
      </c>
      <c r="AD14" s="45">
        <v>50.2</v>
      </c>
      <c r="AE14" s="45">
        <v>50.2</v>
      </c>
      <c r="AF14" s="45">
        <v>50.3</v>
      </c>
      <c r="AG14" s="49">
        <v>50</v>
      </c>
      <c r="AH14" s="47">
        <f t="shared" si="2"/>
        <v>50.9</v>
      </c>
      <c r="AI14" s="48">
        <f t="shared" si="3"/>
        <v>0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45.7</v>
      </c>
      <c r="C15" s="45">
        <v>45.8</v>
      </c>
      <c r="D15" s="45">
        <v>45.8</v>
      </c>
      <c r="E15" s="45">
        <v>45.8</v>
      </c>
      <c r="F15" s="45">
        <v>45.8</v>
      </c>
      <c r="G15" s="45">
        <v>45.8</v>
      </c>
      <c r="H15" s="45">
        <v>45.8</v>
      </c>
      <c r="I15" s="45">
        <v>45.8</v>
      </c>
      <c r="J15" s="45">
        <v>45.8</v>
      </c>
      <c r="K15" s="45">
        <v>45.8</v>
      </c>
      <c r="L15" s="45">
        <v>45.8</v>
      </c>
      <c r="M15" s="45">
        <v>45.8</v>
      </c>
      <c r="N15" s="45">
        <v>45.8</v>
      </c>
      <c r="O15" s="45">
        <v>45.8</v>
      </c>
      <c r="P15" s="45">
        <v>45.8</v>
      </c>
      <c r="Q15" s="45">
        <v>45.8</v>
      </c>
      <c r="R15" s="45">
        <v>45.8</v>
      </c>
      <c r="S15" s="45">
        <v>0</v>
      </c>
      <c r="T15" s="45">
        <v>46.1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46</v>
      </c>
      <c r="AB15" s="45">
        <v>46</v>
      </c>
      <c r="AC15" s="45">
        <v>46</v>
      </c>
      <c r="AD15" s="45">
        <v>46</v>
      </c>
      <c r="AE15" s="45">
        <v>46</v>
      </c>
      <c r="AF15" s="45">
        <v>46</v>
      </c>
      <c r="AG15" s="49">
        <v>45</v>
      </c>
      <c r="AH15" s="47">
        <f t="shared" si="2"/>
        <v>46.1</v>
      </c>
      <c r="AI15" s="48">
        <f t="shared" si="3"/>
        <v>0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0</v>
      </c>
      <c r="C16" s="45">
        <v>44</v>
      </c>
      <c r="D16" s="45">
        <v>30</v>
      </c>
      <c r="E16" s="45">
        <v>30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0</v>
      </c>
      <c r="M16" s="45">
        <v>0</v>
      </c>
      <c r="N16" s="45">
        <v>0</v>
      </c>
      <c r="O16" s="45">
        <v>44</v>
      </c>
      <c r="P16" s="45">
        <v>44</v>
      </c>
      <c r="Q16" s="45">
        <v>44</v>
      </c>
      <c r="R16" s="45">
        <v>44</v>
      </c>
      <c r="S16" s="45">
        <v>0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0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30.5</v>
      </c>
      <c r="C17" s="45">
        <v>30.5</v>
      </c>
      <c r="D17" s="45">
        <v>38.9</v>
      </c>
      <c r="E17" s="45">
        <v>38.9</v>
      </c>
      <c r="F17" s="45">
        <v>31</v>
      </c>
      <c r="G17" s="45">
        <v>31</v>
      </c>
      <c r="H17" s="45">
        <v>31</v>
      </c>
      <c r="I17" s="45">
        <v>31</v>
      </c>
      <c r="J17" s="45">
        <v>31</v>
      </c>
      <c r="K17" s="45">
        <v>31</v>
      </c>
      <c r="L17" s="45">
        <v>36</v>
      </c>
      <c r="M17" s="45">
        <v>36</v>
      </c>
      <c r="N17" s="45">
        <v>36</v>
      </c>
      <c r="O17" s="45">
        <v>31</v>
      </c>
      <c r="P17" s="45">
        <v>31</v>
      </c>
      <c r="Q17" s="45">
        <v>31</v>
      </c>
      <c r="R17" s="45">
        <v>31</v>
      </c>
      <c r="S17" s="45">
        <v>0</v>
      </c>
      <c r="T17" s="45">
        <v>30</v>
      </c>
      <c r="U17" s="45">
        <v>32</v>
      </c>
      <c r="V17" s="45">
        <v>32</v>
      </c>
      <c r="W17" s="45">
        <v>32</v>
      </c>
      <c r="X17" s="45">
        <v>32</v>
      </c>
      <c r="Y17" s="45">
        <v>32</v>
      </c>
      <c r="Z17" s="45">
        <v>39</v>
      </c>
      <c r="AA17" s="45">
        <v>39</v>
      </c>
      <c r="AB17" s="45">
        <v>39</v>
      </c>
      <c r="AC17" s="45">
        <v>36</v>
      </c>
      <c r="AD17" s="45">
        <v>32</v>
      </c>
      <c r="AE17" s="45">
        <v>32</v>
      </c>
      <c r="AF17" s="45">
        <v>28</v>
      </c>
      <c r="AG17" s="49">
        <v>42</v>
      </c>
      <c r="AH17" s="47">
        <f t="shared" si="2"/>
        <v>39</v>
      </c>
      <c r="AI17" s="48">
        <f t="shared" si="3"/>
        <v>0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36</v>
      </c>
      <c r="C19" s="45">
        <v>36</v>
      </c>
      <c r="D19" s="45">
        <v>36</v>
      </c>
      <c r="E19" s="45">
        <v>36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0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29.8</v>
      </c>
      <c r="C20" s="45">
        <v>18</v>
      </c>
      <c r="D20" s="45">
        <v>29.9</v>
      </c>
      <c r="E20" s="45">
        <v>15</v>
      </c>
      <c r="F20" s="45">
        <v>6</v>
      </c>
      <c r="G20" s="45">
        <v>6</v>
      </c>
      <c r="H20" s="45">
        <v>6</v>
      </c>
      <c r="I20" s="45">
        <v>6</v>
      </c>
      <c r="J20" s="45">
        <v>0</v>
      </c>
      <c r="K20" s="45">
        <v>0</v>
      </c>
      <c r="L20" s="45">
        <v>6</v>
      </c>
      <c r="M20" s="45">
        <v>6</v>
      </c>
      <c r="N20" s="45">
        <v>0</v>
      </c>
      <c r="O20" s="45">
        <v>0</v>
      </c>
      <c r="P20" s="45">
        <v>0</v>
      </c>
      <c r="Q20" s="45">
        <v>15</v>
      </c>
      <c r="R20" s="45">
        <v>15</v>
      </c>
      <c r="S20" s="45">
        <v>0</v>
      </c>
      <c r="T20" s="45">
        <v>15</v>
      </c>
      <c r="U20" s="45">
        <v>6</v>
      </c>
      <c r="V20" s="45">
        <v>6</v>
      </c>
      <c r="W20" s="45">
        <v>6</v>
      </c>
      <c r="X20" s="45">
        <v>6</v>
      </c>
      <c r="Y20" s="45">
        <v>6</v>
      </c>
      <c r="Z20" s="45">
        <v>15</v>
      </c>
      <c r="AA20" s="45">
        <v>15</v>
      </c>
      <c r="AB20" s="45">
        <v>15</v>
      </c>
      <c r="AC20" s="45">
        <v>15</v>
      </c>
      <c r="AD20" s="45">
        <v>15</v>
      </c>
      <c r="AE20" s="45">
        <v>15</v>
      </c>
      <c r="AF20" s="45">
        <v>9</v>
      </c>
      <c r="AG20" s="51">
        <v>30</v>
      </c>
      <c r="AH20" s="47">
        <f t="shared" si="2"/>
        <v>29.9</v>
      </c>
      <c r="AI20" s="48">
        <f t="shared" si="3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20.9</v>
      </c>
      <c r="C21" s="45">
        <v>20.9</v>
      </c>
      <c r="D21" s="45">
        <v>20.9</v>
      </c>
      <c r="E21" s="45">
        <v>20.9</v>
      </c>
      <c r="F21" s="45">
        <v>20.9</v>
      </c>
      <c r="G21" s="45">
        <v>20.9</v>
      </c>
      <c r="H21" s="45">
        <v>20.9</v>
      </c>
      <c r="I21" s="45">
        <v>20.9</v>
      </c>
      <c r="J21" s="45">
        <v>20.9</v>
      </c>
      <c r="K21" s="45">
        <v>20.9</v>
      </c>
      <c r="L21" s="45">
        <v>20.9</v>
      </c>
      <c r="M21" s="45">
        <v>20.9</v>
      </c>
      <c r="N21" s="45">
        <v>20.9</v>
      </c>
      <c r="O21" s="45">
        <v>20.9</v>
      </c>
      <c r="P21" s="45">
        <v>20.9</v>
      </c>
      <c r="Q21" s="45">
        <v>20.9</v>
      </c>
      <c r="R21" s="45">
        <v>20.9</v>
      </c>
      <c r="S21" s="45">
        <v>25.7</v>
      </c>
      <c r="T21" s="45">
        <v>20.8</v>
      </c>
      <c r="U21" s="45">
        <v>14.2</v>
      </c>
      <c r="V21" s="45">
        <v>14.2</v>
      </c>
      <c r="W21" s="45">
        <v>0</v>
      </c>
      <c r="X21" s="45">
        <v>0</v>
      </c>
      <c r="Y21" s="45">
        <v>0</v>
      </c>
      <c r="Z21" s="45">
        <v>24.7</v>
      </c>
      <c r="AA21" s="45">
        <v>33</v>
      </c>
      <c r="AB21" s="45">
        <v>24.8</v>
      </c>
      <c r="AC21" s="45">
        <v>24.8</v>
      </c>
      <c r="AD21" s="45">
        <v>24.8</v>
      </c>
      <c r="AE21" s="45">
        <v>24.8</v>
      </c>
      <c r="AF21" s="45">
        <v>24.8</v>
      </c>
      <c r="AG21" s="49">
        <v>24.2</v>
      </c>
      <c r="AH21" s="47">
        <f t="shared" si="2"/>
        <v>33</v>
      </c>
      <c r="AI21" s="48">
        <f t="shared" si="3"/>
        <v>0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21.2</v>
      </c>
      <c r="C22" s="45">
        <v>21</v>
      </c>
      <c r="D22" s="45">
        <v>21</v>
      </c>
      <c r="E22" s="45">
        <v>0</v>
      </c>
      <c r="F22" s="45">
        <v>20.8</v>
      </c>
      <c r="G22" s="45">
        <v>20.8</v>
      </c>
      <c r="H22" s="45">
        <v>20.8</v>
      </c>
      <c r="I22" s="45">
        <v>20.8</v>
      </c>
      <c r="J22" s="45">
        <v>20.8</v>
      </c>
      <c r="K22" s="45">
        <v>20.8</v>
      </c>
      <c r="L22" s="45">
        <v>0</v>
      </c>
      <c r="M22" s="45">
        <v>14.7</v>
      </c>
      <c r="N22" s="45">
        <v>14.7</v>
      </c>
      <c r="O22" s="45">
        <v>14.7</v>
      </c>
      <c r="P22" s="45">
        <v>14.7</v>
      </c>
      <c r="Q22" s="45">
        <v>14.7</v>
      </c>
      <c r="R22" s="45">
        <v>14.7</v>
      </c>
      <c r="S22" s="45">
        <v>15.4</v>
      </c>
      <c r="T22" s="45">
        <v>15.4</v>
      </c>
      <c r="U22" s="45">
        <v>15.2</v>
      </c>
      <c r="V22" s="45">
        <v>15.2</v>
      </c>
      <c r="W22" s="45">
        <v>15.2</v>
      </c>
      <c r="X22" s="45">
        <v>0</v>
      </c>
      <c r="Y22" s="45">
        <v>0</v>
      </c>
      <c r="Z22" s="45">
        <v>0</v>
      </c>
      <c r="AA22" s="45">
        <v>0</v>
      </c>
      <c r="AB22" s="45">
        <v>14</v>
      </c>
      <c r="AC22" s="45">
        <v>14</v>
      </c>
      <c r="AD22" s="45">
        <v>14</v>
      </c>
      <c r="AE22" s="45">
        <v>14</v>
      </c>
      <c r="AF22" s="45">
        <v>15.3</v>
      </c>
      <c r="AG22" s="49">
        <v>28</v>
      </c>
      <c r="AH22" s="47">
        <f t="shared" si="2"/>
        <v>21.2</v>
      </c>
      <c r="AI22" s="48">
        <f t="shared" si="3"/>
        <v>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9</v>
      </c>
      <c r="C23" s="45">
        <v>9</v>
      </c>
      <c r="D23" s="45">
        <v>9</v>
      </c>
      <c r="E23" s="45">
        <v>9</v>
      </c>
      <c r="F23" s="45">
        <v>5.4</v>
      </c>
      <c r="G23" s="45">
        <v>5.4</v>
      </c>
      <c r="H23" s="45">
        <v>5.4</v>
      </c>
      <c r="I23" s="45">
        <v>5.4</v>
      </c>
      <c r="J23" s="45">
        <v>0</v>
      </c>
      <c r="K23" s="45">
        <v>0</v>
      </c>
      <c r="L23" s="45">
        <v>5.4</v>
      </c>
      <c r="M23" s="45">
        <v>5.4</v>
      </c>
      <c r="N23" s="45">
        <v>0</v>
      </c>
      <c r="O23" s="45">
        <v>0</v>
      </c>
      <c r="P23" s="45">
        <v>0</v>
      </c>
      <c r="Q23" s="45">
        <v>5</v>
      </c>
      <c r="R23" s="45">
        <v>5</v>
      </c>
      <c r="S23" s="45">
        <v>0</v>
      </c>
      <c r="T23" s="45">
        <v>9</v>
      </c>
      <c r="U23" s="45">
        <v>5.4</v>
      </c>
      <c r="V23" s="45">
        <v>5.4</v>
      </c>
      <c r="W23" s="45">
        <v>5.4</v>
      </c>
      <c r="X23" s="45">
        <v>5.4</v>
      </c>
      <c r="Y23" s="45">
        <v>5.4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8</v>
      </c>
      <c r="AG23" s="51">
        <v>30</v>
      </c>
      <c r="AH23" s="47">
        <f t="shared" si="2"/>
        <v>9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25.9</v>
      </c>
      <c r="C24" s="45">
        <v>26</v>
      </c>
      <c r="D24" s="45">
        <v>26</v>
      </c>
      <c r="E24" s="45">
        <v>26</v>
      </c>
      <c r="F24" s="45">
        <v>26</v>
      </c>
      <c r="G24" s="45">
        <v>26</v>
      </c>
      <c r="H24" s="45">
        <v>26</v>
      </c>
      <c r="I24" s="45">
        <v>26</v>
      </c>
      <c r="J24" s="45">
        <v>26</v>
      </c>
      <c r="K24" s="45">
        <v>26</v>
      </c>
      <c r="L24" s="45">
        <v>26</v>
      </c>
      <c r="M24" s="45">
        <v>26</v>
      </c>
      <c r="N24" s="45">
        <v>26</v>
      </c>
      <c r="O24" s="45">
        <v>26</v>
      </c>
      <c r="P24" s="45">
        <v>26</v>
      </c>
      <c r="Q24" s="45">
        <v>26</v>
      </c>
      <c r="R24" s="45">
        <v>26</v>
      </c>
      <c r="S24" s="45">
        <v>0</v>
      </c>
      <c r="T24" s="45">
        <v>24.5</v>
      </c>
      <c r="U24" s="45">
        <v>24.7</v>
      </c>
      <c r="V24" s="45">
        <v>24.7</v>
      </c>
      <c r="W24" s="45">
        <v>24.7</v>
      </c>
      <c r="X24" s="45">
        <v>24.7</v>
      </c>
      <c r="Y24" s="45">
        <v>24.7</v>
      </c>
      <c r="Z24" s="45">
        <v>25.9</v>
      </c>
      <c r="AA24" s="45">
        <v>25.9</v>
      </c>
      <c r="AB24" s="45">
        <v>25.9</v>
      </c>
      <c r="AC24" s="45">
        <v>25.9</v>
      </c>
      <c r="AD24" s="45">
        <v>25.9</v>
      </c>
      <c r="AE24" s="45">
        <v>25.9</v>
      </c>
      <c r="AF24" s="45">
        <v>25.9</v>
      </c>
      <c r="AG24" s="49">
        <v>25</v>
      </c>
      <c r="AH24" s="47">
        <f t="shared" si="2"/>
        <v>26</v>
      </c>
      <c r="AI24" s="48">
        <f t="shared" si="3"/>
        <v>0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0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0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25</v>
      </c>
      <c r="C27" s="45">
        <v>15</v>
      </c>
      <c r="D27" s="45">
        <v>25</v>
      </c>
      <c r="E27" s="45">
        <v>12.5</v>
      </c>
      <c r="F27" s="45">
        <v>5</v>
      </c>
      <c r="G27" s="45">
        <v>5</v>
      </c>
      <c r="H27" s="45">
        <v>5</v>
      </c>
      <c r="I27" s="45">
        <v>5</v>
      </c>
      <c r="J27" s="45">
        <v>0</v>
      </c>
      <c r="K27" s="45">
        <v>0</v>
      </c>
      <c r="L27" s="45">
        <v>5</v>
      </c>
      <c r="M27" s="45">
        <v>5</v>
      </c>
      <c r="N27" s="45">
        <v>0</v>
      </c>
      <c r="O27" s="45">
        <v>0</v>
      </c>
      <c r="P27" s="45">
        <v>0</v>
      </c>
      <c r="Q27" s="45">
        <v>5</v>
      </c>
      <c r="R27" s="45">
        <v>5</v>
      </c>
      <c r="S27" s="45">
        <v>0</v>
      </c>
      <c r="T27" s="45">
        <v>10</v>
      </c>
      <c r="U27" s="45">
        <v>5</v>
      </c>
      <c r="V27" s="45">
        <v>5</v>
      </c>
      <c r="W27" s="45">
        <v>5</v>
      </c>
      <c r="X27" s="45">
        <v>5</v>
      </c>
      <c r="Y27" s="45">
        <v>5</v>
      </c>
      <c r="Z27" s="45">
        <v>12.5</v>
      </c>
      <c r="AA27" s="45">
        <v>15</v>
      </c>
      <c r="AB27" s="45">
        <v>25</v>
      </c>
      <c r="AC27" s="45">
        <v>25</v>
      </c>
      <c r="AD27" s="45">
        <v>25</v>
      </c>
      <c r="AE27" s="45">
        <v>25</v>
      </c>
      <c r="AF27" s="45">
        <v>7.5</v>
      </c>
      <c r="AG27" s="49">
        <v>25</v>
      </c>
      <c r="AH27" s="47">
        <f t="shared" si="2"/>
        <v>25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24.8</v>
      </c>
      <c r="C28" s="45">
        <v>15.3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24.8</v>
      </c>
      <c r="T28" s="45">
        <v>24.6</v>
      </c>
      <c r="U28" s="45">
        <v>24.6</v>
      </c>
      <c r="V28" s="45">
        <v>24.6</v>
      </c>
      <c r="W28" s="45">
        <v>24.6</v>
      </c>
      <c r="X28" s="45">
        <v>24.6</v>
      </c>
      <c r="Y28" s="45">
        <v>24.6</v>
      </c>
      <c r="Z28" s="45">
        <v>24</v>
      </c>
      <c r="AA28" s="45">
        <v>24.8</v>
      </c>
      <c r="AB28" s="45">
        <v>24.8</v>
      </c>
      <c r="AC28" s="45">
        <v>24.8</v>
      </c>
      <c r="AD28" s="45">
        <v>24.8</v>
      </c>
      <c r="AE28" s="45">
        <v>24.8</v>
      </c>
      <c r="AF28" s="45">
        <v>24.8</v>
      </c>
      <c r="AG28" s="49">
        <v>23.5</v>
      </c>
      <c r="AH28" s="47">
        <f t="shared" si="2"/>
        <v>24.8</v>
      </c>
      <c r="AI28" s="48">
        <f t="shared" si="3"/>
        <v>12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0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0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20</v>
      </c>
      <c r="C32" s="45">
        <v>12</v>
      </c>
      <c r="D32" s="45">
        <v>10.199999999999999</v>
      </c>
      <c r="E32" s="45">
        <v>10.199999999999999</v>
      </c>
      <c r="F32" s="45">
        <v>10.199999999999999</v>
      </c>
      <c r="G32" s="45">
        <v>10.199999999999999</v>
      </c>
      <c r="H32" s="45">
        <v>10.199999999999999</v>
      </c>
      <c r="I32" s="45">
        <v>10.199999999999999</v>
      </c>
      <c r="J32" s="45">
        <v>10.199999999999999</v>
      </c>
      <c r="K32" s="45">
        <v>10.199999999999999</v>
      </c>
      <c r="L32" s="45">
        <v>10.199999999999999</v>
      </c>
      <c r="M32" s="45">
        <v>10.199999999999999</v>
      </c>
      <c r="N32" s="45">
        <v>10.199999999999999</v>
      </c>
      <c r="O32" s="45">
        <v>10.199999999999999</v>
      </c>
      <c r="P32" s="45">
        <v>10.199999999999999</v>
      </c>
      <c r="Q32" s="45">
        <v>0</v>
      </c>
      <c r="R32" s="45">
        <v>0</v>
      </c>
      <c r="S32" s="45">
        <v>0</v>
      </c>
      <c r="T32" s="45">
        <v>22</v>
      </c>
      <c r="U32" s="45">
        <v>21.8</v>
      </c>
      <c r="V32" s="45">
        <v>21.8</v>
      </c>
      <c r="W32" s="45">
        <v>21.8</v>
      </c>
      <c r="X32" s="45">
        <v>21.8</v>
      </c>
      <c r="Y32" s="45">
        <v>21.8</v>
      </c>
      <c r="Z32" s="45">
        <v>24.1</v>
      </c>
      <c r="AA32" s="45">
        <v>24.1</v>
      </c>
      <c r="AB32" s="45">
        <v>25.1</v>
      </c>
      <c r="AC32" s="45">
        <v>25.1</v>
      </c>
      <c r="AD32" s="45">
        <v>25.1</v>
      </c>
      <c r="AE32" s="45">
        <v>25.1</v>
      </c>
      <c r="AF32" s="45">
        <v>26</v>
      </c>
      <c r="AG32" s="49">
        <v>22</v>
      </c>
      <c r="AH32" s="47">
        <f t="shared" si="2"/>
        <v>26</v>
      </c>
      <c r="AI32" s="48">
        <f t="shared" si="3"/>
        <v>0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10</v>
      </c>
      <c r="C33" s="45">
        <v>10</v>
      </c>
      <c r="D33" s="45">
        <v>10</v>
      </c>
      <c r="E33" s="45">
        <v>10</v>
      </c>
      <c r="F33" s="45">
        <v>10</v>
      </c>
      <c r="G33" s="45">
        <v>0</v>
      </c>
      <c r="H33" s="45">
        <v>0</v>
      </c>
      <c r="I33" s="45">
        <v>0</v>
      </c>
      <c r="J33" s="45">
        <v>0</v>
      </c>
      <c r="K33" s="45">
        <v>0</v>
      </c>
      <c r="L33" s="45">
        <v>0</v>
      </c>
      <c r="M33" s="45">
        <v>10</v>
      </c>
      <c r="N33" s="45">
        <v>10</v>
      </c>
      <c r="O33" s="45">
        <v>10</v>
      </c>
      <c r="P33" s="45">
        <v>10</v>
      </c>
      <c r="Q33" s="45">
        <v>10</v>
      </c>
      <c r="R33" s="45">
        <v>10</v>
      </c>
      <c r="S33" s="45">
        <v>0</v>
      </c>
      <c r="T33" s="45">
        <v>7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10</v>
      </c>
      <c r="AC33" s="45">
        <v>10</v>
      </c>
      <c r="AD33" s="45">
        <v>6</v>
      </c>
      <c r="AE33" s="45">
        <v>5</v>
      </c>
      <c r="AF33" s="45">
        <v>5</v>
      </c>
      <c r="AG33" s="49">
        <v>20</v>
      </c>
      <c r="AH33" s="47">
        <f t="shared" si="2"/>
        <v>10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5</v>
      </c>
      <c r="M34" s="45">
        <v>5</v>
      </c>
      <c r="N34" s="45">
        <v>5</v>
      </c>
      <c r="O34" s="45">
        <v>5</v>
      </c>
      <c r="P34" s="45">
        <v>5</v>
      </c>
      <c r="Q34" s="45">
        <v>5</v>
      </c>
      <c r="R34" s="45">
        <v>5</v>
      </c>
      <c r="S34" s="45">
        <v>0</v>
      </c>
      <c r="T34" s="45">
        <v>4</v>
      </c>
      <c r="U34" s="45">
        <v>4</v>
      </c>
      <c r="V34" s="45">
        <v>4</v>
      </c>
      <c r="W34" s="45">
        <v>4</v>
      </c>
      <c r="X34" s="45">
        <v>4</v>
      </c>
      <c r="Y34" s="45">
        <v>4</v>
      </c>
      <c r="Z34" s="45">
        <v>4</v>
      </c>
      <c r="AA34" s="45">
        <v>4</v>
      </c>
      <c r="AB34" s="45">
        <v>12</v>
      </c>
      <c r="AC34" s="45">
        <v>12</v>
      </c>
      <c r="AD34" s="45">
        <v>6</v>
      </c>
      <c r="AE34" s="45">
        <v>3</v>
      </c>
      <c r="AF34" s="45">
        <v>3</v>
      </c>
      <c r="AG34" s="49">
        <v>18</v>
      </c>
      <c r="AH34" s="47">
        <f t="shared" si="2"/>
        <v>12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</v>
      </c>
      <c r="C35" s="45">
        <v>15</v>
      </c>
      <c r="D35" s="45">
        <v>15</v>
      </c>
      <c r="E35" s="45">
        <v>0</v>
      </c>
      <c r="F35" s="45">
        <v>15</v>
      </c>
      <c r="G35" s="45">
        <v>15</v>
      </c>
      <c r="H35" s="45">
        <v>15</v>
      </c>
      <c r="I35" s="45">
        <v>15</v>
      </c>
      <c r="J35" s="45">
        <v>15</v>
      </c>
      <c r="K35" s="45">
        <v>15</v>
      </c>
      <c r="L35" s="45">
        <v>15</v>
      </c>
      <c r="M35" s="45">
        <v>15</v>
      </c>
      <c r="N35" s="45">
        <v>15</v>
      </c>
      <c r="O35" s="45">
        <v>15</v>
      </c>
      <c r="P35" s="45">
        <v>15</v>
      </c>
      <c r="Q35" s="45">
        <v>15</v>
      </c>
      <c r="R35" s="45">
        <v>15</v>
      </c>
      <c r="S35" s="45">
        <v>15.8</v>
      </c>
      <c r="T35" s="45">
        <v>15.8</v>
      </c>
      <c r="U35" s="45">
        <v>15.8</v>
      </c>
      <c r="V35" s="45">
        <v>15.8</v>
      </c>
      <c r="W35" s="45">
        <v>15.8</v>
      </c>
      <c r="X35" s="45">
        <v>15.8</v>
      </c>
      <c r="Y35" s="45">
        <v>15.8</v>
      </c>
      <c r="Z35" s="45">
        <v>15.8</v>
      </c>
      <c r="AA35" s="45">
        <v>15.8</v>
      </c>
      <c r="AB35" s="45">
        <v>15.8</v>
      </c>
      <c r="AC35" s="45">
        <v>15.8</v>
      </c>
      <c r="AD35" s="45">
        <v>15.8</v>
      </c>
      <c r="AE35" s="45">
        <v>15.8</v>
      </c>
      <c r="AF35" s="45">
        <v>15.8</v>
      </c>
      <c r="AG35" s="49">
        <v>14.9</v>
      </c>
      <c r="AH35" s="47">
        <f t="shared" si="2"/>
        <v>15.8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0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5</v>
      </c>
      <c r="AC37" s="45">
        <v>5</v>
      </c>
      <c r="AD37" s="45">
        <v>5</v>
      </c>
      <c r="AE37" s="45">
        <v>5</v>
      </c>
      <c r="AF37" s="45">
        <v>5</v>
      </c>
      <c r="AG37" s="49">
        <v>13.6</v>
      </c>
      <c r="AH37" s="47">
        <f t="shared" si="2"/>
        <v>5</v>
      </c>
      <c r="AI37" s="48">
        <f t="shared" si="3"/>
        <v>0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0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0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4</v>
      </c>
      <c r="C39" s="45">
        <v>4</v>
      </c>
      <c r="D39" s="45">
        <v>4</v>
      </c>
      <c r="E39" s="45">
        <v>6</v>
      </c>
      <c r="F39" s="45">
        <v>2.4</v>
      </c>
      <c r="G39" s="45">
        <v>2.4</v>
      </c>
      <c r="H39" s="45">
        <v>2.4</v>
      </c>
      <c r="I39" s="45">
        <v>2.4</v>
      </c>
      <c r="J39" s="45">
        <v>0</v>
      </c>
      <c r="K39" s="45">
        <v>0</v>
      </c>
      <c r="L39" s="45">
        <v>2.4</v>
      </c>
      <c r="M39" s="45">
        <v>2.4</v>
      </c>
      <c r="N39" s="45">
        <v>0</v>
      </c>
      <c r="O39" s="45">
        <v>2.4</v>
      </c>
      <c r="P39" s="45">
        <v>2.4</v>
      </c>
      <c r="Q39" s="45">
        <v>5</v>
      </c>
      <c r="R39" s="45">
        <v>5</v>
      </c>
      <c r="S39" s="45">
        <v>0</v>
      </c>
      <c r="T39" s="45">
        <v>5</v>
      </c>
      <c r="U39" s="45">
        <v>2.4</v>
      </c>
      <c r="V39" s="45">
        <v>2.4</v>
      </c>
      <c r="W39" s="45">
        <v>2.4</v>
      </c>
      <c r="X39" s="45">
        <v>2.4</v>
      </c>
      <c r="Y39" s="45">
        <v>2.4</v>
      </c>
      <c r="Z39" s="45">
        <v>6</v>
      </c>
      <c r="AA39" s="45">
        <v>6</v>
      </c>
      <c r="AB39" s="45">
        <v>12</v>
      </c>
      <c r="AC39" s="45">
        <v>12</v>
      </c>
      <c r="AD39" s="45">
        <v>12</v>
      </c>
      <c r="AE39" s="45">
        <v>12</v>
      </c>
      <c r="AF39" s="45">
        <v>12</v>
      </c>
      <c r="AG39" s="49">
        <v>12</v>
      </c>
      <c r="AH39" s="47">
        <f t="shared" si="2"/>
        <v>12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0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0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5</v>
      </c>
      <c r="J41" s="45">
        <v>5</v>
      </c>
      <c r="K41" s="45">
        <v>5</v>
      </c>
      <c r="L41" s="45">
        <v>12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0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11.88</v>
      </c>
      <c r="C43" s="45">
        <v>11.88</v>
      </c>
      <c r="D43" s="45">
        <v>11.88</v>
      </c>
      <c r="E43" s="45">
        <v>11.88</v>
      </c>
      <c r="F43" s="45">
        <v>11.88</v>
      </c>
      <c r="G43" s="45">
        <v>11.88</v>
      </c>
      <c r="H43" s="45">
        <v>11.88</v>
      </c>
      <c r="I43" s="45">
        <v>11.88</v>
      </c>
      <c r="J43" s="45">
        <v>11.88</v>
      </c>
      <c r="K43" s="45">
        <v>11.88</v>
      </c>
      <c r="L43" s="45">
        <v>11.88</v>
      </c>
      <c r="M43" s="45">
        <v>11.88</v>
      </c>
      <c r="N43" s="45">
        <v>11.88</v>
      </c>
      <c r="O43" s="45">
        <v>11.88</v>
      </c>
      <c r="P43" s="45">
        <v>11.88</v>
      </c>
      <c r="Q43" s="45">
        <v>11.88</v>
      </c>
      <c r="R43" s="45">
        <v>11.88</v>
      </c>
      <c r="S43" s="45">
        <v>0</v>
      </c>
      <c r="T43" s="45">
        <v>11.9</v>
      </c>
      <c r="U43" s="45">
        <v>11.8</v>
      </c>
      <c r="V43" s="45">
        <v>11.8</v>
      </c>
      <c r="W43" s="45">
        <v>11.8</v>
      </c>
      <c r="X43" s="45">
        <v>11.8</v>
      </c>
      <c r="Y43" s="45">
        <v>11.8</v>
      </c>
      <c r="Z43" s="45">
        <v>11.8</v>
      </c>
      <c r="AA43" s="45">
        <v>11.8</v>
      </c>
      <c r="AB43" s="45">
        <v>11.8</v>
      </c>
      <c r="AC43" s="45">
        <v>11.8</v>
      </c>
      <c r="AD43" s="45">
        <v>11.8</v>
      </c>
      <c r="AE43" s="45">
        <v>11.8</v>
      </c>
      <c r="AF43" s="45">
        <v>11.8</v>
      </c>
      <c r="AG43" s="51">
        <v>11.88</v>
      </c>
      <c r="AH43" s="47">
        <f t="shared" si="2"/>
        <v>11.9</v>
      </c>
      <c r="AI43" s="48">
        <f t="shared" si="3"/>
        <v>0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0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0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0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0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74"/>
    </row>
    <row r="49" spans="1:41" ht="15.75" thickBot="1" x14ac:dyDescent="0.3">
      <c r="A49" s="57" t="s">
        <v>65</v>
      </c>
      <c r="B49" s="50"/>
      <c r="C49" s="50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C50" si="4">SUM(B11:B48)</f>
        <v>1007.38</v>
      </c>
      <c r="C50" s="59">
        <f t="shared" si="4"/>
        <v>1011.78</v>
      </c>
      <c r="D50" s="59">
        <f t="shared" ref="D50:AD50" si="5">SUM(D11:D48)</f>
        <v>1022.98</v>
      </c>
      <c r="E50" s="59">
        <f t="shared" si="5"/>
        <v>920.18000000000006</v>
      </c>
      <c r="F50" s="59">
        <f t="shared" si="5"/>
        <v>877.68</v>
      </c>
      <c r="G50" s="59">
        <f t="shared" si="5"/>
        <v>867.68</v>
      </c>
      <c r="H50" s="59">
        <f t="shared" si="5"/>
        <v>937.68000000000006</v>
      </c>
      <c r="I50" s="59">
        <f t="shared" si="5"/>
        <v>942.68000000000006</v>
      </c>
      <c r="J50" s="59">
        <f t="shared" si="5"/>
        <v>913.08</v>
      </c>
      <c r="K50" s="59">
        <f t="shared" ref="K50:L50" si="6">SUM(K11:K48)</f>
        <v>913.08</v>
      </c>
      <c r="L50" s="59">
        <f t="shared" si="6"/>
        <v>895.57999999999993</v>
      </c>
      <c r="M50" s="59">
        <f t="shared" si="5"/>
        <v>921.57999999999993</v>
      </c>
      <c r="N50" s="59">
        <f t="shared" si="5"/>
        <v>891.98</v>
      </c>
      <c r="O50" s="59">
        <f t="shared" si="5"/>
        <v>944.18000000000006</v>
      </c>
      <c r="P50" s="59">
        <f t="shared" si="5"/>
        <v>936.28</v>
      </c>
      <c r="Q50" s="59">
        <f t="shared" si="5"/>
        <v>979.78000000000009</v>
      </c>
      <c r="R50" s="59">
        <f t="shared" si="5"/>
        <v>974.78000000000009</v>
      </c>
      <c r="S50" s="59">
        <f>SUM(S11:S48)</f>
        <v>572.4</v>
      </c>
      <c r="T50" s="59">
        <f>SUM(T11:T48)</f>
        <v>1031.0999999999999</v>
      </c>
      <c r="U50" s="59">
        <f t="shared" si="5"/>
        <v>982.99999999999977</v>
      </c>
      <c r="V50" s="59">
        <f t="shared" si="5"/>
        <v>982.99999999999977</v>
      </c>
      <c r="W50" s="59">
        <f t="shared" ref="W50:X50" si="7">SUM(W11:W48)</f>
        <v>968.79999999999984</v>
      </c>
      <c r="X50" s="59">
        <f t="shared" si="7"/>
        <v>953.5999999999998</v>
      </c>
      <c r="Y50" s="59">
        <f t="shared" si="5"/>
        <v>953.5999999999998</v>
      </c>
      <c r="Z50" s="59">
        <f t="shared" si="5"/>
        <v>1027.5999999999999</v>
      </c>
      <c r="AA50" s="59">
        <f t="shared" ref="AA50" si="8">SUM(AA11:AA48)</f>
        <v>1038.8989999999999</v>
      </c>
      <c r="AB50" s="59">
        <f>SUM(AB11:AB48)</f>
        <v>1083.4989999999998</v>
      </c>
      <c r="AC50" s="59">
        <f t="shared" si="5"/>
        <v>1080.4989999999998</v>
      </c>
      <c r="AD50" s="59">
        <f t="shared" si="5"/>
        <v>1066.4989999999998</v>
      </c>
      <c r="AE50" s="59">
        <f t="shared" ref="AE50:AF50" si="9">SUM(AE11:AE48)</f>
        <v>1062.4989999999998</v>
      </c>
      <c r="AF50" s="59">
        <f t="shared" si="9"/>
        <v>1021.8</v>
      </c>
      <c r="AG50" s="60">
        <f>SUM(AG13:AG48)</f>
        <v>922.14</v>
      </c>
      <c r="AH50" s="47">
        <f t="shared" si="2"/>
        <v>1083.4989999999998</v>
      </c>
      <c r="AI50" s="48">
        <f t="shared" si="3"/>
        <v>572.4</v>
      </c>
      <c r="AK50" s="74"/>
    </row>
    <row r="51" spans="1:41" x14ac:dyDescent="0.25">
      <c r="A51" s="61" t="s">
        <v>67</v>
      </c>
      <c r="B51" s="62">
        <v>456</v>
      </c>
      <c r="C51" s="62">
        <v>456</v>
      </c>
      <c r="D51" s="62">
        <v>456</v>
      </c>
      <c r="E51" s="62">
        <v>456</v>
      </c>
      <c r="F51" s="62">
        <v>456</v>
      </c>
      <c r="G51" s="62">
        <v>456</v>
      </c>
      <c r="H51" s="62">
        <v>456</v>
      </c>
      <c r="I51" s="62">
        <v>456</v>
      </c>
      <c r="J51" s="62">
        <v>456</v>
      </c>
      <c r="K51" s="62">
        <v>456</v>
      </c>
      <c r="L51" s="62">
        <v>456</v>
      </c>
      <c r="M51" s="62">
        <v>456</v>
      </c>
      <c r="N51" s="62">
        <v>456</v>
      </c>
      <c r="O51" s="62">
        <v>456</v>
      </c>
      <c r="P51" s="62">
        <v>456</v>
      </c>
      <c r="Q51" s="62">
        <v>380</v>
      </c>
      <c r="R51" s="62">
        <v>380</v>
      </c>
      <c r="S51" s="62">
        <v>380</v>
      </c>
      <c r="T51" s="62">
        <v>380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380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55</v>
      </c>
      <c r="S52" s="64">
        <v>55</v>
      </c>
      <c r="T52" s="64">
        <v>55</v>
      </c>
      <c r="U52" s="64">
        <v>56</v>
      </c>
      <c r="V52" s="64">
        <v>56</v>
      </c>
      <c r="W52" s="64">
        <v>56</v>
      </c>
      <c r="X52" s="64">
        <v>56</v>
      </c>
      <c r="Y52" s="64">
        <v>56</v>
      </c>
      <c r="Z52" s="64">
        <v>60</v>
      </c>
      <c r="AA52" s="64">
        <v>60</v>
      </c>
      <c r="AB52" s="64">
        <v>55</v>
      </c>
      <c r="AC52" s="64">
        <v>55</v>
      </c>
      <c r="AD52" s="64">
        <v>55</v>
      </c>
      <c r="AE52" s="64">
        <v>55</v>
      </c>
      <c r="AF52" s="64">
        <v>55</v>
      </c>
      <c r="AG52" s="54">
        <v>60</v>
      </c>
      <c r="AH52" s="47">
        <f t="shared" si="2"/>
        <v>60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22.4</v>
      </c>
      <c r="C53" s="66">
        <v>22.4</v>
      </c>
      <c r="D53" s="66">
        <v>22.4</v>
      </c>
      <c r="E53" s="66">
        <v>22.4</v>
      </c>
      <c r="F53" s="66">
        <v>22.4</v>
      </c>
      <c r="G53" s="66">
        <v>22.4</v>
      </c>
      <c r="H53" s="66">
        <v>22.4</v>
      </c>
      <c r="I53" s="66">
        <v>22.4</v>
      </c>
      <c r="J53" s="66">
        <v>22.4</v>
      </c>
      <c r="K53" s="66">
        <v>22.4</v>
      </c>
      <c r="L53" s="66">
        <v>22.4</v>
      </c>
      <c r="M53" s="66">
        <v>22.4</v>
      </c>
      <c r="N53" s="66">
        <v>22.4</v>
      </c>
      <c r="O53" s="66">
        <v>22.4</v>
      </c>
      <c r="P53" s="66">
        <v>22.4</v>
      </c>
      <c r="Q53" s="66">
        <v>22.4</v>
      </c>
      <c r="R53" s="66">
        <v>22.4</v>
      </c>
      <c r="S53" s="66">
        <v>22.4</v>
      </c>
      <c r="T53" s="66">
        <v>22.4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22.4</v>
      </c>
      <c r="AK53" s="74"/>
    </row>
    <row r="54" spans="1:41" ht="15.75" thickBot="1" x14ac:dyDescent="0.3">
      <c r="A54" s="68" t="s">
        <v>70</v>
      </c>
      <c r="B54" s="59">
        <f t="shared" ref="B54:C54" si="10">SUM(B51:B53)</f>
        <v>533.4</v>
      </c>
      <c r="C54" s="59">
        <f t="shared" si="10"/>
        <v>533.4</v>
      </c>
      <c r="D54" s="59">
        <f t="shared" ref="D54:AG54" si="11">SUM(D51:D53)</f>
        <v>533.4</v>
      </c>
      <c r="E54" s="59">
        <f t="shared" si="11"/>
        <v>533.4</v>
      </c>
      <c r="F54" s="59">
        <f t="shared" si="11"/>
        <v>533.4</v>
      </c>
      <c r="G54" s="59">
        <f t="shared" si="11"/>
        <v>533.4</v>
      </c>
      <c r="H54" s="59">
        <f t="shared" si="11"/>
        <v>533.4</v>
      </c>
      <c r="I54" s="59">
        <f t="shared" si="11"/>
        <v>533.4</v>
      </c>
      <c r="J54" s="59">
        <f t="shared" si="11"/>
        <v>533.4</v>
      </c>
      <c r="K54" s="59">
        <f t="shared" ref="K54:L54" si="12">SUM(K51:K53)</f>
        <v>533.4</v>
      </c>
      <c r="L54" s="59">
        <f t="shared" si="12"/>
        <v>533.4</v>
      </c>
      <c r="M54" s="59">
        <f t="shared" si="11"/>
        <v>533.4</v>
      </c>
      <c r="N54" s="59">
        <f t="shared" si="11"/>
        <v>533.4</v>
      </c>
      <c r="O54" s="59">
        <f t="shared" si="11"/>
        <v>533.4</v>
      </c>
      <c r="P54" s="59">
        <f t="shared" si="11"/>
        <v>533.4</v>
      </c>
      <c r="Q54" s="59">
        <f t="shared" si="11"/>
        <v>457.4</v>
      </c>
      <c r="R54" s="59">
        <f t="shared" si="11"/>
        <v>457.4</v>
      </c>
      <c r="S54" s="59">
        <f t="shared" si="11"/>
        <v>457.4</v>
      </c>
      <c r="T54" s="59">
        <f t="shared" si="11"/>
        <v>457.4</v>
      </c>
      <c r="U54" s="59">
        <f t="shared" si="11"/>
        <v>534.5</v>
      </c>
      <c r="V54" s="59">
        <f t="shared" si="11"/>
        <v>534.5</v>
      </c>
      <c r="W54" s="59">
        <f t="shared" ref="W54:X54" si="13">SUM(W51:W53)</f>
        <v>534.5</v>
      </c>
      <c r="X54" s="59">
        <f t="shared" si="13"/>
        <v>534.5</v>
      </c>
      <c r="Y54" s="59">
        <f t="shared" si="11"/>
        <v>534.5</v>
      </c>
      <c r="Z54" s="59">
        <f t="shared" si="11"/>
        <v>538.5</v>
      </c>
      <c r="AA54" s="59">
        <f t="shared" si="11"/>
        <v>538.5</v>
      </c>
      <c r="AB54" s="59">
        <f>SUM(AB51:AB53)</f>
        <v>533.5</v>
      </c>
      <c r="AC54" s="59">
        <f t="shared" si="11"/>
        <v>533.5</v>
      </c>
      <c r="AD54" s="59">
        <f t="shared" si="11"/>
        <v>533.5</v>
      </c>
      <c r="AE54" s="59">
        <f t="shared" ref="AE54:AF54" si="14">SUM(AE51:AE53)</f>
        <v>533.5</v>
      </c>
      <c r="AF54" s="59">
        <f t="shared" si="14"/>
        <v>533.5</v>
      </c>
      <c r="AG54" s="60">
        <f t="shared" si="11"/>
        <v>538.1</v>
      </c>
      <c r="AH54" s="47">
        <f t="shared" si="2"/>
        <v>538.5</v>
      </c>
      <c r="AI54" s="48">
        <f t="shared" si="3"/>
        <v>457.4</v>
      </c>
      <c r="AK54" s="74"/>
    </row>
    <row r="55" spans="1:41" x14ac:dyDescent="0.25">
      <c r="A55" s="44" t="s">
        <v>71</v>
      </c>
      <c r="B55" s="45">
        <v>140.1</v>
      </c>
      <c r="C55" s="45">
        <v>140.1</v>
      </c>
      <c r="D55" s="45">
        <v>140</v>
      </c>
      <c r="E55" s="45">
        <v>140</v>
      </c>
      <c r="F55" s="45">
        <v>140</v>
      </c>
      <c r="G55" s="45">
        <v>140</v>
      </c>
      <c r="H55" s="45">
        <v>140</v>
      </c>
      <c r="I55" s="45">
        <v>140</v>
      </c>
      <c r="J55" s="45">
        <v>140</v>
      </c>
      <c r="K55" s="45">
        <v>140</v>
      </c>
      <c r="L55" s="45">
        <v>140</v>
      </c>
      <c r="M55" s="45">
        <v>135</v>
      </c>
      <c r="N55" s="45">
        <v>135</v>
      </c>
      <c r="O55" s="45">
        <v>135</v>
      </c>
      <c r="P55" s="45">
        <v>135</v>
      </c>
      <c r="Q55" s="45">
        <v>135</v>
      </c>
      <c r="R55" s="45">
        <v>132</v>
      </c>
      <c r="S55" s="45">
        <v>0</v>
      </c>
      <c r="T55" s="45">
        <v>120</v>
      </c>
      <c r="U55" s="45">
        <v>134.1</v>
      </c>
      <c r="V55" s="45">
        <v>134.1</v>
      </c>
      <c r="W55" s="45">
        <v>134.1</v>
      </c>
      <c r="X55" s="45">
        <v>134.1</v>
      </c>
      <c r="Y55" s="45">
        <v>134.1</v>
      </c>
      <c r="Z55" s="45">
        <v>135.30000000000001</v>
      </c>
      <c r="AA55" s="45">
        <v>135.5</v>
      </c>
      <c r="AB55" s="45">
        <v>135.5</v>
      </c>
      <c r="AC55" s="45">
        <v>135.5</v>
      </c>
      <c r="AD55" s="45">
        <v>135.5</v>
      </c>
      <c r="AE55" s="45">
        <v>135.5</v>
      </c>
      <c r="AF55" s="45">
        <v>137.6</v>
      </c>
      <c r="AG55" s="51">
        <v>144</v>
      </c>
      <c r="AH55" s="47">
        <f t="shared" si="2"/>
        <v>140.1</v>
      </c>
      <c r="AI55" s="48">
        <f t="shared" si="3"/>
        <v>0</v>
      </c>
      <c r="AK55" s="74"/>
    </row>
    <row r="56" spans="1:41" x14ac:dyDescent="0.25">
      <c r="A56" s="53" t="s">
        <v>72</v>
      </c>
      <c r="B56" s="45">
        <v>0</v>
      </c>
      <c r="C56" s="45">
        <v>0</v>
      </c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65</v>
      </c>
      <c r="M56" s="45">
        <v>71</v>
      </c>
      <c r="N56" s="45">
        <v>71</v>
      </c>
      <c r="O56" s="45">
        <v>71</v>
      </c>
      <c r="P56" s="45">
        <v>71</v>
      </c>
      <c r="Q56" s="45">
        <v>71</v>
      </c>
      <c r="R56" s="45">
        <v>71</v>
      </c>
      <c r="S56" s="45">
        <v>0</v>
      </c>
      <c r="T56" s="45">
        <v>65</v>
      </c>
      <c r="U56" s="45">
        <v>70.3</v>
      </c>
      <c r="V56" s="45">
        <v>70.3</v>
      </c>
      <c r="W56" s="45">
        <v>70.3</v>
      </c>
      <c r="X56" s="45">
        <v>70.3</v>
      </c>
      <c r="Y56" s="45">
        <v>70.3</v>
      </c>
      <c r="Z56" s="45">
        <v>70.599999999999994</v>
      </c>
      <c r="AA56" s="45">
        <v>70.599999999999994</v>
      </c>
      <c r="AB56" s="45">
        <v>70.599999999999994</v>
      </c>
      <c r="AC56" s="45">
        <v>70.599999999999994</v>
      </c>
      <c r="AD56" s="45">
        <v>70.599999999999994</v>
      </c>
      <c r="AE56" s="45">
        <v>70.599999999999994</v>
      </c>
      <c r="AF56" s="45">
        <v>70</v>
      </c>
      <c r="AG56" s="54">
        <v>70</v>
      </c>
      <c r="AH56" s="47">
        <f t="shared" si="2"/>
        <v>71</v>
      </c>
      <c r="AI56" s="48">
        <f t="shared" si="3"/>
        <v>0</v>
      </c>
      <c r="AK56" s="74"/>
    </row>
    <row r="57" spans="1:41" x14ac:dyDescent="0.25">
      <c r="A57" s="53" t="s">
        <v>73</v>
      </c>
      <c r="B57" s="45">
        <v>64.599999999999994</v>
      </c>
      <c r="C57" s="45">
        <v>64.900000000000006</v>
      </c>
      <c r="D57" s="45">
        <v>65.900000000000006</v>
      </c>
      <c r="E57" s="45">
        <v>65.900000000000006</v>
      </c>
      <c r="F57" s="45">
        <v>65.900000000000006</v>
      </c>
      <c r="G57" s="45">
        <v>65.900000000000006</v>
      </c>
      <c r="H57" s="45">
        <v>65.900000000000006</v>
      </c>
      <c r="I57" s="45">
        <v>65.900000000000006</v>
      </c>
      <c r="J57" s="45">
        <v>65.900000000000006</v>
      </c>
      <c r="K57" s="45">
        <v>65.900000000000006</v>
      </c>
      <c r="L57" s="45">
        <v>65.900000000000006</v>
      </c>
      <c r="M57" s="45">
        <v>63.5</v>
      </c>
      <c r="N57" s="45">
        <v>63.5</v>
      </c>
      <c r="O57" s="45">
        <v>63.5</v>
      </c>
      <c r="P57" s="45">
        <v>63.5</v>
      </c>
      <c r="Q57" s="45">
        <v>63.5</v>
      </c>
      <c r="R57" s="45">
        <v>63.5</v>
      </c>
      <c r="S57" s="45">
        <v>0</v>
      </c>
      <c r="T57" s="45">
        <v>64.599999999999994</v>
      </c>
      <c r="U57" s="45">
        <v>64.599999999999994</v>
      </c>
      <c r="V57" s="45">
        <v>64.599999999999994</v>
      </c>
      <c r="W57" s="45">
        <v>64.599999999999994</v>
      </c>
      <c r="X57" s="45">
        <v>64.599999999999994</v>
      </c>
      <c r="Y57" s="45">
        <v>64.599999999999994</v>
      </c>
      <c r="Z57" s="45">
        <v>65</v>
      </c>
      <c r="AA57" s="45">
        <v>65.3</v>
      </c>
      <c r="AB57" s="45">
        <v>65.3</v>
      </c>
      <c r="AC57" s="45">
        <v>65.3</v>
      </c>
      <c r="AD57" s="45">
        <v>65.3</v>
      </c>
      <c r="AE57" s="45">
        <v>46</v>
      </c>
      <c r="AF57" s="45">
        <v>46</v>
      </c>
      <c r="AG57" s="54">
        <v>69</v>
      </c>
      <c r="AH57" s="47">
        <f t="shared" si="2"/>
        <v>65.900000000000006</v>
      </c>
      <c r="AI57" s="48">
        <f t="shared" si="3"/>
        <v>0</v>
      </c>
      <c r="AK57" s="74"/>
    </row>
    <row r="58" spans="1:41" x14ac:dyDescent="0.25">
      <c r="A58" s="53" t="s">
        <v>74</v>
      </c>
      <c r="B58" s="45">
        <v>60.4</v>
      </c>
      <c r="C58" s="45">
        <v>60.8</v>
      </c>
      <c r="D58" s="45">
        <v>40</v>
      </c>
      <c r="E58" s="45">
        <v>30</v>
      </c>
      <c r="F58" s="45">
        <v>60</v>
      </c>
      <c r="G58" s="45">
        <v>60</v>
      </c>
      <c r="H58" s="45">
        <v>60</v>
      </c>
      <c r="I58" s="45">
        <v>60</v>
      </c>
      <c r="J58" s="45">
        <v>60</v>
      </c>
      <c r="K58" s="45">
        <v>60</v>
      </c>
      <c r="L58" s="45">
        <v>60</v>
      </c>
      <c r="M58" s="45">
        <v>60</v>
      </c>
      <c r="N58" s="45">
        <v>60</v>
      </c>
      <c r="O58" s="45">
        <v>60</v>
      </c>
      <c r="P58" s="45">
        <v>60</v>
      </c>
      <c r="Q58" s="45">
        <v>0</v>
      </c>
      <c r="R58" s="45">
        <v>0</v>
      </c>
      <c r="S58" s="45">
        <v>0</v>
      </c>
      <c r="T58" s="45">
        <v>0</v>
      </c>
      <c r="U58" s="45">
        <v>0</v>
      </c>
      <c r="V58" s="45">
        <v>0</v>
      </c>
      <c r="W58" s="45">
        <v>0</v>
      </c>
      <c r="X58" s="45">
        <v>0</v>
      </c>
      <c r="Y58" s="45">
        <v>0</v>
      </c>
      <c r="Z58" s="45">
        <v>0</v>
      </c>
      <c r="AA58" s="45">
        <v>50.2</v>
      </c>
      <c r="AB58" s="45">
        <v>60.9</v>
      </c>
      <c r="AC58" s="45">
        <v>60.9</v>
      </c>
      <c r="AD58" s="45">
        <v>60.9</v>
      </c>
      <c r="AE58" s="45">
        <v>60.9</v>
      </c>
      <c r="AF58" s="45">
        <v>59.8</v>
      </c>
      <c r="AG58" s="54">
        <v>60</v>
      </c>
      <c r="AH58" s="47">
        <f t="shared" si="2"/>
        <v>60.9</v>
      </c>
      <c r="AI58" s="48">
        <f t="shared" si="3"/>
        <v>0</v>
      </c>
      <c r="AK58" s="74"/>
    </row>
    <row r="59" spans="1:41" x14ac:dyDescent="0.25">
      <c r="A59" s="53" t="s">
        <v>75</v>
      </c>
      <c r="B59" s="45">
        <v>30</v>
      </c>
      <c r="C59" s="45">
        <v>30</v>
      </c>
      <c r="D59" s="45">
        <v>30</v>
      </c>
      <c r="E59" s="45">
        <v>30</v>
      </c>
      <c r="F59" s="45">
        <v>30</v>
      </c>
      <c r="G59" s="45">
        <v>30</v>
      </c>
      <c r="H59" s="45">
        <v>30</v>
      </c>
      <c r="I59" s="45">
        <v>30</v>
      </c>
      <c r="J59" s="45">
        <v>30</v>
      </c>
      <c r="K59" s="45">
        <v>30</v>
      </c>
      <c r="L59" s="45">
        <v>30</v>
      </c>
      <c r="M59" s="45">
        <v>30</v>
      </c>
      <c r="N59" s="45">
        <v>30</v>
      </c>
      <c r="O59" s="45">
        <v>30</v>
      </c>
      <c r="P59" s="45">
        <v>30</v>
      </c>
      <c r="Q59" s="45">
        <v>30</v>
      </c>
      <c r="R59" s="45">
        <v>30</v>
      </c>
      <c r="S59" s="45">
        <v>30</v>
      </c>
      <c r="T59" s="45">
        <v>30</v>
      </c>
      <c r="U59" s="45">
        <v>30</v>
      </c>
      <c r="V59" s="45">
        <v>30</v>
      </c>
      <c r="W59" s="45">
        <v>30</v>
      </c>
      <c r="X59" s="45">
        <v>30</v>
      </c>
      <c r="Y59" s="45">
        <v>30</v>
      </c>
      <c r="Z59" s="45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30</v>
      </c>
      <c r="AK59" s="74"/>
    </row>
    <row r="60" spans="1:41" x14ac:dyDescent="0.25">
      <c r="A60" s="53" t="s">
        <v>76</v>
      </c>
      <c r="B60" s="45">
        <v>0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1.5</v>
      </c>
      <c r="K60" s="45">
        <v>1.5</v>
      </c>
      <c r="L60" s="45">
        <v>1.5</v>
      </c>
      <c r="M60" s="45">
        <v>1.5</v>
      </c>
      <c r="N60" s="45">
        <v>1.5</v>
      </c>
      <c r="O60" s="45">
        <v>1.5</v>
      </c>
      <c r="P60" s="45">
        <v>1.5</v>
      </c>
      <c r="Q60" s="45">
        <v>1.5</v>
      </c>
      <c r="R60" s="45">
        <v>1.5</v>
      </c>
      <c r="S60" s="45">
        <v>0</v>
      </c>
      <c r="T60" s="45">
        <v>1.5</v>
      </c>
      <c r="U60" s="45">
        <v>5.9</v>
      </c>
      <c r="V60" s="45">
        <v>5.9</v>
      </c>
      <c r="W60" s="45">
        <v>5.9</v>
      </c>
      <c r="X60" s="45">
        <v>5.9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5.9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0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0</v>
      </c>
      <c r="AK61" s="74"/>
    </row>
    <row r="62" spans="1:41" x14ac:dyDescent="0.25">
      <c r="A62" s="53" t="s">
        <v>78</v>
      </c>
      <c r="B62" s="64">
        <v>4.0999999999999996</v>
      </c>
      <c r="C62" s="64">
        <v>4.0999999999999996</v>
      </c>
      <c r="D62" s="64">
        <v>4.0999999999999996</v>
      </c>
      <c r="E62" s="64">
        <v>4.0999999999999996</v>
      </c>
      <c r="F62" s="64">
        <v>4.0999999999999996</v>
      </c>
      <c r="G62" s="64">
        <v>0</v>
      </c>
      <c r="H62" s="64">
        <v>4.0999999999999996</v>
      </c>
      <c r="I62" s="64">
        <v>4.0999999999999996</v>
      </c>
      <c r="J62" s="64">
        <v>4.0999999999999996</v>
      </c>
      <c r="K62" s="64">
        <v>4.0999999999999996</v>
      </c>
      <c r="L62" s="64">
        <v>4.0999999999999996</v>
      </c>
      <c r="M62" s="64">
        <v>4.0999999999999996</v>
      </c>
      <c r="N62" s="64">
        <v>4.0999999999999996</v>
      </c>
      <c r="O62" s="64">
        <v>4.0999999999999996</v>
      </c>
      <c r="P62" s="64">
        <v>4.0999999999999996</v>
      </c>
      <c r="Q62" s="64">
        <v>4.0999999999999996</v>
      </c>
      <c r="R62" s="64">
        <v>4.0999999999999996</v>
      </c>
      <c r="S62" s="64">
        <v>0</v>
      </c>
      <c r="T62" s="64">
        <v>4.0999999999999996</v>
      </c>
      <c r="U62" s="64">
        <v>4.0999999999999996</v>
      </c>
      <c r="V62" s="64">
        <v>4.0999999999999996</v>
      </c>
      <c r="W62" s="64">
        <v>4.0999999999999996</v>
      </c>
      <c r="X62" s="64">
        <v>4.0999999999999996</v>
      </c>
      <c r="Y62" s="64">
        <v>4.0999999999999996</v>
      </c>
      <c r="Z62" s="64">
        <v>4.0999999999999996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2"/>
        <v>4.0999999999999996</v>
      </c>
      <c r="AI62" s="48">
        <f t="shared" si="3"/>
        <v>0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8.6</v>
      </c>
      <c r="C63" s="64">
        <v>8.6999999999999993</v>
      </c>
      <c r="D63" s="64">
        <v>8.8000000000000007</v>
      </c>
      <c r="E63" s="64">
        <v>8.8000000000000007</v>
      </c>
      <c r="F63" s="64">
        <v>8.8000000000000007</v>
      </c>
      <c r="G63" s="64">
        <v>8.8000000000000007</v>
      </c>
      <c r="H63" s="64">
        <v>8.8000000000000007</v>
      </c>
      <c r="I63" s="64">
        <v>8.8000000000000007</v>
      </c>
      <c r="J63" s="64">
        <v>8.8000000000000007</v>
      </c>
      <c r="K63" s="64">
        <v>8.8000000000000007</v>
      </c>
      <c r="L63" s="64">
        <v>8.8000000000000007</v>
      </c>
      <c r="M63" s="64">
        <v>8.8000000000000007</v>
      </c>
      <c r="N63" s="64">
        <v>8.8000000000000007</v>
      </c>
      <c r="O63" s="64">
        <v>8.8000000000000007</v>
      </c>
      <c r="P63" s="64">
        <v>8.8000000000000007</v>
      </c>
      <c r="Q63" s="64">
        <v>8.8000000000000007</v>
      </c>
      <c r="R63" s="64">
        <v>8.8000000000000007</v>
      </c>
      <c r="S63" s="64">
        <v>0</v>
      </c>
      <c r="T63" s="64">
        <v>8.3000000000000007</v>
      </c>
      <c r="U63" s="64">
        <v>6.4</v>
      </c>
      <c r="V63" s="64">
        <v>6.4</v>
      </c>
      <c r="W63" s="64">
        <v>6.4</v>
      </c>
      <c r="X63" s="64">
        <v>6.4</v>
      </c>
      <c r="Y63" s="64">
        <v>6.4</v>
      </c>
      <c r="Z63" s="64">
        <v>6.4</v>
      </c>
      <c r="AA63" s="64">
        <v>10.199999999999999</v>
      </c>
      <c r="AB63" s="64">
        <v>9.3000000000000007</v>
      </c>
      <c r="AC63" s="64">
        <v>9.3000000000000007</v>
      </c>
      <c r="AD63" s="64">
        <v>9.3000000000000007</v>
      </c>
      <c r="AE63" s="64">
        <v>9.3000000000000007</v>
      </c>
      <c r="AF63" s="64">
        <v>9.1</v>
      </c>
      <c r="AG63" s="54">
        <v>14.1</v>
      </c>
      <c r="AH63" s="47">
        <f t="shared" si="2"/>
        <v>10.199999999999999</v>
      </c>
      <c r="AI63" s="48">
        <f t="shared" si="3"/>
        <v>0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4</v>
      </c>
      <c r="C64" s="64">
        <v>7.5</v>
      </c>
      <c r="D64" s="64">
        <v>3.6</v>
      </c>
      <c r="E64" s="64">
        <v>3.6</v>
      </c>
      <c r="F64" s="64">
        <v>3.6</v>
      </c>
      <c r="G64" s="64">
        <v>0</v>
      </c>
      <c r="H64" s="64">
        <v>0</v>
      </c>
      <c r="I64" s="64">
        <v>0</v>
      </c>
      <c r="J64" s="64">
        <v>7</v>
      </c>
      <c r="K64" s="64">
        <v>7</v>
      </c>
      <c r="L64" s="64">
        <v>7</v>
      </c>
      <c r="M64" s="64">
        <v>7</v>
      </c>
      <c r="N64" s="64">
        <v>7</v>
      </c>
      <c r="O64" s="64">
        <v>7</v>
      </c>
      <c r="P64" s="64">
        <v>7</v>
      </c>
      <c r="Q64" s="64">
        <v>7</v>
      </c>
      <c r="R64" s="64">
        <v>7</v>
      </c>
      <c r="S64" s="64">
        <v>0</v>
      </c>
      <c r="T64" s="64">
        <v>14</v>
      </c>
      <c r="U64" s="64">
        <v>14</v>
      </c>
      <c r="V64" s="64">
        <v>14</v>
      </c>
      <c r="W64" s="64">
        <v>14</v>
      </c>
      <c r="X64" s="64">
        <v>14</v>
      </c>
      <c r="Y64" s="64">
        <v>14</v>
      </c>
      <c r="Z64" s="64">
        <v>14</v>
      </c>
      <c r="AA64" s="64">
        <v>13.8</v>
      </c>
      <c r="AB64" s="64">
        <v>13.6</v>
      </c>
      <c r="AC64" s="64">
        <v>13.6</v>
      </c>
      <c r="AD64" s="64">
        <v>13.6</v>
      </c>
      <c r="AE64" s="64">
        <v>13.6</v>
      </c>
      <c r="AF64" s="64">
        <v>13.9</v>
      </c>
      <c r="AG64" s="54">
        <v>14</v>
      </c>
      <c r="AH64" s="47">
        <f t="shared" si="2"/>
        <v>14</v>
      </c>
      <c r="AI64" s="48">
        <f t="shared" si="3"/>
        <v>0</v>
      </c>
      <c r="AK64" s="74"/>
    </row>
    <row r="65" spans="1:40" x14ac:dyDescent="0.25">
      <c r="A65" s="53" t="s">
        <v>81</v>
      </c>
      <c r="B65" s="64">
        <v>9</v>
      </c>
      <c r="C65" s="64">
        <v>9</v>
      </c>
      <c r="D65" s="64">
        <v>9</v>
      </c>
      <c r="E65" s="64">
        <v>9</v>
      </c>
      <c r="F65" s="64">
        <v>9</v>
      </c>
      <c r="G65" s="64">
        <v>9</v>
      </c>
      <c r="H65" s="64">
        <v>9</v>
      </c>
      <c r="I65" s="64">
        <v>9</v>
      </c>
      <c r="J65" s="64">
        <v>9</v>
      </c>
      <c r="K65" s="64">
        <v>9</v>
      </c>
      <c r="L65" s="64">
        <v>9</v>
      </c>
      <c r="M65" s="64">
        <v>9</v>
      </c>
      <c r="N65" s="64">
        <v>9</v>
      </c>
      <c r="O65" s="64">
        <v>9</v>
      </c>
      <c r="P65" s="64">
        <v>9</v>
      </c>
      <c r="Q65" s="64">
        <v>0</v>
      </c>
      <c r="R65" s="64">
        <v>0</v>
      </c>
      <c r="S65" s="64">
        <v>0</v>
      </c>
      <c r="T65" s="64">
        <v>0</v>
      </c>
      <c r="U65" s="64">
        <v>6.4</v>
      </c>
      <c r="V65" s="64">
        <v>6.4</v>
      </c>
      <c r="W65" s="64">
        <v>9.3000000000000007</v>
      </c>
      <c r="X65" s="64">
        <v>9.3000000000000007</v>
      </c>
      <c r="Y65" s="64">
        <v>9.3000000000000007</v>
      </c>
      <c r="Z65" s="64">
        <v>9.3000000000000007</v>
      </c>
      <c r="AA65" s="64">
        <v>9.3000000000000007</v>
      </c>
      <c r="AB65" s="64">
        <v>9.3000000000000007</v>
      </c>
      <c r="AC65" s="64">
        <v>9.3000000000000007</v>
      </c>
      <c r="AD65" s="64">
        <v>9.3000000000000007</v>
      </c>
      <c r="AE65" s="64">
        <v>9.3000000000000007</v>
      </c>
      <c r="AF65" s="64">
        <v>9.3000000000000007</v>
      </c>
      <c r="AG65" s="54">
        <v>10.050000000000001</v>
      </c>
      <c r="AH65" s="47">
        <f t="shared" si="2"/>
        <v>9.3000000000000007</v>
      </c>
      <c r="AI65" s="48">
        <f t="shared" si="3"/>
        <v>0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C68" si="15">SUM(B55:B67)</f>
        <v>345.54</v>
      </c>
      <c r="C68" s="59">
        <f t="shared" si="15"/>
        <v>349.84000000000003</v>
      </c>
      <c r="D68" s="59">
        <f t="shared" ref="D68:AG68" si="16">SUM(D55:D67)</f>
        <v>326.14000000000004</v>
      </c>
      <c r="E68" s="59">
        <f t="shared" si="16"/>
        <v>316.14000000000004</v>
      </c>
      <c r="F68" s="59">
        <f t="shared" si="16"/>
        <v>346.14000000000004</v>
      </c>
      <c r="G68" s="59">
        <f t="shared" si="16"/>
        <v>338.44</v>
      </c>
      <c r="H68" s="59">
        <f t="shared" si="16"/>
        <v>342.54</v>
      </c>
      <c r="I68" s="59">
        <f t="shared" si="16"/>
        <v>342.54</v>
      </c>
      <c r="J68" s="59">
        <f t="shared" si="16"/>
        <v>351.04</v>
      </c>
      <c r="K68" s="59">
        <f t="shared" ref="K68:L68" si="17">SUM(K55:K67)</f>
        <v>351.04</v>
      </c>
      <c r="L68" s="59">
        <f t="shared" si="17"/>
        <v>416.04</v>
      </c>
      <c r="M68" s="59">
        <f t="shared" si="16"/>
        <v>414.64000000000004</v>
      </c>
      <c r="N68" s="59">
        <f t="shared" si="16"/>
        <v>414.64000000000004</v>
      </c>
      <c r="O68" s="59">
        <f t="shared" si="16"/>
        <v>414.64000000000004</v>
      </c>
      <c r="P68" s="59">
        <f t="shared" si="16"/>
        <v>414.64000000000004</v>
      </c>
      <c r="Q68" s="59">
        <f t="shared" si="16"/>
        <v>345.64000000000004</v>
      </c>
      <c r="R68" s="59">
        <f t="shared" si="16"/>
        <v>342.64000000000004</v>
      </c>
      <c r="S68" s="59">
        <f t="shared" si="16"/>
        <v>39.74</v>
      </c>
      <c r="T68" s="59">
        <f t="shared" si="16"/>
        <v>332.24000000000007</v>
      </c>
      <c r="U68" s="59">
        <f t="shared" si="16"/>
        <v>360.53999999999996</v>
      </c>
      <c r="V68" s="59">
        <f t="shared" si="16"/>
        <v>360.53999999999996</v>
      </c>
      <c r="W68" s="59">
        <f t="shared" ref="W68:X68" si="18">SUM(W55:W67)</f>
        <v>363.44</v>
      </c>
      <c r="X68" s="59">
        <f t="shared" si="18"/>
        <v>363.44</v>
      </c>
      <c r="Y68" s="59">
        <f t="shared" si="16"/>
        <v>357.54</v>
      </c>
      <c r="Z68" s="59">
        <f t="shared" si="16"/>
        <v>359.44</v>
      </c>
      <c r="AA68" s="59">
        <f t="shared" si="16"/>
        <v>413.64</v>
      </c>
      <c r="AB68" s="59">
        <f>SUM(AB55:AB67)</f>
        <v>423.24</v>
      </c>
      <c r="AC68" s="59">
        <f t="shared" si="16"/>
        <v>423.24</v>
      </c>
      <c r="AD68" s="59">
        <f t="shared" si="16"/>
        <v>423.24</v>
      </c>
      <c r="AE68" s="59">
        <f t="shared" ref="AE68:AF68" si="19">SUM(AE55:AE67)</f>
        <v>403.94000000000005</v>
      </c>
      <c r="AF68" s="59">
        <f t="shared" si="19"/>
        <v>404.44</v>
      </c>
      <c r="AG68" s="60">
        <f t="shared" si="16"/>
        <v>489.91</v>
      </c>
      <c r="AH68" s="47">
        <f t="shared" si="2"/>
        <v>423.24</v>
      </c>
      <c r="AI68" s="48">
        <f t="shared" si="3"/>
        <v>39.74</v>
      </c>
      <c r="AK68" s="74"/>
    </row>
    <row r="69" spans="1:40" x14ac:dyDescent="0.25">
      <c r="A69" s="44" t="s">
        <v>85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45">
        <v>0</v>
      </c>
      <c r="R69" s="45">
        <v>0</v>
      </c>
      <c r="S69" s="45">
        <v>0</v>
      </c>
      <c r="T69" s="45">
        <v>0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30</v>
      </c>
      <c r="AC69" s="45">
        <v>30</v>
      </c>
      <c r="AD69" s="45">
        <v>0</v>
      </c>
      <c r="AE69" s="45">
        <v>0</v>
      </c>
      <c r="AF69" s="45">
        <v>0</v>
      </c>
      <c r="AG69" s="51">
        <v>60</v>
      </c>
      <c r="AH69" s="47">
        <f t="shared" si="2"/>
        <v>30</v>
      </c>
      <c r="AI69" s="48">
        <f t="shared" si="3"/>
        <v>0</v>
      </c>
      <c r="AK69" s="74"/>
    </row>
    <row r="70" spans="1:40" x14ac:dyDescent="0.25">
      <c r="A70" s="53" t="s">
        <v>86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0</v>
      </c>
      <c r="AC70" s="64">
        <v>15.7</v>
      </c>
      <c r="AD70" s="64">
        <v>6.6</v>
      </c>
      <c r="AE70" s="64">
        <v>0</v>
      </c>
      <c r="AF70" s="64">
        <v>0</v>
      </c>
      <c r="AG70" s="54">
        <v>32</v>
      </c>
      <c r="AH70" s="47">
        <f t="shared" si="2"/>
        <v>15.7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66">
        <v>0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0</v>
      </c>
      <c r="AB71" s="66">
        <v>0</v>
      </c>
      <c r="AC71" s="66">
        <v>5.7</v>
      </c>
      <c r="AD71" s="66">
        <v>2.4</v>
      </c>
      <c r="AE71" s="66">
        <v>0</v>
      </c>
      <c r="AF71" s="66">
        <v>0</v>
      </c>
      <c r="AG71" s="67">
        <v>14</v>
      </c>
      <c r="AH71" s="47">
        <f t="shared" si="2"/>
        <v>5.7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 t="shared" ref="B72:C72" si="20">B69+B70+B71</f>
        <v>0</v>
      </c>
      <c r="C72" s="59">
        <f t="shared" si="20"/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v>0</v>
      </c>
      <c r="M72" s="59">
        <f t="shared" ref="M72:AD72" si="21">M69+M70+M71</f>
        <v>0</v>
      </c>
      <c r="N72" s="59">
        <f t="shared" si="21"/>
        <v>0</v>
      </c>
      <c r="O72" s="59">
        <f t="shared" si="21"/>
        <v>0</v>
      </c>
      <c r="P72" s="59">
        <f t="shared" si="21"/>
        <v>0</v>
      </c>
      <c r="Q72" s="59">
        <f t="shared" si="21"/>
        <v>0</v>
      </c>
      <c r="R72" s="59">
        <f t="shared" si="21"/>
        <v>0</v>
      </c>
      <c r="S72" s="59">
        <f t="shared" si="21"/>
        <v>0</v>
      </c>
      <c r="T72" s="59">
        <f t="shared" si="21"/>
        <v>0</v>
      </c>
      <c r="U72" s="59">
        <f t="shared" si="21"/>
        <v>0</v>
      </c>
      <c r="V72" s="59">
        <f t="shared" ref="V72:W72" si="22">V69+V70+V71</f>
        <v>0</v>
      </c>
      <c r="W72" s="59">
        <f t="shared" si="22"/>
        <v>0</v>
      </c>
      <c r="X72" s="59">
        <f t="shared" ref="X72" si="23">X69+X70+X71</f>
        <v>0</v>
      </c>
      <c r="Y72" s="59">
        <f t="shared" si="21"/>
        <v>0</v>
      </c>
      <c r="Z72" s="59">
        <f t="shared" si="21"/>
        <v>0</v>
      </c>
      <c r="AA72" s="59">
        <f t="shared" si="21"/>
        <v>0</v>
      </c>
      <c r="AB72" s="59">
        <f>SUM(AB69:AB71)</f>
        <v>30</v>
      </c>
      <c r="AC72" s="59">
        <f t="shared" si="21"/>
        <v>51.400000000000006</v>
      </c>
      <c r="AD72" s="59">
        <f t="shared" si="21"/>
        <v>9</v>
      </c>
      <c r="AE72" s="59">
        <f t="shared" ref="AE72:AF72" si="24">AE69+AE70+AE71</f>
        <v>0</v>
      </c>
      <c r="AF72" s="59">
        <f t="shared" si="24"/>
        <v>0</v>
      </c>
      <c r="AG72" s="60">
        <f>SUM(AG69:AG71)</f>
        <v>106</v>
      </c>
      <c r="AH72" s="47">
        <f t="shared" si="2"/>
        <v>51.400000000000006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20.7</v>
      </c>
      <c r="C73" s="45">
        <v>18.399999999999999</v>
      </c>
      <c r="D73" s="45">
        <v>21.2</v>
      </c>
      <c r="E73" s="45">
        <v>23.2</v>
      </c>
      <c r="F73" s="45">
        <v>13.9</v>
      </c>
      <c r="G73" s="45">
        <v>14.3</v>
      </c>
      <c r="H73" s="45">
        <v>3.8</v>
      </c>
      <c r="I73" s="45">
        <v>5.5</v>
      </c>
      <c r="J73" s="45">
        <v>-5</v>
      </c>
      <c r="K73" s="45">
        <v>-14</v>
      </c>
      <c r="L73" s="45">
        <v>-5</v>
      </c>
      <c r="M73" s="45">
        <v>-15</v>
      </c>
      <c r="N73" s="45">
        <v>-17</v>
      </c>
      <c r="O73" s="45">
        <v>10</v>
      </c>
      <c r="P73" s="45">
        <v>-5.8</v>
      </c>
      <c r="Q73" s="45">
        <v>-5.8</v>
      </c>
      <c r="R73" s="45">
        <v>-2</v>
      </c>
      <c r="S73" s="45">
        <v>55</v>
      </c>
      <c r="T73" s="45">
        <v>50.128999999999998</v>
      </c>
      <c r="U73" s="45">
        <v>49.935000000000002</v>
      </c>
      <c r="V73" s="45">
        <v>14.3</v>
      </c>
      <c r="W73" s="45">
        <v>14.3</v>
      </c>
      <c r="X73" s="45">
        <v>14.3</v>
      </c>
      <c r="Y73" s="45">
        <v>-2.5</v>
      </c>
      <c r="Z73" s="45">
        <v>12</v>
      </c>
      <c r="AA73" s="45">
        <v>30.1</v>
      </c>
      <c r="AB73" s="45">
        <v>23.2</v>
      </c>
      <c r="AC73" s="45">
        <v>29.1</v>
      </c>
      <c r="AD73" s="45">
        <v>33</v>
      </c>
      <c r="AE73" s="45">
        <v>32</v>
      </c>
      <c r="AF73" s="45">
        <v>33.5</v>
      </c>
      <c r="AG73" s="51"/>
      <c r="AH73" s="47">
        <f t="shared" si="2"/>
        <v>55</v>
      </c>
      <c r="AI73" s="48">
        <f t="shared" si="3"/>
        <v>-17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-389</v>
      </c>
      <c r="C75" s="64">
        <v>-415</v>
      </c>
      <c r="D75" s="64">
        <v>-418.7</v>
      </c>
      <c r="E75" s="64">
        <v>-345</v>
      </c>
      <c r="F75" s="64">
        <v>-335</v>
      </c>
      <c r="G75" s="64">
        <v>-365</v>
      </c>
      <c r="H75" s="64">
        <v>-460</v>
      </c>
      <c r="I75" s="64">
        <v>-512</v>
      </c>
      <c r="J75" s="64">
        <v>-500</v>
      </c>
      <c r="K75" s="64">
        <v>-426</v>
      </c>
      <c r="L75" s="64">
        <v>-455</v>
      </c>
      <c r="M75" s="64">
        <v>-482</v>
      </c>
      <c r="N75" s="64">
        <v>-482</v>
      </c>
      <c r="O75" s="64">
        <v>-492</v>
      </c>
      <c r="P75" s="64">
        <v>-462</v>
      </c>
      <c r="Q75" s="64">
        <v>-446</v>
      </c>
      <c r="R75" s="64">
        <v>-392</v>
      </c>
      <c r="S75" s="64">
        <v>-411</v>
      </c>
      <c r="T75" s="64">
        <v>-450</v>
      </c>
      <c r="U75" s="64">
        <v>-468</v>
      </c>
      <c r="V75" s="64">
        <v>-456</v>
      </c>
      <c r="W75" s="64">
        <v>-470</v>
      </c>
      <c r="X75" s="64">
        <v>-471</v>
      </c>
      <c r="Y75" s="64">
        <v>-456</v>
      </c>
      <c r="Z75" s="64">
        <v>-436</v>
      </c>
      <c r="AA75" s="64">
        <v>-355</v>
      </c>
      <c r="AB75" s="64">
        <v>-313</v>
      </c>
      <c r="AC75" s="64">
        <v>-376</v>
      </c>
      <c r="AD75" s="64">
        <v>-359</v>
      </c>
      <c r="AE75" s="64">
        <v>-375</v>
      </c>
      <c r="AF75" s="64">
        <v>-388</v>
      </c>
      <c r="AG75" s="75"/>
      <c r="AH75" s="47">
        <f t="shared" si="2"/>
        <v>-313</v>
      </c>
      <c r="AI75" s="48">
        <f t="shared" si="3"/>
        <v>-512</v>
      </c>
      <c r="AK75" s="74"/>
    </row>
    <row r="76" spans="1:40" x14ac:dyDescent="0.25">
      <c r="A76" s="53" t="s">
        <v>92</v>
      </c>
      <c r="B76" s="76">
        <v>0</v>
      </c>
      <c r="C76" s="76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75"/>
      <c r="AH76" s="47">
        <f t="shared" si="2"/>
        <v>0</v>
      </c>
      <c r="AI76" s="48">
        <f t="shared" si="3"/>
        <v>0</v>
      </c>
      <c r="AK76" s="74"/>
    </row>
    <row r="77" spans="1:40" x14ac:dyDescent="0.25">
      <c r="A77" s="53" t="s">
        <v>93</v>
      </c>
      <c r="B77" s="76">
        <v>0</v>
      </c>
      <c r="C77" s="76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/>
      <c r="AA77" s="45"/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25">MAX(B77:AF77)</f>
        <v>0</v>
      </c>
      <c r="AI77" s="48">
        <f t="shared" ref="AI77:AI120" si="26">MIN(B77:AF77)</f>
        <v>0</v>
      </c>
      <c r="AK77" s="74"/>
    </row>
    <row r="78" spans="1:40" x14ac:dyDescent="0.25">
      <c r="A78" s="53" t="s">
        <v>94</v>
      </c>
      <c r="B78" s="76">
        <v>0</v>
      </c>
      <c r="C78" s="76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/>
      <c r="AA78" s="77"/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25"/>
        <v>0</v>
      </c>
      <c r="AI78" s="48">
        <f t="shared" si="26"/>
        <v>0</v>
      </c>
      <c r="AK78" s="74"/>
    </row>
    <row r="79" spans="1:40" ht="15.75" thickBot="1" x14ac:dyDescent="0.3">
      <c r="A79" s="53" t="s">
        <v>95</v>
      </c>
      <c r="B79" s="76">
        <v>0</v>
      </c>
      <c r="C79" s="76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/>
      <c r="AA79" s="77"/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25"/>
        <v>0</v>
      </c>
      <c r="AI79" s="48">
        <f t="shared" si="26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76">
        <v>0</v>
      </c>
      <c r="C80" s="76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/>
      <c r="AA80" s="77"/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25"/>
        <v>0</v>
      </c>
      <c r="AI80" s="48">
        <f t="shared" si="26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76">
        <v>0</v>
      </c>
      <c r="C81" s="76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/>
      <c r="AA81" s="77"/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25"/>
        <v>0</v>
      </c>
      <c r="AI81" s="48">
        <f t="shared" si="26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76">
        <v>0</v>
      </c>
      <c r="C82" s="76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/>
      <c r="AA82" s="77"/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25"/>
        <v>0</v>
      </c>
      <c r="AI82" s="48">
        <f t="shared" si="26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76">
        <v>0</v>
      </c>
      <c r="C83" s="76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/>
      <c r="AA83" s="77"/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25"/>
        <v>0</v>
      </c>
      <c r="AI83" s="48">
        <f t="shared" si="26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" si="27">SUMIF(B73:B83,"&gt;0")</f>
        <v>20.7</v>
      </c>
      <c r="C84" s="59">
        <f t="shared" ref="C84:AF84" si="28">SUMIF(C73:C83,"&gt;0")</f>
        <v>18.399999999999999</v>
      </c>
      <c r="D84" s="59">
        <f t="shared" si="28"/>
        <v>21.2</v>
      </c>
      <c r="E84" s="59">
        <f t="shared" si="28"/>
        <v>23.2</v>
      </c>
      <c r="F84" s="59">
        <f t="shared" si="28"/>
        <v>13.9</v>
      </c>
      <c r="G84" s="59">
        <f t="shared" si="28"/>
        <v>14.3</v>
      </c>
      <c r="H84" s="59">
        <f t="shared" si="28"/>
        <v>3.8</v>
      </c>
      <c r="I84" s="59">
        <f t="shared" si="28"/>
        <v>5.5</v>
      </c>
      <c r="J84" s="59">
        <f t="shared" si="28"/>
        <v>0</v>
      </c>
      <c r="K84" s="59">
        <f t="shared" ref="K84:L84" si="29">SUMIF(K73:K83,"&gt;0")</f>
        <v>0</v>
      </c>
      <c r="L84" s="59">
        <f t="shared" si="29"/>
        <v>0</v>
      </c>
      <c r="M84" s="59">
        <f t="shared" si="28"/>
        <v>0</v>
      </c>
      <c r="N84" s="59">
        <f t="shared" si="28"/>
        <v>0</v>
      </c>
      <c r="O84" s="59">
        <f t="shared" si="28"/>
        <v>10</v>
      </c>
      <c r="P84" s="59">
        <f t="shared" si="28"/>
        <v>0</v>
      </c>
      <c r="Q84" s="59">
        <f t="shared" si="28"/>
        <v>0</v>
      </c>
      <c r="R84" s="59">
        <f t="shared" si="28"/>
        <v>0</v>
      </c>
      <c r="S84" s="59">
        <f t="shared" si="28"/>
        <v>55</v>
      </c>
      <c r="T84" s="59">
        <f t="shared" si="28"/>
        <v>50.128999999999998</v>
      </c>
      <c r="U84" s="59">
        <f t="shared" si="28"/>
        <v>49.935000000000002</v>
      </c>
      <c r="V84" s="59">
        <f t="shared" si="28"/>
        <v>14.3</v>
      </c>
      <c r="W84" s="59">
        <f t="shared" ref="W84:X84" si="30">SUMIF(W73:W83,"&gt;0")</f>
        <v>14.3</v>
      </c>
      <c r="X84" s="59">
        <f t="shared" si="30"/>
        <v>14.3</v>
      </c>
      <c r="Y84" s="59">
        <f t="shared" si="28"/>
        <v>0</v>
      </c>
      <c r="Z84" s="59">
        <f t="shared" si="28"/>
        <v>12</v>
      </c>
      <c r="AA84" s="59">
        <f t="shared" si="28"/>
        <v>30.1</v>
      </c>
      <c r="AB84" s="59">
        <f>SUMIF(AB73:AB83,"&gt;0")</f>
        <v>23.2</v>
      </c>
      <c r="AC84" s="59">
        <f t="shared" si="28"/>
        <v>29.1</v>
      </c>
      <c r="AD84" s="59">
        <f t="shared" si="28"/>
        <v>33</v>
      </c>
      <c r="AE84" s="59">
        <f t="shared" si="28"/>
        <v>32</v>
      </c>
      <c r="AF84" s="59">
        <f t="shared" si="28"/>
        <v>33.5</v>
      </c>
      <c r="AG84" s="88">
        <f>SUM(AG73:AG83)</f>
        <v>0</v>
      </c>
      <c r="AH84" s="47">
        <f t="shared" si="25"/>
        <v>55</v>
      </c>
      <c r="AI84" s="48">
        <f t="shared" si="26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25"/>
        <v>0</v>
      </c>
      <c r="AI85" s="48">
        <f t="shared" si="26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25"/>
        <v>0</v>
      </c>
      <c r="AI86" s="48">
        <f t="shared" si="26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25"/>
        <v>0</v>
      </c>
      <c r="AI87" s="48">
        <f t="shared" si="26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>
        <f>SUM(AB85:AB87)</f>
        <v>0</v>
      </c>
      <c r="AC88" s="59"/>
      <c r="AD88" s="59"/>
      <c r="AE88" s="59"/>
      <c r="AF88" s="59"/>
      <c r="AG88" s="88">
        <f>SUM(AG85:AG87)</f>
        <v>55.4</v>
      </c>
      <c r="AH88" s="47">
        <f t="shared" si="25"/>
        <v>0</v>
      </c>
      <c r="AI88" s="48">
        <f t="shared" si="26"/>
        <v>0</v>
      </c>
    </row>
    <row r="89" spans="1:40" ht="15.75" thickBot="1" x14ac:dyDescent="0.3">
      <c r="A89" s="73" t="s">
        <v>108</v>
      </c>
      <c r="B89" s="95">
        <f t="shared" ref="B89" si="31">B50+B54+B72+B68+B84+B88</f>
        <v>1907.02</v>
      </c>
      <c r="C89" s="95">
        <f t="shared" ref="C89:AG89" si="32">C50+C54+C72+C68+C84+C88</f>
        <v>1913.42</v>
      </c>
      <c r="D89" s="95">
        <f t="shared" si="32"/>
        <v>1903.7200000000003</v>
      </c>
      <c r="E89" s="95">
        <f t="shared" si="32"/>
        <v>1792.92</v>
      </c>
      <c r="F89" s="95">
        <f t="shared" si="32"/>
        <v>1771.1200000000001</v>
      </c>
      <c r="G89" s="95">
        <f t="shared" si="32"/>
        <v>1753.82</v>
      </c>
      <c r="H89" s="95">
        <f t="shared" si="32"/>
        <v>1817.4199999999998</v>
      </c>
      <c r="I89" s="95">
        <f t="shared" si="32"/>
        <v>1824.12</v>
      </c>
      <c r="J89" s="95">
        <f t="shared" si="32"/>
        <v>1797.52</v>
      </c>
      <c r="K89" s="95">
        <f t="shared" ref="K89:L89" si="33">K50+K54+K72+K68+K84+K88</f>
        <v>1797.52</v>
      </c>
      <c r="L89" s="95">
        <f t="shared" si="33"/>
        <v>1845.02</v>
      </c>
      <c r="M89" s="95">
        <f t="shared" si="32"/>
        <v>1869.6200000000001</v>
      </c>
      <c r="N89" s="95">
        <f t="shared" si="32"/>
        <v>1840.0200000000002</v>
      </c>
      <c r="O89" s="95">
        <f t="shared" si="32"/>
        <v>1902.22</v>
      </c>
      <c r="P89" s="95">
        <f t="shared" si="32"/>
        <v>1884.32</v>
      </c>
      <c r="Q89" s="95">
        <f t="shared" si="32"/>
        <v>1782.8200000000002</v>
      </c>
      <c r="R89" s="95">
        <f t="shared" si="32"/>
        <v>1774.8200000000002</v>
      </c>
      <c r="S89" s="95">
        <f t="shared" si="32"/>
        <v>1124.54</v>
      </c>
      <c r="T89" s="95">
        <f t="shared" si="32"/>
        <v>1870.8689999999999</v>
      </c>
      <c r="U89" s="95">
        <f t="shared" si="32"/>
        <v>1927.9749999999997</v>
      </c>
      <c r="V89" s="95">
        <f t="shared" si="32"/>
        <v>1892.3399999999997</v>
      </c>
      <c r="W89" s="95">
        <f t="shared" ref="W89:X89" si="34">W50+W54+W72+W68+W84+W88</f>
        <v>1881.0399999999997</v>
      </c>
      <c r="X89" s="95">
        <f t="shared" si="34"/>
        <v>1865.84</v>
      </c>
      <c r="Y89" s="95">
        <f t="shared" si="32"/>
        <v>1845.6399999999999</v>
      </c>
      <c r="Z89" s="95">
        <f t="shared" si="32"/>
        <v>1937.54</v>
      </c>
      <c r="AA89" s="95">
        <f t="shared" si="32"/>
        <v>2021.1389999999997</v>
      </c>
      <c r="AB89" s="95">
        <f>SUM(AB50,AB54,AB68,AB72,AB84,AB88)</f>
        <v>2093.4389999999994</v>
      </c>
      <c r="AC89" s="95">
        <f t="shared" si="32"/>
        <v>2117.739</v>
      </c>
      <c r="AD89" s="95">
        <f t="shared" si="32"/>
        <v>2065.2389999999996</v>
      </c>
      <c r="AE89" s="95">
        <f t="shared" si="32"/>
        <v>2031.9389999999999</v>
      </c>
      <c r="AF89" s="95">
        <f t="shared" si="32"/>
        <v>1993.24</v>
      </c>
      <c r="AG89" s="60">
        <f t="shared" si="32"/>
        <v>2111.5500000000002</v>
      </c>
      <c r="AH89" s="47">
        <f t="shared" si="25"/>
        <v>2117.739</v>
      </c>
      <c r="AI89" s="48">
        <f t="shared" si="26"/>
        <v>1124.54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>
        <v>24</v>
      </c>
      <c r="H90" s="97">
        <v>24</v>
      </c>
      <c r="I90" s="97">
        <v>24</v>
      </c>
      <c r="J90" s="97">
        <v>24</v>
      </c>
      <c r="K90" s="97">
        <v>24</v>
      </c>
      <c r="L90" s="97">
        <v>24</v>
      </c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25"/>
        <v>24</v>
      </c>
      <c r="AI90" s="48">
        <f t="shared" si="26"/>
        <v>24</v>
      </c>
    </row>
    <row r="91" spans="1:40" ht="15.75" thickBot="1" x14ac:dyDescent="0.3">
      <c r="A91" s="73" t="s">
        <v>110</v>
      </c>
      <c r="B91" s="95">
        <f t="shared" ref="B91" si="35">B89+B90</f>
        <v>1907.02</v>
      </c>
      <c r="C91" s="95">
        <f t="shared" ref="C91:AF91" si="36">C89+C90</f>
        <v>1913.42</v>
      </c>
      <c r="D91" s="95">
        <f t="shared" si="36"/>
        <v>1903.7200000000003</v>
      </c>
      <c r="E91" s="95">
        <f t="shared" si="36"/>
        <v>1792.92</v>
      </c>
      <c r="F91" s="95">
        <f t="shared" si="36"/>
        <v>1771.1200000000001</v>
      </c>
      <c r="G91" s="95">
        <f t="shared" si="36"/>
        <v>1777.82</v>
      </c>
      <c r="H91" s="95">
        <f t="shared" si="36"/>
        <v>1841.4199999999998</v>
      </c>
      <c r="I91" s="95">
        <f t="shared" si="36"/>
        <v>1848.12</v>
      </c>
      <c r="J91" s="95">
        <f t="shared" si="36"/>
        <v>1821.52</v>
      </c>
      <c r="K91" s="95">
        <f t="shared" ref="K91:L91" si="37">K89+K90</f>
        <v>1821.52</v>
      </c>
      <c r="L91" s="95">
        <f t="shared" si="37"/>
        <v>1869.02</v>
      </c>
      <c r="M91" s="95">
        <f t="shared" si="36"/>
        <v>1869.6200000000001</v>
      </c>
      <c r="N91" s="95">
        <f t="shared" si="36"/>
        <v>1840.0200000000002</v>
      </c>
      <c r="O91" s="95">
        <f t="shared" si="36"/>
        <v>1902.22</v>
      </c>
      <c r="P91" s="95">
        <f t="shared" si="36"/>
        <v>1884.32</v>
      </c>
      <c r="Q91" s="95">
        <f t="shared" si="36"/>
        <v>1782.8200000000002</v>
      </c>
      <c r="R91" s="95">
        <f t="shared" si="36"/>
        <v>1774.8200000000002</v>
      </c>
      <c r="S91" s="95">
        <f t="shared" si="36"/>
        <v>1124.54</v>
      </c>
      <c r="T91" s="95">
        <f t="shared" si="36"/>
        <v>1870.8689999999999</v>
      </c>
      <c r="U91" s="95">
        <f t="shared" si="36"/>
        <v>1927.9749999999997</v>
      </c>
      <c r="V91" s="95">
        <f t="shared" si="36"/>
        <v>1892.3399999999997</v>
      </c>
      <c r="W91" s="95">
        <f t="shared" ref="W91:X91" si="38">W89+W90</f>
        <v>1881.0399999999997</v>
      </c>
      <c r="X91" s="95">
        <f t="shared" si="38"/>
        <v>1865.84</v>
      </c>
      <c r="Y91" s="95">
        <f t="shared" si="36"/>
        <v>1845.6399999999999</v>
      </c>
      <c r="Z91" s="95">
        <f t="shared" si="36"/>
        <v>1937.54</v>
      </c>
      <c r="AA91" s="95">
        <f t="shared" si="36"/>
        <v>2021.1389999999997</v>
      </c>
      <c r="AB91" s="95">
        <f>SUM(AB89+AB90)</f>
        <v>2093.4389999999994</v>
      </c>
      <c r="AC91" s="95">
        <f t="shared" si="36"/>
        <v>2117.739</v>
      </c>
      <c r="AD91" s="95">
        <f t="shared" si="36"/>
        <v>2065.2389999999996</v>
      </c>
      <c r="AE91" s="95">
        <f t="shared" si="36"/>
        <v>2031.9389999999999</v>
      </c>
      <c r="AF91" s="95">
        <f t="shared" si="36"/>
        <v>1993.24</v>
      </c>
      <c r="AG91" s="88">
        <f>AG88+AG84+AG72+AG68+AG50+AG90</f>
        <v>1573.45</v>
      </c>
      <c r="AH91" s="47">
        <f t="shared" si="25"/>
        <v>2117.739</v>
      </c>
      <c r="AI91" s="48">
        <f t="shared" si="26"/>
        <v>1124.54</v>
      </c>
    </row>
    <row r="92" spans="1:40" ht="15.75" thickBot="1" x14ac:dyDescent="0.3">
      <c r="A92" s="73" t="s">
        <v>111</v>
      </c>
      <c r="B92" s="95">
        <f t="shared" ref="B92" si="39">B91-B99</f>
        <v>1907.02</v>
      </c>
      <c r="C92" s="95">
        <f t="shared" ref="C92:AF92" si="40">C91-C99</f>
        <v>1913.42</v>
      </c>
      <c r="D92" s="95">
        <f t="shared" si="40"/>
        <v>1903.7200000000003</v>
      </c>
      <c r="E92" s="95">
        <f t="shared" si="40"/>
        <v>1792.92</v>
      </c>
      <c r="F92" s="95">
        <f t="shared" si="40"/>
        <v>1771.1200000000001</v>
      </c>
      <c r="G92" s="95">
        <f t="shared" si="40"/>
        <v>1777.82</v>
      </c>
      <c r="H92" s="95">
        <f t="shared" si="40"/>
        <v>1841.4199999999998</v>
      </c>
      <c r="I92" s="95">
        <f t="shared" si="40"/>
        <v>1848.12</v>
      </c>
      <c r="J92" s="95">
        <f t="shared" si="40"/>
        <v>1821.52</v>
      </c>
      <c r="K92" s="95">
        <f t="shared" ref="K92:L92" si="41">K91-K99</f>
        <v>1821.52</v>
      </c>
      <c r="L92" s="95">
        <f t="shared" si="41"/>
        <v>1869.02</v>
      </c>
      <c r="M92" s="95">
        <f t="shared" si="40"/>
        <v>1869.6200000000001</v>
      </c>
      <c r="N92" s="95">
        <f t="shared" si="40"/>
        <v>1840.0200000000002</v>
      </c>
      <c r="O92" s="95">
        <f t="shared" si="40"/>
        <v>1902.22</v>
      </c>
      <c r="P92" s="95">
        <f t="shared" si="40"/>
        <v>1884.32</v>
      </c>
      <c r="Q92" s="95">
        <f t="shared" si="40"/>
        <v>1782.8200000000002</v>
      </c>
      <c r="R92" s="95">
        <f t="shared" si="40"/>
        <v>1774.8200000000002</v>
      </c>
      <c r="S92" s="95">
        <f t="shared" si="40"/>
        <v>1124.54</v>
      </c>
      <c r="T92" s="95">
        <f t="shared" si="40"/>
        <v>1870.8689999999999</v>
      </c>
      <c r="U92" s="95">
        <f t="shared" si="40"/>
        <v>1927.9749999999997</v>
      </c>
      <c r="V92" s="95">
        <f t="shared" si="40"/>
        <v>1892.3399999999997</v>
      </c>
      <c r="W92" s="95">
        <f t="shared" ref="W92:X92" si="42">W91-W99</f>
        <v>1881.0399999999997</v>
      </c>
      <c r="X92" s="95">
        <f t="shared" si="42"/>
        <v>1865.84</v>
      </c>
      <c r="Y92" s="95">
        <f t="shared" si="40"/>
        <v>1845.6399999999999</v>
      </c>
      <c r="Z92" s="95">
        <f t="shared" si="40"/>
        <v>1937.54</v>
      </c>
      <c r="AA92" s="95">
        <f t="shared" si="40"/>
        <v>2021.1389999999997</v>
      </c>
      <c r="AB92" s="95">
        <f>AB91-AB99</f>
        <v>2093.4389999999994</v>
      </c>
      <c r="AC92" s="95">
        <f t="shared" si="40"/>
        <v>2117.739</v>
      </c>
      <c r="AD92" s="95">
        <f t="shared" si="40"/>
        <v>2065.2389999999996</v>
      </c>
      <c r="AE92" s="95">
        <f t="shared" si="40"/>
        <v>2031.9389999999999</v>
      </c>
      <c r="AF92" s="95">
        <f t="shared" si="40"/>
        <v>1993.24</v>
      </c>
      <c r="AG92" s="88"/>
      <c r="AH92" s="47">
        <f t="shared" si="25"/>
        <v>2117.739</v>
      </c>
      <c r="AI92" s="48">
        <f t="shared" si="26"/>
        <v>1124.54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25"/>
        <v>0</v>
      </c>
      <c r="AI93" s="48">
        <f t="shared" si="26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25"/>
        <v>0</v>
      </c>
      <c r="AI94" s="48">
        <f t="shared" si="26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25"/>
        <v>0</v>
      </c>
      <c r="AI95" s="48">
        <f t="shared" si="26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25"/>
        <v>0</v>
      </c>
      <c r="AI96" s="48">
        <f t="shared" si="26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25"/>
        <v>0</v>
      </c>
      <c r="AI97" s="48">
        <f t="shared" si="26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25"/>
        <v>0</v>
      </c>
      <c r="AI98" s="48">
        <f t="shared" si="26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>
        <f>SUM(AB93:AB98)</f>
        <v>0</v>
      </c>
      <c r="AC99" s="59"/>
      <c r="AD99" s="59"/>
      <c r="AE99" s="59"/>
      <c r="AF99" s="59"/>
      <c r="AG99" s="88"/>
      <c r="AH99" s="47">
        <f t="shared" si="25"/>
        <v>0</v>
      </c>
      <c r="AI99" s="48">
        <f t="shared" si="26"/>
        <v>0</v>
      </c>
      <c r="AK99" s="74"/>
    </row>
    <row r="100" spans="1:37" ht="15.75" thickBot="1" x14ac:dyDescent="0.3">
      <c r="A100" s="73" t="s">
        <v>116</v>
      </c>
      <c r="B100" s="59">
        <f t="shared" ref="B100" si="43">B84-B99</f>
        <v>20.7</v>
      </c>
      <c r="C100" s="59">
        <f t="shared" ref="C100:AF100" si="44">C84-C99</f>
        <v>18.399999999999999</v>
      </c>
      <c r="D100" s="59">
        <f t="shared" si="44"/>
        <v>21.2</v>
      </c>
      <c r="E100" s="59">
        <f t="shared" si="44"/>
        <v>23.2</v>
      </c>
      <c r="F100" s="59">
        <f t="shared" si="44"/>
        <v>13.9</v>
      </c>
      <c r="G100" s="59">
        <f t="shared" si="44"/>
        <v>14.3</v>
      </c>
      <c r="H100" s="59">
        <f t="shared" si="44"/>
        <v>3.8</v>
      </c>
      <c r="I100" s="59">
        <f t="shared" si="44"/>
        <v>5.5</v>
      </c>
      <c r="J100" s="59">
        <f t="shared" si="44"/>
        <v>0</v>
      </c>
      <c r="K100" s="59">
        <f t="shared" ref="K100:L100" si="45">K84-K99</f>
        <v>0</v>
      </c>
      <c r="L100" s="59">
        <f t="shared" si="45"/>
        <v>0</v>
      </c>
      <c r="M100" s="59">
        <f t="shared" si="44"/>
        <v>0</v>
      </c>
      <c r="N100" s="59">
        <f t="shared" si="44"/>
        <v>0</v>
      </c>
      <c r="O100" s="59">
        <f t="shared" si="44"/>
        <v>10</v>
      </c>
      <c r="P100" s="59">
        <f t="shared" si="44"/>
        <v>0</v>
      </c>
      <c r="Q100" s="59">
        <f t="shared" si="44"/>
        <v>0</v>
      </c>
      <c r="R100" s="59">
        <f t="shared" si="44"/>
        <v>0</v>
      </c>
      <c r="S100" s="59">
        <f t="shared" si="44"/>
        <v>55</v>
      </c>
      <c r="T100" s="59">
        <f t="shared" si="44"/>
        <v>50.128999999999998</v>
      </c>
      <c r="U100" s="59">
        <f t="shared" si="44"/>
        <v>49.935000000000002</v>
      </c>
      <c r="V100" s="59">
        <f t="shared" si="44"/>
        <v>14.3</v>
      </c>
      <c r="W100" s="59">
        <f t="shared" ref="W100:X100" si="46">W84-W99</f>
        <v>14.3</v>
      </c>
      <c r="X100" s="59">
        <f t="shared" si="46"/>
        <v>14.3</v>
      </c>
      <c r="Y100" s="59">
        <f t="shared" si="44"/>
        <v>0</v>
      </c>
      <c r="Z100" s="59">
        <f t="shared" si="44"/>
        <v>12</v>
      </c>
      <c r="AA100" s="59">
        <f t="shared" si="44"/>
        <v>30.1</v>
      </c>
      <c r="AB100" s="59">
        <f>AB84-AB99</f>
        <v>23.2</v>
      </c>
      <c r="AC100" s="59">
        <f t="shared" si="44"/>
        <v>29.1</v>
      </c>
      <c r="AD100" s="59">
        <f t="shared" si="44"/>
        <v>33</v>
      </c>
      <c r="AE100" s="59">
        <f t="shared" si="44"/>
        <v>32</v>
      </c>
      <c r="AF100" s="59">
        <f t="shared" si="44"/>
        <v>33.5</v>
      </c>
      <c r="AG100" s="88"/>
      <c r="AH100" s="47">
        <f t="shared" si="25"/>
        <v>55</v>
      </c>
      <c r="AI100" s="48">
        <f t="shared" si="26"/>
        <v>0</v>
      </c>
    </row>
    <row r="101" spans="1:37" x14ac:dyDescent="0.25">
      <c r="A101" s="100" t="s">
        <v>117</v>
      </c>
      <c r="B101" s="101">
        <v>50.04</v>
      </c>
      <c r="C101" s="101">
        <v>50.03</v>
      </c>
      <c r="D101" s="101">
        <v>50.03</v>
      </c>
      <c r="E101" s="101">
        <v>50.02</v>
      </c>
      <c r="F101" s="101">
        <v>50.018000000000001</v>
      </c>
      <c r="G101" s="101">
        <v>50.034999999999997</v>
      </c>
      <c r="H101" s="101">
        <v>50.015000000000001</v>
      </c>
      <c r="I101" s="101">
        <v>49.968000000000004</v>
      </c>
      <c r="J101" s="101">
        <v>49.845999999999997</v>
      </c>
      <c r="K101" s="101">
        <v>49.845999999999997</v>
      </c>
      <c r="L101" s="101">
        <v>49.845999999999997</v>
      </c>
      <c r="M101" s="101">
        <v>50.061999999999998</v>
      </c>
      <c r="N101" s="101">
        <v>50.067</v>
      </c>
      <c r="O101" s="101">
        <v>50</v>
      </c>
      <c r="P101" s="101">
        <v>49.976999999999997</v>
      </c>
      <c r="Q101" s="101">
        <v>49.976999999999997</v>
      </c>
      <c r="R101" s="101">
        <v>50.042999999999999</v>
      </c>
      <c r="S101" s="101">
        <v>50.04</v>
      </c>
      <c r="T101" s="101">
        <v>50.118000000000002</v>
      </c>
      <c r="U101" s="101">
        <v>49.94</v>
      </c>
      <c r="V101" s="101">
        <v>49.917000000000002</v>
      </c>
      <c r="W101" s="101">
        <v>49.917000000000002</v>
      </c>
      <c r="X101" s="101">
        <v>49.917000000000002</v>
      </c>
      <c r="Y101" s="101">
        <v>49.996000000000002</v>
      </c>
      <c r="Z101" s="101">
        <v>49.963000000000001</v>
      </c>
      <c r="AA101" s="101">
        <v>49.957000000000001</v>
      </c>
      <c r="AB101" s="101">
        <v>50.01</v>
      </c>
      <c r="AC101" s="101">
        <v>49.993000000000002</v>
      </c>
      <c r="AD101" s="101">
        <v>49.969000000000001</v>
      </c>
      <c r="AE101" s="101">
        <v>49.98</v>
      </c>
      <c r="AF101" s="101">
        <v>50.04</v>
      </c>
      <c r="AG101" s="102"/>
      <c r="AH101" s="47">
        <f t="shared" si="25"/>
        <v>50.118000000000002</v>
      </c>
      <c r="AI101" s="48">
        <f t="shared" si="26"/>
        <v>49.845999999999997</v>
      </c>
    </row>
    <row r="102" spans="1:37" x14ac:dyDescent="0.25">
      <c r="A102" s="103" t="s">
        <v>118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4"/>
      <c r="AH102" s="47">
        <f t="shared" si="25"/>
        <v>0</v>
      </c>
      <c r="AI102" s="48">
        <f t="shared" si="26"/>
        <v>0</v>
      </c>
    </row>
    <row r="103" spans="1:37" x14ac:dyDescent="0.25">
      <c r="A103" s="103" t="s">
        <v>119</v>
      </c>
      <c r="B103" s="64">
        <v>130.4</v>
      </c>
      <c r="C103" s="64">
        <v>131.4</v>
      </c>
      <c r="D103" s="64">
        <v>130.9</v>
      </c>
      <c r="E103" s="64">
        <v>130.9</v>
      </c>
      <c r="F103" s="64">
        <v>130.9</v>
      </c>
      <c r="G103" s="64">
        <v>131.30000000000001</v>
      </c>
      <c r="H103" s="64">
        <v>131.30000000000001</v>
      </c>
      <c r="I103" s="64">
        <v>131.30000000000001</v>
      </c>
      <c r="J103" s="64">
        <v>131.30000000000001</v>
      </c>
      <c r="K103" s="64">
        <v>131.30000000000001</v>
      </c>
      <c r="L103" s="64">
        <v>131.30000000000001</v>
      </c>
      <c r="M103" s="64">
        <v>127.8</v>
      </c>
      <c r="N103" s="64">
        <v>127.8</v>
      </c>
      <c r="O103" s="64">
        <v>127.8</v>
      </c>
      <c r="P103" s="64">
        <v>127.8</v>
      </c>
      <c r="Q103" s="64">
        <v>126.2</v>
      </c>
      <c r="R103" s="64">
        <v>126.1</v>
      </c>
      <c r="S103" s="64">
        <v>134</v>
      </c>
      <c r="T103" s="64">
        <v>124.9</v>
      </c>
      <c r="U103" s="64">
        <v>125.6</v>
      </c>
      <c r="V103" s="64">
        <v>125.6</v>
      </c>
      <c r="W103" s="64">
        <v>125.6</v>
      </c>
      <c r="X103" s="64">
        <v>125.6</v>
      </c>
      <c r="Y103" s="64">
        <v>126.7</v>
      </c>
      <c r="Z103" s="64">
        <v>125.9</v>
      </c>
      <c r="AA103" s="64">
        <v>128.19999999999999</v>
      </c>
      <c r="AB103" s="64">
        <v>129.1</v>
      </c>
      <c r="AC103" s="64">
        <v>129.69999999999999</v>
      </c>
      <c r="AD103" s="64">
        <v>128.19999999999999</v>
      </c>
      <c r="AE103" s="64">
        <v>128.30000000000001</v>
      </c>
      <c r="AF103" s="64">
        <v>128.6</v>
      </c>
      <c r="AG103" s="104"/>
      <c r="AH103" s="47">
        <f t="shared" si="25"/>
        <v>134</v>
      </c>
      <c r="AI103" s="48">
        <f t="shared" si="26"/>
        <v>124.9</v>
      </c>
    </row>
    <row r="104" spans="1:37" x14ac:dyDescent="0.25">
      <c r="A104" s="103" t="s">
        <v>120</v>
      </c>
      <c r="B104" s="64">
        <v>127.5</v>
      </c>
      <c r="C104" s="64">
        <v>129.6</v>
      </c>
      <c r="D104" s="64">
        <v>130.80000000000001</v>
      </c>
      <c r="E104" s="64">
        <v>130.80000000000001</v>
      </c>
      <c r="F104" s="64">
        <v>130.80000000000001</v>
      </c>
      <c r="G104" s="64">
        <v>131.19999999999999</v>
      </c>
      <c r="H104" s="64">
        <v>131.19999999999999</v>
      </c>
      <c r="I104" s="64">
        <v>131.19999999999999</v>
      </c>
      <c r="J104" s="64">
        <v>131.19999999999999</v>
      </c>
      <c r="K104" s="64">
        <v>131.19999999999999</v>
      </c>
      <c r="L104" s="64">
        <v>131.19999999999999</v>
      </c>
      <c r="M104" s="64">
        <v>128.9</v>
      </c>
      <c r="N104" s="64">
        <v>128.6</v>
      </c>
      <c r="O104" s="64">
        <v>128.6</v>
      </c>
      <c r="P104" s="64">
        <v>128.6</v>
      </c>
      <c r="Q104" s="64">
        <v>130.5</v>
      </c>
      <c r="R104" s="64">
        <v>128</v>
      </c>
      <c r="S104" s="64">
        <v>127.3</v>
      </c>
      <c r="T104" s="64">
        <v>128.80000000000001</v>
      </c>
      <c r="U104" s="64">
        <v>128.80000000000001</v>
      </c>
      <c r="V104" s="64">
        <v>128.80000000000001</v>
      </c>
      <c r="W104" s="64">
        <v>128.80000000000001</v>
      </c>
      <c r="X104" s="64">
        <v>128.80000000000001</v>
      </c>
      <c r="Y104" s="64">
        <v>128.30000000000001</v>
      </c>
      <c r="Z104" s="64">
        <v>125.7</v>
      </c>
      <c r="AA104" s="64">
        <v>125.4</v>
      </c>
      <c r="AB104" s="64">
        <v>126.6</v>
      </c>
      <c r="AC104" s="64">
        <v>128.1</v>
      </c>
      <c r="AD104" s="64">
        <v>125.8</v>
      </c>
      <c r="AE104" s="64">
        <v>126.7</v>
      </c>
      <c r="AF104" s="64">
        <v>126.8</v>
      </c>
      <c r="AG104" s="104"/>
      <c r="AH104" s="47">
        <f t="shared" si="25"/>
        <v>131.19999999999999</v>
      </c>
      <c r="AI104" s="48">
        <f t="shared" si="26"/>
        <v>125.4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25"/>
        <v>0</v>
      </c>
      <c r="AI105" s="48">
        <f t="shared" si="26"/>
        <v>0</v>
      </c>
    </row>
    <row r="106" spans="1:37" x14ac:dyDescent="0.25">
      <c r="A106" s="105" t="s">
        <v>122</v>
      </c>
      <c r="B106" s="106">
        <v>135.5</v>
      </c>
      <c r="C106" s="106">
        <v>133.30000000000001</v>
      </c>
      <c r="D106" s="106">
        <v>124.7</v>
      </c>
      <c r="E106" s="106">
        <v>124.7</v>
      </c>
      <c r="F106" s="106">
        <v>124.7</v>
      </c>
      <c r="G106" s="106">
        <v>133.1</v>
      </c>
      <c r="H106" s="106">
        <v>133.1</v>
      </c>
      <c r="I106" s="106">
        <v>133.1</v>
      </c>
      <c r="J106" s="106">
        <v>133.1</v>
      </c>
      <c r="K106" s="106">
        <v>133.1</v>
      </c>
      <c r="L106" s="106">
        <v>133.1</v>
      </c>
      <c r="M106" s="106">
        <v>132.19999999999999</v>
      </c>
      <c r="N106" s="106">
        <v>133.69999999999999</v>
      </c>
      <c r="O106" s="106">
        <v>133.69999999999999</v>
      </c>
      <c r="P106" s="106">
        <v>133.69999999999999</v>
      </c>
      <c r="Q106" s="106">
        <v>129.5</v>
      </c>
      <c r="R106" s="106">
        <v>130.30000000000001</v>
      </c>
      <c r="S106" s="106">
        <v>129</v>
      </c>
      <c r="T106" s="106">
        <v>132</v>
      </c>
      <c r="U106" s="106">
        <v>134.4</v>
      </c>
      <c r="V106" s="106">
        <v>134.4</v>
      </c>
      <c r="W106" s="106">
        <v>134.4</v>
      </c>
      <c r="X106" s="106">
        <v>134.4</v>
      </c>
      <c r="Y106" s="106">
        <v>129.69999999999999</v>
      </c>
      <c r="Z106" s="106">
        <v>131.30000000000001</v>
      </c>
      <c r="AA106" s="106">
        <v>130.19999999999999</v>
      </c>
      <c r="AB106" s="106">
        <v>134.80000000000001</v>
      </c>
      <c r="AC106" s="106">
        <v>133.1</v>
      </c>
      <c r="AD106" s="106">
        <v>130.4</v>
      </c>
      <c r="AE106" s="106">
        <v>130.80000000000001</v>
      </c>
      <c r="AF106" s="106">
        <v>128.6</v>
      </c>
      <c r="AG106" s="107"/>
      <c r="AH106" s="47">
        <f t="shared" si="25"/>
        <v>135.5</v>
      </c>
      <c r="AI106" s="48">
        <f t="shared" si="26"/>
        <v>124.7</v>
      </c>
    </row>
    <row r="107" spans="1:37" x14ac:dyDescent="0.25">
      <c r="A107" s="103" t="s">
        <v>123</v>
      </c>
      <c r="B107" s="64">
        <v>136.1</v>
      </c>
      <c r="C107" s="64">
        <v>122.6</v>
      </c>
      <c r="D107" s="64">
        <v>136.19999999999999</v>
      </c>
      <c r="E107" s="64">
        <v>136.19999999999999</v>
      </c>
      <c r="F107" s="64">
        <v>136.19999999999999</v>
      </c>
      <c r="G107" s="64">
        <v>127.9</v>
      </c>
      <c r="H107" s="64">
        <v>127.9</v>
      </c>
      <c r="I107" s="64">
        <v>127.9</v>
      </c>
      <c r="J107" s="64">
        <v>127.9</v>
      </c>
      <c r="K107" s="64">
        <v>127.9</v>
      </c>
      <c r="L107" s="64">
        <v>127.9</v>
      </c>
      <c r="M107" s="64">
        <v>129</v>
      </c>
      <c r="N107" s="64">
        <v>131.4</v>
      </c>
      <c r="O107" s="64">
        <v>131.4</v>
      </c>
      <c r="P107" s="64">
        <v>131.4</v>
      </c>
      <c r="Q107" s="64">
        <v>128.1</v>
      </c>
      <c r="R107" s="64">
        <v>129.80000000000001</v>
      </c>
      <c r="S107" s="64">
        <v>126.7</v>
      </c>
      <c r="T107" s="64">
        <v>128.5</v>
      </c>
      <c r="U107" s="64">
        <v>129.80000000000001</v>
      </c>
      <c r="V107" s="64">
        <v>129.80000000000001</v>
      </c>
      <c r="W107" s="64">
        <v>129.80000000000001</v>
      </c>
      <c r="X107" s="64">
        <v>129.80000000000001</v>
      </c>
      <c r="Y107" s="64">
        <v>129.69999999999999</v>
      </c>
      <c r="Z107" s="64">
        <v>130.9</v>
      </c>
      <c r="AA107" s="64">
        <v>131.1</v>
      </c>
      <c r="AB107" s="64">
        <v>131</v>
      </c>
      <c r="AC107" s="64">
        <v>132.1</v>
      </c>
      <c r="AD107" s="64">
        <v>134.6</v>
      </c>
      <c r="AE107" s="64">
        <v>132.4</v>
      </c>
      <c r="AF107" s="64">
        <v>129</v>
      </c>
      <c r="AG107" s="104"/>
      <c r="AH107" s="47">
        <f t="shared" si="25"/>
        <v>136.19999999999999</v>
      </c>
      <c r="AI107" s="48">
        <f t="shared" si="26"/>
        <v>122.6</v>
      </c>
    </row>
    <row r="108" spans="1:37" ht="15.75" thickBot="1" x14ac:dyDescent="0.3">
      <c r="A108" s="103" t="s">
        <v>124</v>
      </c>
      <c r="B108" s="92">
        <v>65.599999999999994</v>
      </c>
      <c r="C108" s="92">
        <v>66.099999999999994</v>
      </c>
      <c r="D108" s="92">
        <v>65.900000000000006</v>
      </c>
      <c r="E108" s="92">
        <v>65.900000000000006</v>
      </c>
      <c r="F108" s="92">
        <v>65.900000000000006</v>
      </c>
      <c r="G108" s="92">
        <v>65.8</v>
      </c>
      <c r="H108" s="92">
        <v>65.8</v>
      </c>
      <c r="I108" s="92">
        <v>65.8</v>
      </c>
      <c r="J108" s="92">
        <v>65.8</v>
      </c>
      <c r="K108" s="92">
        <v>65.8</v>
      </c>
      <c r="L108" s="92">
        <v>65.8</v>
      </c>
      <c r="M108" s="92">
        <v>63.9</v>
      </c>
      <c r="N108" s="92">
        <v>63.9</v>
      </c>
      <c r="O108" s="92">
        <v>63.9</v>
      </c>
      <c r="P108" s="92">
        <v>63.9</v>
      </c>
      <c r="Q108" s="92">
        <v>63.1</v>
      </c>
      <c r="R108" s="92">
        <v>63.2</v>
      </c>
      <c r="S108" s="92">
        <v>63.5</v>
      </c>
      <c r="T108" s="92">
        <v>62.9</v>
      </c>
      <c r="U108" s="92">
        <v>63.3</v>
      </c>
      <c r="V108" s="92">
        <v>63.3</v>
      </c>
      <c r="W108" s="92">
        <v>63.3</v>
      </c>
      <c r="X108" s="92">
        <v>63.3</v>
      </c>
      <c r="Y108" s="92">
        <v>63.8</v>
      </c>
      <c r="Z108" s="92">
        <v>63.4</v>
      </c>
      <c r="AA108" s="92">
        <v>64.3</v>
      </c>
      <c r="AB108" s="92">
        <v>65</v>
      </c>
      <c r="AC108" s="92">
        <v>65.2</v>
      </c>
      <c r="AD108" s="92">
        <v>64.599999999999994</v>
      </c>
      <c r="AE108" s="92">
        <v>64.5</v>
      </c>
      <c r="AF108" s="92">
        <v>64.5</v>
      </c>
      <c r="AG108" s="108"/>
      <c r="AH108" s="47">
        <f t="shared" si="25"/>
        <v>66.099999999999994</v>
      </c>
      <c r="AI108" s="48">
        <f t="shared" si="26"/>
        <v>62.9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 t="str">
        <f>IF(AB92=MAX($B$93:$F$93),"PN","")</f>
        <v/>
      </c>
      <c r="AC109" s="92"/>
      <c r="AD109" s="92"/>
      <c r="AE109" s="92"/>
      <c r="AF109" s="92"/>
      <c r="AG109" s="108"/>
      <c r="AH109" s="47">
        <f t="shared" si="25"/>
        <v>0</v>
      </c>
      <c r="AI109" s="48">
        <f t="shared" si="26"/>
        <v>0</v>
      </c>
    </row>
    <row r="110" spans="1:37" ht="15.75" thickBot="1" x14ac:dyDescent="0.3">
      <c r="A110" s="110" t="s">
        <v>126</v>
      </c>
      <c r="B110" s="111">
        <f t="shared" ref="B110" si="47">SUM(B20,B26,B29:B30,B58,B60:B61,B63,B65,B111:B115,B138,B144,B150,B159,B161,B173,B180,B183:B184,B191,B193,B195,B199:B201,B203:B205,B210,B216:B217,B219:B221,B229,B234)</f>
        <v>40.899999999999984</v>
      </c>
      <c r="C110" s="111">
        <f t="shared" ref="C110:O110" si="48">SUM(C20,C26,C29:C30,C58,C60:C61,C63,C65,C111:C115,C138,C144,C150,C159,C161,C173,C180,C183:C184,C191,C193,C195,C199:C201,C203:C205,C210,C216:C217,C219:C221,C229,C234)</f>
        <v>40.839999999999996</v>
      </c>
      <c r="D110" s="111">
        <f t="shared" si="48"/>
        <v>35.940000000000005</v>
      </c>
      <c r="E110" s="111">
        <f t="shared" si="48"/>
        <v>12.540000000000003</v>
      </c>
      <c r="F110" s="111">
        <f t="shared" si="48"/>
        <v>21.840000000000007</v>
      </c>
      <c r="G110" s="111">
        <f t="shared" si="48"/>
        <v>25.340000000000014</v>
      </c>
      <c r="H110" s="111">
        <f t="shared" si="48"/>
        <v>50.140000000000022</v>
      </c>
      <c r="I110" s="111">
        <f t="shared" si="48"/>
        <v>71.440000000000012</v>
      </c>
      <c r="J110" s="111">
        <f t="shared" si="48"/>
        <v>84.340000000000018</v>
      </c>
      <c r="K110" s="111">
        <f t="shared" ref="K110:L110" si="49">SUM(K20,K26,K29:K30,K58,K60:K61,K63,K65,K111:K115,K138,K144,K150,K159,K161,K173,K180,K183:K184,K191,K193,K195,K199:K201,K203:K205,K210,K216:K217,K219:K221,K229,K234)</f>
        <v>84.340000000000018</v>
      </c>
      <c r="L110" s="111">
        <f t="shared" si="49"/>
        <v>121.44</v>
      </c>
      <c r="M110" s="111">
        <f t="shared" si="48"/>
        <v>159.24000000000004</v>
      </c>
      <c r="N110" s="111">
        <f t="shared" si="48"/>
        <v>150.54000000000002</v>
      </c>
      <c r="O110" s="111">
        <f t="shared" si="48"/>
        <v>150.54000000000002</v>
      </c>
      <c r="P110" s="111">
        <v>42</v>
      </c>
      <c r="Q110" s="111">
        <f t="shared" ref="Q110:AF110" si="50">SUM(Q20,Q26,Q29:Q30,Q58,Q60:Q61,Q63,Q65,Q111:Q115,Q138,Q144,Q150,Q159,Q161,Q173,Q180,Q183:Q184,Q191,Q193,Q195,Q199:Q201,Q203:Q205,Q210,Q216:Q217,Q219:Q221,Q229,Q234)</f>
        <v>242.7</v>
      </c>
      <c r="R110" s="111">
        <f t="shared" si="50"/>
        <v>99.9</v>
      </c>
      <c r="S110" s="111">
        <f t="shared" si="50"/>
        <v>3.6999999999999957</v>
      </c>
      <c r="T110" s="111">
        <f t="shared" si="50"/>
        <v>107.70000000000002</v>
      </c>
      <c r="U110" s="111">
        <f t="shared" si="50"/>
        <v>107.9</v>
      </c>
      <c r="V110" s="111">
        <f t="shared" si="50"/>
        <v>114.70000000000005</v>
      </c>
      <c r="W110" s="111">
        <f t="shared" ref="W110:X110" si="51">SUM(W20,W26,W29:W30,W58,W60:W61,W63,W65,W111:W115,W138,W144,W150,W159,W161,W173,W180,W183:W184,W191,W193,W195,W199:W201,W203:W205,W210,W216:W217,W219:W221,W229,W234)</f>
        <v>117.60000000000002</v>
      </c>
      <c r="X110" s="111">
        <f t="shared" si="51"/>
        <v>117.60000000000002</v>
      </c>
      <c r="Y110" s="111">
        <f t="shared" si="50"/>
        <v>126.4</v>
      </c>
      <c r="Z110" s="111">
        <f t="shared" si="50"/>
        <v>175.39999999999998</v>
      </c>
      <c r="AA110" s="111">
        <f t="shared" si="50"/>
        <v>210.6</v>
      </c>
      <c r="AB110" s="111">
        <f>SUM(AB155,AB111:AB115,AB14,AB23,AB29,AB37,AB40,AB58,AB60:AB61,AB63,AB65)</f>
        <v>232.90000000000003</v>
      </c>
      <c r="AC110" s="111">
        <f t="shared" si="50"/>
        <v>187.3</v>
      </c>
      <c r="AD110" s="111"/>
      <c r="AE110" s="111">
        <f t="shared" si="50"/>
        <v>114.1</v>
      </c>
      <c r="AF110" s="111">
        <f t="shared" si="50"/>
        <v>50.100000000000009</v>
      </c>
      <c r="AG110" s="112"/>
      <c r="AH110" s="47">
        <f t="shared" si="25"/>
        <v>242.7</v>
      </c>
      <c r="AI110" s="48">
        <f t="shared" si="26"/>
        <v>3.6999999999999957</v>
      </c>
    </row>
    <row r="111" spans="1:37" x14ac:dyDescent="0.25">
      <c r="A111" s="100" t="s">
        <v>127</v>
      </c>
      <c r="B111" s="113">
        <v>18</v>
      </c>
      <c r="C111" s="113">
        <v>27.1</v>
      </c>
      <c r="D111" s="113">
        <v>32.299999999999997</v>
      </c>
      <c r="E111" s="113">
        <v>31.3</v>
      </c>
      <c r="F111" s="113">
        <v>21.7</v>
      </c>
      <c r="G111" s="113">
        <v>26.6</v>
      </c>
      <c r="H111" s="113">
        <v>29.5</v>
      </c>
      <c r="I111" s="113">
        <v>29.5</v>
      </c>
      <c r="J111" s="113">
        <v>19.899999999999999</v>
      </c>
      <c r="K111" s="113">
        <v>19.899999999999999</v>
      </c>
      <c r="L111" s="113">
        <v>26.7</v>
      </c>
      <c r="M111" s="113">
        <v>33.6</v>
      </c>
      <c r="N111" s="113">
        <v>33.5</v>
      </c>
      <c r="O111" s="113">
        <v>33.5</v>
      </c>
      <c r="P111" s="113">
        <v>26.3</v>
      </c>
      <c r="Q111" s="113">
        <v>42.1</v>
      </c>
      <c r="R111" s="113">
        <v>40.799999999999997</v>
      </c>
      <c r="S111" s="113">
        <v>46.7</v>
      </c>
      <c r="T111" s="113">
        <v>68.2</v>
      </c>
      <c r="U111" s="113">
        <v>65.2</v>
      </c>
      <c r="V111" s="113">
        <v>67.900000000000006</v>
      </c>
      <c r="W111" s="113">
        <v>67.900000000000006</v>
      </c>
      <c r="X111" s="113">
        <v>67.900000000000006</v>
      </c>
      <c r="Y111" s="113">
        <v>68.7</v>
      </c>
      <c r="Z111" s="113">
        <v>88.7</v>
      </c>
      <c r="AA111" s="113">
        <v>39.6</v>
      </c>
      <c r="AB111" s="113">
        <v>44.8</v>
      </c>
      <c r="AC111" s="113">
        <v>53.5</v>
      </c>
      <c r="AD111" s="113">
        <v>60</v>
      </c>
      <c r="AE111" s="113">
        <v>48</v>
      </c>
      <c r="AF111" s="113">
        <v>33.1</v>
      </c>
      <c r="AG111" s="114">
        <v>75</v>
      </c>
      <c r="AH111" s="47">
        <f t="shared" si="25"/>
        <v>88.7</v>
      </c>
      <c r="AI111" s="48">
        <f t="shared" si="26"/>
        <v>18</v>
      </c>
    </row>
    <row r="112" spans="1:37" x14ac:dyDescent="0.25">
      <c r="A112" s="103" t="s">
        <v>128</v>
      </c>
      <c r="B112" s="115">
        <v>33.6</v>
      </c>
      <c r="C112" s="115">
        <v>45.1</v>
      </c>
      <c r="D112" s="115">
        <v>52.3</v>
      </c>
      <c r="E112" s="115">
        <v>50.9</v>
      </c>
      <c r="F112" s="115">
        <v>33.4</v>
      </c>
      <c r="G112" s="115">
        <v>36.5</v>
      </c>
      <c r="H112" s="115">
        <v>37.799999999999997</v>
      </c>
      <c r="I112" s="115">
        <v>37.799999999999997</v>
      </c>
      <c r="J112" s="115">
        <v>25.8</v>
      </c>
      <c r="K112" s="115">
        <v>25.8</v>
      </c>
      <c r="L112" s="115">
        <v>38.6</v>
      </c>
      <c r="M112" s="115">
        <v>47.7</v>
      </c>
      <c r="N112" s="115">
        <v>45.3</v>
      </c>
      <c r="O112" s="115">
        <v>45.3</v>
      </c>
      <c r="P112" s="115">
        <v>36</v>
      </c>
      <c r="Q112" s="115">
        <v>62.5</v>
      </c>
      <c r="R112" s="115">
        <v>59.4</v>
      </c>
      <c r="S112" s="115">
        <v>68.5</v>
      </c>
      <c r="T112" s="115">
        <v>97.4</v>
      </c>
      <c r="U112" s="115">
        <v>98.2</v>
      </c>
      <c r="V112" s="115">
        <v>97.3</v>
      </c>
      <c r="W112" s="115">
        <v>97.3</v>
      </c>
      <c r="X112" s="115">
        <v>97.3</v>
      </c>
      <c r="Y112" s="115">
        <v>97</v>
      </c>
      <c r="Z112" s="115">
        <v>128</v>
      </c>
      <c r="AA112" s="115">
        <v>56.4</v>
      </c>
      <c r="AB112" s="115">
        <v>66.3</v>
      </c>
      <c r="AC112" s="115">
        <v>80.099999999999994</v>
      </c>
      <c r="AD112" s="115">
        <v>89.4</v>
      </c>
      <c r="AE112" s="115">
        <v>69</v>
      </c>
      <c r="AF112" s="115">
        <v>50.8</v>
      </c>
      <c r="AG112" s="114">
        <v>240</v>
      </c>
      <c r="AH112" s="47">
        <f t="shared" si="25"/>
        <v>128</v>
      </c>
      <c r="AI112" s="48">
        <f t="shared" si="26"/>
        <v>25.8</v>
      </c>
    </row>
    <row r="113" spans="1:37" x14ac:dyDescent="0.25">
      <c r="A113" s="103" t="s">
        <v>129</v>
      </c>
      <c r="B113" s="115">
        <f>-79.3-83.3</f>
        <v>-162.6</v>
      </c>
      <c r="C113" s="115">
        <f>-82.4-87.3</f>
        <v>-169.7</v>
      </c>
      <c r="D113" s="115">
        <f>-86.9-88</f>
        <v>-174.9</v>
      </c>
      <c r="E113" s="115">
        <v>-178</v>
      </c>
      <c r="F113" s="115">
        <v>-168</v>
      </c>
      <c r="G113" s="115">
        <v>-175.6</v>
      </c>
      <c r="H113" s="115">
        <v>-156</v>
      </c>
      <c r="I113" s="115">
        <v>-149</v>
      </c>
      <c r="J113" s="115">
        <v>-110</v>
      </c>
      <c r="K113" s="115">
        <v>-110</v>
      </c>
      <c r="L113" s="115">
        <v>-113</v>
      </c>
      <c r="M113" s="115">
        <v>-93</v>
      </c>
      <c r="N113" s="115">
        <v>-85</v>
      </c>
      <c r="O113" s="115">
        <v>-85</v>
      </c>
      <c r="P113" s="115">
        <v>-80</v>
      </c>
      <c r="Q113" s="115">
        <v>43.1</v>
      </c>
      <c r="R113" s="115">
        <v>-94</v>
      </c>
      <c r="S113" s="115">
        <v>-138.9</v>
      </c>
      <c r="T113" s="115">
        <v>-159.69999999999999</v>
      </c>
      <c r="U113" s="115">
        <v>-155.80000000000001</v>
      </c>
      <c r="V113" s="115">
        <v>-153</v>
      </c>
      <c r="W113" s="115">
        <v>-153</v>
      </c>
      <c r="X113" s="115">
        <v>-153</v>
      </c>
      <c r="Y113" s="115">
        <v>-143.80000000000001</v>
      </c>
      <c r="Z113" s="115">
        <v>-155.5</v>
      </c>
      <c r="AA113" s="115">
        <v>-63.7</v>
      </c>
      <c r="AB113" s="115">
        <v>-114.6</v>
      </c>
      <c r="AC113" s="115">
        <v>-141</v>
      </c>
      <c r="AD113" s="115">
        <v>-168</v>
      </c>
      <c r="AE113" s="115">
        <v>-176</v>
      </c>
      <c r="AF113" s="115">
        <f>-85-88.8</f>
        <v>-173.8</v>
      </c>
      <c r="AG113" s="114">
        <v>240</v>
      </c>
      <c r="AH113" s="47">
        <f t="shared" si="25"/>
        <v>43.1</v>
      </c>
      <c r="AI113" s="48">
        <f t="shared" si="26"/>
        <v>-178</v>
      </c>
    </row>
    <row r="114" spans="1:37" x14ac:dyDescent="0.25">
      <c r="A114" s="103" t="s">
        <v>130</v>
      </c>
      <c r="B114" s="115">
        <v>-17.899999999999999</v>
      </c>
      <c r="C114" s="115">
        <v>-21.1</v>
      </c>
      <c r="D114" s="115">
        <v>-24.4</v>
      </c>
      <c r="E114" s="115">
        <v>-17.399999999999999</v>
      </c>
      <c r="F114" s="115">
        <v>-12</v>
      </c>
      <c r="G114" s="115">
        <v>-8.9</v>
      </c>
      <c r="H114" s="115">
        <v>-7.9</v>
      </c>
      <c r="I114" s="115">
        <v>1.1000000000000001</v>
      </c>
      <c r="J114" s="115">
        <v>1.1000000000000001</v>
      </c>
      <c r="K114" s="115">
        <v>1.1000000000000001</v>
      </c>
      <c r="L114" s="115">
        <v>0</v>
      </c>
      <c r="M114" s="115">
        <v>2.4</v>
      </c>
      <c r="N114" s="115">
        <v>3.1</v>
      </c>
      <c r="O114" s="115">
        <v>3.1</v>
      </c>
      <c r="P114" s="115">
        <v>1.6</v>
      </c>
      <c r="Q114" s="115">
        <v>-16</v>
      </c>
      <c r="R114" s="115">
        <v>-17</v>
      </c>
      <c r="S114" s="115">
        <v>4.7</v>
      </c>
      <c r="T114" s="115">
        <v>-8.1999999999999993</v>
      </c>
      <c r="U114" s="115">
        <v>-9.5</v>
      </c>
      <c r="V114" s="115">
        <v>-7.6</v>
      </c>
      <c r="W114" s="115">
        <v>-7.6</v>
      </c>
      <c r="X114" s="115">
        <v>-7.6</v>
      </c>
      <c r="Y114" s="115">
        <v>-2.6</v>
      </c>
      <c r="Z114" s="115">
        <v>-1</v>
      </c>
      <c r="AA114" s="115">
        <v>10.7</v>
      </c>
      <c r="AB114" s="115">
        <v>22.8</v>
      </c>
      <c r="AC114" s="115">
        <v>17</v>
      </c>
      <c r="AD114" s="115">
        <v>-2</v>
      </c>
      <c r="AE114" s="115">
        <v>-5.4</v>
      </c>
      <c r="AF114" s="115">
        <v>-9.1999999999999993</v>
      </c>
      <c r="AG114" s="114">
        <v>60</v>
      </c>
      <c r="AH114" s="47">
        <f t="shared" si="25"/>
        <v>22.8</v>
      </c>
      <c r="AI114" s="48">
        <f t="shared" si="26"/>
        <v>-24.4</v>
      </c>
    </row>
    <row r="115" spans="1:37" x14ac:dyDescent="0.25">
      <c r="A115" s="116" t="s">
        <v>131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5.3</v>
      </c>
      <c r="J115" s="117">
        <v>5.3</v>
      </c>
      <c r="K115" s="117">
        <v>5.3</v>
      </c>
      <c r="L115" s="117">
        <v>20.9</v>
      </c>
      <c r="M115" s="117">
        <v>20.3</v>
      </c>
      <c r="N115" s="117">
        <v>11.4</v>
      </c>
      <c r="O115" s="117">
        <v>11.4</v>
      </c>
      <c r="P115" s="117">
        <v>11.6</v>
      </c>
      <c r="Q115" s="117">
        <v>23.7</v>
      </c>
      <c r="R115" s="117">
        <v>23.4</v>
      </c>
      <c r="S115" s="117">
        <v>22.7</v>
      </c>
      <c r="T115" s="117">
        <v>23.2</v>
      </c>
      <c r="U115" s="117">
        <v>23.1</v>
      </c>
      <c r="V115" s="117">
        <v>23.4</v>
      </c>
      <c r="W115" s="117">
        <v>23.4</v>
      </c>
      <c r="X115" s="117">
        <v>23.4</v>
      </c>
      <c r="Y115" s="117">
        <v>23.4</v>
      </c>
      <c r="Z115" s="117">
        <v>22.5</v>
      </c>
      <c r="AA115" s="117">
        <v>20.9</v>
      </c>
      <c r="AB115" s="117">
        <v>20.9</v>
      </c>
      <c r="AC115" s="117">
        <v>21.2</v>
      </c>
      <c r="AD115" s="117">
        <v>22</v>
      </c>
      <c r="AE115" s="117">
        <v>22</v>
      </c>
      <c r="AF115" s="117">
        <v>0</v>
      </c>
      <c r="AG115" s="118">
        <v>120</v>
      </c>
      <c r="AH115" s="47">
        <f t="shared" si="25"/>
        <v>23.7</v>
      </c>
      <c r="AI115" s="48">
        <f t="shared" si="26"/>
        <v>0</v>
      </c>
    </row>
    <row r="116" spans="1:37" x14ac:dyDescent="0.25">
      <c r="A116" s="116" t="s">
        <v>132</v>
      </c>
      <c r="B116" s="117">
        <v>44.8</v>
      </c>
      <c r="C116" s="117">
        <v>31.6</v>
      </c>
      <c r="D116" s="117">
        <v>41</v>
      </c>
      <c r="E116" s="117">
        <v>32.6</v>
      </c>
      <c r="F116" s="117">
        <v>37.700000000000003</v>
      </c>
      <c r="G116" s="117">
        <v>32.4</v>
      </c>
      <c r="H116" s="117">
        <v>26.9</v>
      </c>
      <c r="I116" s="117">
        <v>36.799999999999997</v>
      </c>
      <c r="J116" s="117">
        <v>34</v>
      </c>
      <c r="K116" s="117">
        <v>34</v>
      </c>
      <c r="L116" s="117">
        <v>40.299999999999997</v>
      </c>
      <c r="M116" s="117">
        <v>31.3</v>
      </c>
      <c r="N116" s="117">
        <v>38</v>
      </c>
      <c r="O116" s="117">
        <v>38</v>
      </c>
      <c r="P116" s="117">
        <v>48.8</v>
      </c>
      <c r="Q116" s="117">
        <v>22.7</v>
      </c>
      <c r="R116" s="117">
        <v>32.4</v>
      </c>
      <c r="S116" s="117">
        <v>25.8</v>
      </c>
      <c r="T116" s="117">
        <v>25.1</v>
      </c>
      <c r="U116" s="117">
        <v>27.4</v>
      </c>
      <c r="V116" s="117">
        <v>23.4</v>
      </c>
      <c r="W116" s="117">
        <v>23.4</v>
      </c>
      <c r="X116" s="117">
        <v>23.4</v>
      </c>
      <c r="Y116" s="117">
        <v>28.3</v>
      </c>
      <c r="Z116" s="117">
        <v>27.1</v>
      </c>
      <c r="AA116" s="117">
        <v>55.7</v>
      </c>
      <c r="AB116" s="117">
        <v>56.1</v>
      </c>
      <c r="AC116" s="117">
        <v>39</v>
      </c>
      <c r="AD116" s="117">
        <v>32</v>
      </c>
      <c r="AE116" s="117">
        <v>35</v>
      </c>
      <c r="AF116" s="117">
        <v>39.200000000000003</v>
      </c>
      <c r="AG116" s="118"/>
      <c r="AH116" s="47">
        <f t="shared" si="25"/>
        <v>56.1</v>
      </c>
      <c r="AI116" s="48">
        <f t="shared" si="26"/>
        <v>22.7</v>
      </c>
    </row>
    <row r="117" spans="1:37" x14ac:dyDescent="0.25">
      <c r="A117" s="116" t="s">
        <v>133</v>
      </c>
      <c r="B117" s="117">
        <v>-22.6</v>
      </c>
      <c r="C117" s="117">
        <v>-8.1999999999999993</v>
      </c>
      <c r="D117" s="117">
        <v>-15.7</v>
      </c>
      <c r="E117" s="117">
        <v>-3.3</v>
      </c>
      <c r="F117" s="117">
        <v>-4.5999999999999996</v>
      </c>
      <c r="G117" s="117">
        <v>-6.5</v>
      </c>
      <c r="H117" s="117">
        <v>-5.5</v>
      </c>
      <c r="I117" s="117">
        <v>0.8</v>
      </c>
      <c r="J117" s="117">
        <v>9.3000000000000007</v>
      </c>
      <c r="K117" s="117">
        <v>9.3000000000000007</v>
      </c>
      <c r="L117" s="117">
        <v>-2</v>
      </c>
      <c r="M117" s="117">
        <v>5.2</v>
      </c>
      <c r="N117" s="117">
        <v>21.3</v>
      </c>
      <c r="O117" s="117">
        <v>21.3</v>
      </c>
      <c r="P117" s="117">
        <v>12.1</v>
      </c>
      <c r="Q117" s="117">
        <v>23.5</v>
      </c>
      <c r="R117" s="117">
        <v>19.3</v>
      </c>
      <c r="S117" s="117">
        <v>-9.3000000000000007</v>
      </c>
      <c r="T117" s="117">
        <v>-21.4</v>
      </c>
      <c r="U117" s="117">
        <v>17.100000000000001</v>
      </c>
      <c r="V117" s="117">
        <v>21.2</v>
      </c>
      <c r="W117" s="117">
        <v>21.2</v>
      </c>
      <c r="X117" s="117">
        <v>21.2</v>
      </c>
      <c r="Y117" s="117">
        <v>20.8</v>
      </c>
      <c r="Z117" s="117">
        <v>26.2</v>
      </c>
      <c r="AA117" s="117">
        <v>11.2</v>
      </c>
      <c r="AB117" s="117">
        <v>9.9</v>
      </c>
      <c r="AC117" s="117">
        <v>-6</v>
      </c>
      <c r="AD117" s="117">
        <v>0</v>
      </c>
      <c r="AE117" s="117">
        <v>-2.4</v>
      </c>
      <c r="AF117" s="117">
        <v>-8.5</v>
      </c>
      <c r="AG117" s="119"/>
      <c r="AH117" s="47">
        <f t="shared" si="25"/>
        <v>26.2</v>
      </c>
      <c r="AI117" s="48">
        <f t="shared" si="26"/>
        <v>-22.6</v>
      </c>
    </row>
    <row r="118" spans="1:37" x14ac:dyDescent="0.25">
      <c r="A118" s="120" t="s">
        <v>134</v>
      </c>
      <c r="B118" s="106">
        <v>48</v>
      </c>
      <c r="C118" s="106">
        <v>48.4</v>
      </c>
      <c r="D118" s="106">
        <v>50.2</v>
      </c>
      <c r="E118" s="106">
        <v>51.6</v>
      </c>
      <c r="F118" s="106">
        <v>54.9</v>
      </c>
      <c r="G118" s="106">
        <v>74</v>
      </c>
      <c r="H118" s="106">
        <v>74</v>
      </c>
      <c r="I118" s="106">
        <v>74</v>
      </c>
      <c r="J118" s="106">
        <v>74</v>
      </c>
      <c r="K118" s="106">
        <v>74</v>
      </c>
      <c r="L118" s="106">
        <v>68.5</v>
      </c>
      <c r="M118" s="106">
        <v>68.3</v>
      </c>
      <c r="N118" s="106">
        <v>50.1</v>
      </c>
      <c r="O118" s="106">
        <v>50.1</v>
      </c>
      <c r="P118" s="106">
        <v>61.4</v>
      </c>
      <c r="Q118" s="106">
        <v>62.2</v>
      </c>
      <c r="R118" s="106">
        <v>57</v>
      </c>
      <c r="S118" s="106">
        <v>42.4</v>
      </c>
      <c r="T118" s="106">
        <v>42.5</v>
      </c>
      <c r="U118" s="106">
        <v>42.6</v>
      </c>
      <c r="V118" s="106">
        <v>38.1</v>
      </c>
      <c r="W118" s="106">
        <v>38.1</v>
      </c>
      <c r="X118" s="106">
        <v>38.1</v>
      </c>
      <c r="Y118" s="106">
        <v>40.299999999999997</v>
      </c>
      <c r="Z118" s="106">
        <v>28.8</v>
      </c>
      <c r="AA118" s="106">
        <v>25</v>
      </c>
      <c r="AB118" s="106">
        <v>25.8</v>
      </c>
      <c r="AC118" s="106">
        <v>28</v>
      </c>
      <c r="AD118" s="106">
        <v>31</v>
      </c>
      <c r="AE118" s="106">
        <v>34.200000000000003</v>
      </c>
      <c r="AF118" s="106">
        <v>40.799999999999997</v>
      </c>
      <c r="AG118" s="119"/>
      <c r="AH118" s="47">
        <f t="shared" si="25"/>
        <v>74</v>
      </c>
      <c r="AI118" s="48">
        <f t="shared" si="26"/>
        <v>25</v>
      </c>
    </row>
    <row r="119" spans="1:37" x14ac:dyDescent="0.25">
      <c r="A119" s="121" t="s">
        <v>135</v>
      </c>
      <c r="B119" s="106">
        <v>85.7</v>
      </c>
      <c r="C119" s="106">
        <v>96.2</v>
      </c>
      <c r="D119" s="106">
        <v>91.5</v>
      </c>
      <c r="E119" s="106">
        <v>92</v>
      </c>
      <c r="F119" s="106">
        <v>88.8</v>
      </c>
      <c r="G119" s="106">
        <v>83</v>
      </c>
      <c r="H119" s="106">
        <v>85.6</v>
      </c>
      <c r="I119" s="106">
        <v>87.6</v>
      </c>
      <c r="J119" s="106">
        <v>82.5</v>
      </c>
      <c r="K119" s="106">
        <v>82.5</v>
      </c>
      <c r="L119" s="106">
        <v>82.7</v>
      </c>
      <c r="M119" s="106">
        <v>74.8</v>
      </c>
      <c r="N119" s="106">
        <v>72.7</v>
      </c>
      <c r="O119" s="106">
        <v>72.7</v>
      </c>
      <c r="P119" s="106">
        <v>60.2</v>
      </c>
      <c r="Q119" s="106">
        <v>83.7</v>
      </c>
      <c r="R119" s="106">
        <v>77</v>
      </c>
      <c r="S119" s="106">
        <v>68.099999999999994</v>
      </c>
      <c r="T119" s="106">
        <v>78.7</v>
      </c>
      <c r="U119" s="106">
        <v>74.099999999999994</v>
      </c>
      <c r="V119" s="106">
        <v>73.7</v>
      </c>
      <c r="W119" s="106">
        <v>73.7</v>
      </c>
      <c r="X119" s="106">
        <v>73.7</v>
      </c>
      <c r="Y119" s="106">
        <v>70.7</v>
      </c>
      <c r="Z119" s="106">
        <v>73.400000000000006</v>
      </c>
      <c r="AA119" s="106">
        <v>54.2</v>
      </c>
      <c r="AB119" s="106">
        <v>59.7</v>
      </c>
      <c r="AC119" s="106">
        <v>80</v>
      </c>
      <c r="AD119" s="106">
        <v>89</v>
      </c>
      <c r="AE119" s="106">
        <v>91.7</v>
      </c>
      <c r="AF119" s="106">
        <v>93.2</v>
      </c>
      <c r="AG119" s="119"/>
      <c r="AH119" s="47">
        <f t="shared" si="25"/>
        <v>96.2</v>
      </c>
      <c r="AI119" s="48">
        <f t="shared" si="26"/>
        <v>54.2</v>
      </c>
    </row>
    <row r="120" spans="1:37" ht="15.75" thickBot="1" x14ac:dyDescent="0.3">
      <c r="A120" s="120" t="s">
        <v>136</v>
      </c>
      <c r="B120" s="106">
        <v>11.7</v>
      </c>
      <c r="C120" s="106">
        <v>15.5</v>
      </c>
      <c r="D120" s="106">
        <v>31.3</v>
      </c>
      <c r="E120" s="106">
        <v>55.6</v>
      </c>
      <c r="F120" s="106">
        <v>45.6</v>
      </c>
      <c r="G120" s="106">
        <v>10</v>
      </c>
      <c r="H120" s="106">
        <v>-14.6</v>
      </c>
      <c r="I120" s="106">
        <v>-17</v>
      </c>
      <c r="J120" s="106">
        <v>-20.5</v>
      </c>
      <c r="K120" s="106">
        <v>-20.5</v>
      </c>
      <c r="L120" s="106">
        <v>-12.5</v>
      </c>
      <c r="M120" s="106">
        <v>-12.2</v>
      </c>
      <c r="N120" s="106">
        <v>-19.899999999999999</v>
      </c>
      <c r="O120" s="106">
        <v>-19.899999999999999</v>
      </c>
      <c r="P120" s="106">
        <v>-20.399999999999999</v>
      </c>
      <c r="Q120" s="106">
        <v>-27.3</v>
      </c>
      <c r="R120" s="106">
        <v>-16.600000000000001</v>
      </c>
      <c r="S120" s="106">
        <v>-4.5</v>
      </c>
      <c r="T120" s="106">
        <v>0.5</v>
      </c>
      <c r="U120" s="106">
        <v>-7.8</v>
      </c>
      <c r="V120" s="106">
        <v>-7.1</v>
      </c>
      <c r="W120" s="106">
        <v>-7.1</v>
      </c>
      <c r="X120" s="106">
        <v>-7.1</v>
      </c>
      <c r="Y120" s="106">
        <v>-0.2</v>
      </c>
      <c r="Z120" s="106">
        <v>13.2</v>
      </c>
      <c r="AA120" s="106">
        <v>25.1</v>
      </c>
      <c r="AB120" s="106">
        <v>29.9</v>
      </c>
      <c r="AC120" s="106">
        <v>28</v>
      </c>
      <c r="AD120" s="106">
        <v>32</v>
      </c>
      <c r="AE120" s="106">
        <v>21</v>
      </c>
      <c r="AF120" s="106">
        <v>12.1</v>
      </c>
      <c r="AG120" s="119"/>
      <c r="AH120" s="47">
        <f t="shared" si="25"/>
        <v>55.6</v>
      </c>
      <c r="AI120" s="48">
        <f t="shared" si="26"/>
        <v>-27.3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52">SUM(B122:B226)</f>
        <v>0</v>
      </c>
      <c r="C227" s="137">
        <f t="shared" si="52"/>
        <v>0</v>
      </c>
      <c r="D227" s="137">
        <f t="shared" si="52"/>
        <v>0</v>
      </c>
      <c r="E227" s="137">
        <f t="shared" si="52"/>
        <v>0</v>
      </c>
      <c r="F227" s="137">
        <f t="shared" si="52"/>
        <v>0</v>
      </c>
      <c r="G227" s="137">
        <f t="shared" si="52"/>
        <v>0</v>
      </c>
      <c r="H227" s="137">
        <f t="shared" si="52"/>
        <v>0</v>
      </c>
      <c r="I227" s="137">
        <f t="shared" si="52"/>
        <v>0</v>
      </c>
      <c r="J227" s="137">
        <f t="shared" si="52"/>
        <v>0</v>
      </c>
      <c r="K227" s="137">
        <f t="shared" si="52"/>
        <v>0</v>
      </c>
      <c r="L227" s="137">
        <f t="shared" si="52"/>
        <v>0</v>
      </c>
      <c r="M227" s="137">
        <f t="shared" si="52"/>
        <v>0</v>
      </c>
      <c r="N227" s="137">
        <f t="shared" si="52"/>
        <v>0</v>
      </c>
      <c r="O227" s="137">
        <f t="shared" si="52"/>
        <v>0</v>
      </c>
      <c r="P227" s="137">
        <f t="shared" si="52"/>
        <v>0</v>
      </c>
      <c r="Q227" s="137">
        <f t="shared" si="52"/>
        <v>0</v>
      </c>
      <c r="R227" s="137">
        <f t="shared" si="52"/>
        <v>0</v>
      </c>
      <c r="S227" s="137">
        <f t="shared" si="52"/>
        <v>0</v>
      </c>
      <c r="T227" s="137">
        <f t="shared" si="52"/>
        <v>0</v>
      </c>
      <c r="U227" s="137">
        <f t="shared" si="52"/>
        <v>0</v>
      </c>
      <c r="V227" s="137">
        <f t="shared" si="52"/>
        <v>0</v>
      </c>
      <c r="W227" s="137">
        <f t="shared" si="52"/>
        <v>0</v>
      </c>
      <c r="X227" s="137">
        <f t="shared" si="52"/>
        <v>0</v>
      </c>
      <c r="Y227" s="137">
        <f t="shared" si="52"/>
        <v>0</v>
      </c>
      <c r="Z227" s="137">
        <f t="shared" si="52"/>
        <v>0</v>
      </c>
      <c r="AA227" s="137">
        <f t="shared" si="52"/>
        <v>0</v>
      </c>
      <c r="AB227" s="137">
        <f t="shared" si="52"/>
        <v>0</v>
      </c>
      <c r="AC227" s="137">
        <f t="shared" si="52"/>
        <v>0</v>
      </c>
      <c r="AD227" s="137">
        <f t="shared" si="52"/>
        <v>0</v>
      </c>
      <c r="AE227" s="137">
        <f t="shared" si="52"/>
        <v>0</v>
      </c>
      <c r="AF227" s="138">
        <f t="shared" si="52"/>
        <v>0</v>
      </c>
      <c r="AG227" s="139">
        <f t="shared" si="52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53">AF229</f>
        <v>0</v>
      </c>
      <c r="C229" s="141">
        <v>0.3</v>
      </c>
      <c r="D229" s="141">
        <f t="shared" ref="D229:P234" si="54">C229</f>
        <v>0.3</v>
      </c>
      <c r="E229" s="141">
        <f t="shared" si="54"/>
        <v>0.3</v>
      </c>
      <c r="F229" s="141">
        <f t="shared" si="54"/>
        <v>0.3</v>
      </c>
      <c r="G229" s="141">
        <f t="shared" si="54"/>
        <v>0.3</v>
      </c>
      <c r="H229" s="141">
        <f t="shared" si="54"/>
        <v>0.3</v>
      </c>
      <c r="I229" s="141">
        <f t="shared" si="54"/>
        <v>0.3</v>
      </c>
      <c r="J229" s="141">
        <f t="shared" si="54"/>
        <v>0.3</v>
      </c>
      <c r="K229" s="141">
        <f t="shared" si="54"/>
        <v>0.3</v>
      </c>
      <c r="L229" s="141">
        <f t="shared" si="54"/>
        <v>0.3</v>
      </c>
      <c r="M229" s="141">
        <f t="shared" si="54"/>
        <v>0.3</v>
      </c>
      <c r="N229" s="141">
        <f t="shared" si="54"/>
        <v>0.3</v>
      </c>
      <c r="O229" s="141">
        <f t="shared" si="54"/>
        <v>0.3</v>
      </c>
      <c r="P229" s="141">
        <f t="shared" si="54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53"/>
        <v>0</v>
      </c>
      <c r="C230" s="129">
        <v>0.4</v>
      </c>
      <c r="D230" s="129">
        <f t="shared" si="54"/>
        <v>0.4</v>
      </c>
      <c r="E230" s="129">
        <f t="shared" si="54"/>
        <v>0.4</v>
      </c>
      <c r="F230" s="129">
        <f t="shared" si="54"/>
        <v>0.4</v>
      </c>
      <c r="G230" s="129">
        <f t="shared" si="54"/>
        <v>0.4</v>
      </c>
      <c r="H230" s="129">
        <f t="shared" si="54"/>
        <v>0.4</v>
      </c>
      <c r="I230" s="129">
        <f t="shared" si="54"/>
        <v>0.4</v>
      </c>
      <c r="J230" s="129">
        <f t="shared" si="54"/>
        <v>0.4</v>
      </c>
      <c r="K230" s="129">
        <f t="shared" si="54"/>
        <v>0.4</v>
      </c>
      <c r="L230" s="129">
        <f t="shared" si="54"/>
        <v>0.4</v>
      </c>
      <c r="M230" s="129">
        <f t="shared" si="54"/>
        <v>0.4</v>
      </c>
      <c r="N230" s="129">
        <f t="shared" si="54"/>
        <v>0.4</v>
      </c>
      <c r="O230" s="129">
        <f t="shared" si="54"/>
        <v>0.4</v>
      </c>
      <c r="P230" s="129">
        <f t="shared" si="54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53"/>
        <v>0</v>
      </c>
      <c r="C231" s="129">
        <v>1.5</v>
      </c>
      <c r="D231" s="129">
        <f t="shared" si="54"/>
        <v>1.5</v>
      </c>
      <c r="E231" s="129">
        <f t="shared" si="54"/>
        <v>1.5</v>
      </c>
      <c r="F231" s="129">
        <f t="shared" si="54"/>
        <v>1.5</v>
      </c>
      <c r="G231" s="129">
        <f t="shared" si="54"/>
        <v>1.5</v>
      </c>
      <c r="H231" s="129">
        <f t="shared" si="54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54"/>
        <v>123.21900000000009</v>
      </c>
      <c r="K231" s="129">
        <f t="shared" ca="1" si="54"/>
        <v>123.21900000000009</v>
      </c>
      <c r="L231" s="129">
        <f t="shared" ca="1" si="54"/>
        <v>123.21900000000009</v>
      </c>
      <c r="M231" s="129">
        <f t="shared" ca="1" si="54"/>
        <v>119.19900000000008</v>
      </c>
      <c r="N231" s="129">
        <f t="shared" ca="1" si="54"/>
        <v>119.19900000000008</v>
      </c>
      <c r="O231" s="129">
        <f t="shared" ca="1" si="54"/>
        <v>119.19900000000008</v>
      </c>
      <c r="P231" s="129">
        <f t="shared" ca="1" si="54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53"/>
        <v>0</v>
      </c>
      <c r="C232" s="129">
        <v>0.3</v>
      </c>
      <c r="D232" s="129">
        <f t="shared" si="54"/>
        <v>0.3</v>
      </c>
      <c r="E232" s="129">
        <f t="shared" si="54"/>
        <v>0.3</v>
      </c>
      <c r="F232" s="129">
        <f t="shared" si="54"/>
        <v>0.3</v>
      </c>
      <c r="G232" s="129">
        <f t="shared" si="54"/>
        <v>0.3</v>
      </c>
      <c r="H232" s="129">
        <f t="shared" si="54"/>
        <v>0.3</v>
      </c>
      <c r="I232" s="129">
        <f t="shared" si="54"/>
        <v>0.3</v>
      </c>
      <c r="J232" s="129">
        <f t="shared" si="54"/>
        <v>0.3</v>
      </c>
      <c r="K232" s="129">
        <f t="shared" si="54"/>
        <v>0.3</v>
      </c>
      <c r="L232" s="129">
        <f t="shared" si="54"/>
        <v>0.3</v>
      </c>
      <c r="M232" s="129">
        <f t="shared" si="54"/>
        <v>0.3</v>
      </c>
      <c r="N232" s="129">
        <f t="shared" si="54"/>
        <v>0.3</v>
      </c>
      <c r="O232" s="129">
        <f t="shared" si="54"/>
        <v>0.3</v>
      </c>
      <c r="P232" s="129">
        <f t="shared" si="54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53"/>
        <v>0</v>
      </c>
      <c r="C233" s="129">
        <v>0.4</v>
      </c>
      <c r="D233" s="129">
        <f t="shared" si="54"/>
        <v>0.4</v>
      </c>
      <c r="E233" s="129">
        <f t="shared" si="54"/>
        <v>0.4</v>
      </c>
      <c r="F233" s="129">
        <f t="shared" si="54"/>
        <v>0.4</v>
      </c>
      <c r="G233" s="129">
        <f t="shared" si="54"/>
        <v>0.4</v>
      </c>
      <c r="H233" s="129">
        <f t="shared" si="54"/>
        <v>0.4</v>
      </c>
      <c r="I233" s="129">
        <f t="shared" si="54"/>
        <v>0.4</v>
      </c>
      <c r="J233" s="129">
        <f t="shared" si="54"/>
        <v>0.4</v>
      </c>
      <c r="K233" s="129">
        <f t="shared" si="54"/>
        <v>0.4</v>
      </c>
      <c r="L233" s="129">
        <f t="shared" si="54"/>
        <v>0.4</v>
      </c>
      <c r="M233" s="129">
        <f t="shared" si="54"/>
        <v>0.4</v>
      </c>
      <c r="N233" s="129">
        <f t="shared" si="54"/>
        <v>0.4</v>
      </c>
      <c r="O233" s="129">
        <f t="shared" si="54"/>
        <v>0.4</v>
      </c>
      <c r="P233" s="129">
        <f t="shared" si="54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53"/>
        <v>0</v>
      </c>
      <c r="C234" s="133">
        <v>0.64</v>
      </c>
      <c r="D234" s="133">
        <f t="shared" si="54"/>
        <v>0.64</v>
      </c>
      <c r="E234" s="133">
        <f t="shared" si="54"/>
        <v>0.64</v>
      </c>
      <c r="F234" s="133">
        <f t="shared" si="54"/>
        <v>0.64</v>
      </c>
      <c r="G234" s="133">
        <f t="shared" si="54"/>
        <v>0.64</v>
      </c>
      <c r="H234" s="133">
        <f t="shared" si="54"/>
        <v>0.64</v>
      </c>
      <c r="I234" s="133">
        <f t="shared" si="54"/>
        <v>0.64</v>
      </c>
      <c r="J234" s="133">
        <f t="shared" si="54"/>
        <v>0.64</v>
      </c>
      <c r="K234" s="133">
        <f t="shared" si="54"/>
        <v>0.64</v>
      </c>
      <c r="L234" s="133">
        <f t="shared" si="54"/>
        <v>0.64</v>
      </c>
      <c r="M234" s="133">
        <f t="shared" si="54"/>
        <v>0.64</v>
      </c>
      <c r="N234" s="133">
        <f t="shared" si="54"/>
        <v>0.64</v>
      </c>
      <c r="O234" s="133">
        <f t="shared" si="54"/>
        <v>0.64</v>
      </c>
      <c r="P234" s="133">
        <f t="shared" si="54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55">SUM(B229:B234)</f>
        <v>0</v>
      </c>
      <c r="C235" s="137">
        <f t="shared" si="55"/>
        <v>3.54</v>
      </c>
      <c r="D235" s="137">
        <f t="shared" si="55"/>
        <v>3.54</v>
      </c>
      <c r="E235" s="137">
        <f t="shared" si="55"/>
        <v>3.54</v>
      </c>
      <c r="F235" s="137">
        <f t="shared" si="55"/>
        <v>3.54</v>
      </c>
      <c r="G235" s="137">
        <f t="shared" si="55"/>
        <v>3.54</v>
      </c>
      <c r="H235" s="137">
        <f t="shared" si="55"/>
        <v>3.54</v>
      </c>
      <c r="I235" s="137">
        <f t="shared" ca="1" si="55"/>
        <v>121.23900000000009</v>
      </c>
      <c r="J235" s="137">
        <f t="shared" ca="1" si="55"/>
        <v>121.23900000000009</v>
      </c>
      <c r="K235" s="137">
        <f t="shared" ca="1" si="55"/>
        <v>121.23900000000009</v>
      </c>
      <c r="L235" s="137">
        <f t="shared" ca="1" si="55"/>
        <v>125.2590000000001</v>
      </c>
      <c r="M235" s="137">
        <f t="shared" ca="1" si="55"/>
        <v>121.23900000000009</v>
      </c>
      <c r="N235" s="137">
        <f t="shared" ca="1" si="55"/>
        <v>121.23900000000009</v>
      </c>
      <c r="O235" s="137">
        <f t="shared" ca="1" si="55"/>
        <v>121.23900000000009</v>
      </c>
      <c r="P235" s="137">
        <f t="shared" ca="1" si="55"/>
        <v>121.23900000000009</v>
      </c>
      <c r="Q235" s="137">
        <f t="shared" si="55"/>
        <v>0</v>
      </c>
      <c r="R235" s="137">
        <f t="shared" si="55"/>
        <v>0</v>
      </c>
      <c r="S235" s="137">
        <f t="shared" si="55"/>
        <v>0</v>
      </c>
      <c r="T235" s="137">
        <f t="shared" si="55"/>
        <v>0</v>
      </c>
      <c r="U235" s="137">
        <f t="shared" si="55"/>
        <v>0</v>
      </c>
      <c r="V235" s="137">
        <f t="shared" si="55"/>
        <v>0</v>
      </c>
      <c r="W235" s="137">
        <f t="shared" si="55"/>
        <v>0</v>
      </c>
      <c r="X235" s="137">
        <f t="shared" si="55"/>
        <v>0</v>
      </c>
      <c r="Y235" s="137">
        <f t="shared" si="55"/>
        <v>0</v>
      </c>
      <c r="Z235" s="137">
        <f t="shared" si="55"/>
        <v>0</v>
      </c>
      <c r="AA235" s="137">
        <f t="shared" si="55"/>
        <v>0</v>
      </c>
      <c r="AB235" s="137">
        <f t="shared" si="55"/>
        <v>0</v>
      </c>
      <c r="AC235" s="137">
        <f t="shared" si="55"/>
        <v>0</v>
      </c>
      <c r="AD235" s="137">
        <f t="shared" si="55"/>
        <v>0</v>
      </c>
      <c r="AE235" s="137">
        <f t="shared" si="55"/>
        <v>0</v>
      </c>
      <c r="AF235" s="137">
        <f t="shared" si="55"/>
        <v>0</v>
      </c>
      <c r="AG235" s="146">
        <f t="shared" si="55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1869.6200000000001</v>
      </c>
      <c r="C244" s="162">
        <f>INDEX(G9:N9,1,MATCH(MAX(G91:N91),G91:N91,0))</f>
        <v>0.33333333333333331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30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2080/03/30)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2080/03/30)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56">B91</f>
        <v>1907.02</v>
      </c>
      <c r="U249" s="171">
        <f t="shared" si="56"/>
        <v>1913.42</v>
      </c>
      <c r="V249" s="171">
        <f t="shared" si="56"/>
        <v>1903.7200000000003</v>
      </c>
      <c r="W249" s="171">
        <f t="shared" si="56"/>
        <v>1792.92</v>
      </c>
      <c r="X249" s="171">
        <f t="shared" si="56"/>
        <v>1771.1200000000001</v>
      </c>
      <c r="Y249" s="171">
        <f t="shared" si="56"/>
        <v>1777.82</v>
      </c>
      <c r="Z249" s="171">
        <f t="shared" si="56"/>
        <v>1841.4199999999998</v>
      </c>
      <c r="AA249" s="171">
        <f t="shared" si="56"/>
        <v>1848.12</v>
      </c>
      <c r="AB249" s="171">
        <f t="shared" si="56"/>
        <v>1821.52</v>
      </c>
      <c r="AC249" s="171">
        <f t="shared" si="56"/>
        <v>1821.52</v>
      </c>
      <c r="AD249" s="171">
        <f t="shared" si="56"/>
        <v>1869.02</v>
      </c>
      <c r="AE249" s="171">
        <f t="shared" si="56"/>
        <v>1869.6200000000001</v>
      </c>
      <c r="AF249" s="171">
        <f t="shared" si="56"/>
        <v>1840.0200000000002</v>
      </c>
      <c r="AG249" s="171">
        <f t="shared" si="56"/>
        <v>1902.22</v>
      </c>
      <c r="AH249" s="171">
        <f t="shared" si="56"/>
        <v>1884.32</v>
      </c>
      <c r="AI249" s="171">
        <f t="shared" si="56"/>
        <v>1782.8200000000002</v>
      </c>
      <c r="AJ249" s="171">
        <f t="shared" si="56"/>
        <v>1774.8200000000002</v>
      </c>
      <c r="AK249" s="171">
        <f t="shared" si="56"/>
        <v>1124.54</v>
      </c>
      <c r="AL249" s="171">
        <f t="shared" si="56"/>
        <v>1870.8689999999999</v>
      </c>
      <c r="AM249" s="171">
        <f t="shared" si="56"/>
        <v>1927.9749999999997</v>
      </c>
      <c r="AN249" s="171">
        <f t="shared" si="56"/>
        <v>1892.3399999999997</v>
      </c>
      <c r="AO249" s="171">
        <f t="shared" si="56"/>
        <v>1881.0399999999997</v>
      </c>
      <c r="AP249" s="171">
        <f t="shared" si="56"/>
        <v>1865.84</v>
      </c>
      <c r="AQ249" s="171">
        <f t="shared" si="56"/>
        <v>1845.6399999999999</v>
      </c>
      <c r="AR249" s="171">
        <f t="shared" si="56"/>
        <v>1937.54</v>
      </c>
      <c r="AS249" s="171">
        <f t="shared" si="56"/>
        <v>2021.1389999999997</v>
      </c>
      <c r="AT249" s="171">
        <f t="shared" si="56"/>
        <v>2093.4389999999994</v>
      </c>
      <c r="AU249" s="171">
        <f t="shared" si="56"/>
        <v>2117.739</v>
      </c>
      <c r="AV249" s="171">
        <f t="shared" si="56"/>
        <v>2065.2389999999996</v>
      </c>
      <c r="AW249" s="171">
        <f t="shared" si="56"/>
        <v>2031.9389999999999</v>
      </c>
      <c r="AX249" s="171">
        <f t="shared" si="56"/>
        <v>1993.24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57">C234</f>
        <v>0.64</v>
      </c>
      <c r="C270" s="174">
        <f t="shared" si="57"/>
        <v>0.64</v>
      </c>
      <c r="D270" s="174">
        <f t="shared" si="57"/>
        <v>0.64</v>
      </c>
      <c r="E270" s="174">
        <f t="shared" si="57"/>
        <v>0.64</v>
      </c>
      <c r="F270" s="174">
        <f t="shared" si="57"/>
        <v>0.64</v>
      </c>
      <c r="G270" s="174">
        <f t="shared" si="57"/>
        <v>0.64</v>
      </c>
      <c r="H270" s="174">
        <f t="shared" si="57"/>
        <v>0.64</v>
      </c>
      <c r="I270" s="174">
        <f t="shared" si="57"/>
        <v>0.64</v>
      </c>
      <c r="J270" s="174">
        <f t="shared" si="57"/>
        <v>0.64</v>
      </c>
      <c r="K270" s="174">
        <f t="shared" si="57"/>
        <v>0.64</v>
      </c>
      <c r="L270" s="174">
        <f t="shared" si="57"/>
        <v>0.64</v>
      </c>
      <c r="M270" s="174">
        <f t="shared" si="57"/>
        <v>0.64</v>
      </c>
      <c r="N270" s="174">
        <f t="shared" si="57"/>
        <v>0.64</v>
      </c>
      <c r="O270" s="174">
        <f t="shared" si="57"/>
        <v>0.64</v>
      </c>
      <c r="P270" s="174">
        <f t="shared" si="57"/>
        <v>0</v>
      </c>
      <c r="Q270" s="174">
        <f t="shared" si="57"/>
        <v>0</v>
      </c>
      <c r="R270" s="174">
        <f t="shared" si="57"/>
        <v>0</v>
      </c>
      <c r="S270" s="174">
        <f t="shared" si="57"/>
        <v>0</v>
      </c>
      <c r="T270" s="174">
        <f t="shared" si="57"/>
        <v>0</v>
      </c>
      <c r="U270" s="174">
        <f t="shared" si="57"/>
        <v>0</v>
      </c>
      <c r="V270" s="174">
        <f t="shared" si="57"/>
        <v>0</v>
      </c>
      <c r="W270" s="174">
        <f t="shared" si="57"/>
        <v>0</v>
      </c>
      <c r="X270" s="174">
        <f t="shared" si="57"/>
        <v>0</v>
      </c>
      <c r="Y270" s="174">
        <f t="shared" si="57"/>
        <v>0</v>
      </c>
      <c r="Z270" s="174">
        <f t="shared" si="57"/>
        <v>0</v>
      </c>
      <c r="AA270" s="174">
        <f t="shared" si="57"/>
        <v>0</v>
      </c>
      <c r="AB270" s="174">
        <f t="shared" si="57"/>
        <v>0</v>
      </c>
      <c r="AC270" s="174">
        <f t="shared" si="57"/>
        <v>0</v>
      </c>
      <c r="AD270" s="174">
        <f t="shared" si="57"/>
        <v>0</v>
      </c>
      <c r="AE270" s="174">
        <f t="shared" si="57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58">IF(B238&lt;100,"",B238-520)</f>
        <v/>
      </c>
      <c r="C271" s="175" t="str">
        <f t="shared" si="58"/>
        <v/>
      </c>
      <c r="D271" s="175" t="str">
        <f t="shared" si="58"/>
        <v/>
      </c>
      <c r="E271" s="175" t="str">
        <f t="shared" si="58"/>
        <v/>
      </c>
      <c r="F271" s="175" t="str">
        <f t="shared" si="58"/>
        <v/>
      </c>
      <c r="G271" s="175" t="str">
        <f t="shared" si="58"/>
        <v/>
      </c>
      <c r="H271" s="175" t="str">
        <f t="shared" si="58"/>
        <v/>
      </c>
      <c r="I271" s="175" t="str">
        <f t="shared" si="58"/>
        <v/>
      </c>
      <c r="J271" s="175" t="str">
        <f t="shared" si="58"/>
        <v/>
      </c>
      <c r="K271" s="175" t="str">
        <f t="shared" si="58"/>
        <v/>
      </c>
      <c r="L271" s="175" t="str">
        <f t="shared" si="58"/>
        <v/>
      </c>
      <c r="M271" s="175" t="str">
        <f t="shared" si="58"/>
        <v/>
      </c>
      <c r="N271" s="175" t="str">
        <f t="shared" si="58"/>
        <v/>
      </c>
      <c r="O271" s="175" t="str">
        <f t="shared" si="58"/>
        <v/>
      </c>
      <c r="P271" s="175" t="str">
        <f t="shared" si="58"/>
        <v/>
      </c>
      <c r="Q271" s="175" t="str">
        <f t="shared" si="58"/>
        <v/>
      </c>
      <c r="R271" s="175" t="str">
        <f t="shared" si="58"/>
        <v/>
      </c>
      <c r="S271" s="175" t="str">
        <f t="shared" si="58"/>
        <v/>
      </c>
      <c r="T271" s="175" t="str">
        <f t="shared" si="58"/>
        <v/>
      </c>
      <c r="U271" s="175" t="str">
        <f t="shared" si="58"/>
        <v/>
      </c>
      <c r="V271" s="175" t="str">
        <f t="shared" si="58"/>
        <v/>
      </c>
      <c r="W271" s="175" t="str">
        <f t="shared" si="58"/>
        <v/>
      </c>
      <c r="X271" s="175" t="str">
        <f t="shared" si="58"/>
        <v/>
      </c>
      <c r="Y271" s="175" t="str">
        <f t="shared" si="58"/>
        <v/>
      </c>
      <c r="Z271" s="175" t="str">
        <f t="shared" si="58"/>
        <v/>
      </c>
      <c r="AA271" s="175" t="str">
        <f t="shared" si="58"/>
        <v/>
      </c>
      <c r="AB271" s="175" t="str">
        <f t="shared" si="58"/>
        <v/>
      </c>
      <c r="AC271" s="175" t="str">
        <f t="shared" si="58"/>
        <v/>
      </c>
      <c r="AD271" s="175" t="str">
        <f t="shared" si="58"/>
        <v/>
      </c>
      <c r="AE271" s="175" t="str">
        <f t="shared" si="58"/>
        <v/>
      </c>
      <c r="AF271" s="175" t="str">
        <f t="shared" si="58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59">IF(B239&lt;100,"",B239-620)</f>
        <v/>
      </c>
      <c r="C272" s="175" t="str">
        <f t="shared" si="59"/>
        <v/>
      </c>
      <c r="D272" s="175" t="str">
        <f t="shared" si="59"/>
        <v/>
      </c>
      <c r="E272" s="175" t="str">
        <f t="shared" si="59"/>
        <v/>
      </c>
      <c r="F272" s="175" t="str">
        <f t="shared" si="59"/>
        <v/>
      </c>
      <c r="G272" s="175" t="str">
        <f t="shared" si="59"/>
        <v/>
      </c>
      <c r="H272" s="175" t="str">
        <f t="shared" si="59"/>
        <v/>
      </c>
      <c r="I272" s="175" t="str">
        <f t="shared" si="59"/>
        <v/>
      </c>
      <c r="J272" s="175" t="str">
        <f t="shared" si="59"/>
        <v/>
      </c>
      <c r="K272" s="175" t="str">
        <f t="shared" si="59"/>
        <v/>
      </c>
      <c r="L272" s="175" t="str">
        <f t="shared" si="59"/>
        <v/>
      </c>
      <c r="M272" s="175" t="str">
        <f t="shared" si="59"/>
        <v/>
      </c>
      <c r="N272" s="175" t="str">
        <f t="shared" si="59"/>
        <v/>
      </c>
      <c r="O272" s="175" t="str">
        <f t="shared" si="59"/>
        <v/>
      </c>
      <c r="P272" s="175" t="str">
        <f t="shared" si="59"/>
        <v/>
      </c>
      <c r="Q272" s="175" t="str">
        <f t="shared" si="59"/>
        <v/>
      </c>
      <c r="R272" s="175" t="str">
        <f t="shared" si="59"/>
        <v/>
      </c>
      <c r="S272" s="175" t="str">
        <f t="shared" si="59"/>
        <v/>
      </c>
      <c r="T272" s="175" t="str">
        <f t="shared" si="59"/>
        <v/>
      </c>
      <c r="U272" s="175" t="str">
        <f t="shared" si="59"/>
        <v/>
      </c>
      <c r="V272" s="175" t="str">
        <f t="shared" si="59"/>
        <v/>
      </c>
      <c r="W272" s="175" t="str">
        <f t="shared" si="59"/>
        <v/>
      </c>
      <c r="X272" s="175" t="str">
        <f t="shared" si="59"/>
        <v/>
      </c>
      <c r="Y272" s="175" t="str">
        <f t="shared" si="59"/>
        <v/>
      </c>
      <c r="Z272" s="175" t="str">
        <f t="shared" si="59"/>
        <v/>
      </c>
      <c r="AA272" s="175" t="str">
        <f t="shared" si="59"/>
        <v/>
      </c>
      <c r="AB272" s="175" t="str">
        <f t="shared" si="59"/>
        <v/>
      </c>
      <c r="AC272" s="175" t="str">
        <f t="shared" si="59"/>
        <v/>
      </c>
      <c r="AD272" s="175" t="str">
        <f t="shared" si="59"/>
        <v/>
      </c>
      <c r="AE272" s="175" t="str">
        <f t="shared" si="59"/>
        <v/>
      </c>
      <c r="AF272" s="175" t="str">
        <f t="shared" si="59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60">IF(B240&lt;100,"",B240-330)</f>
        <v/>
      </c>
      <c r="C273" s="175" t="str">
        <f t="shared" si="60"/>
        <v/>
      </c>
      <c r="D273" s="175" t="str">
        <f t="shared" si="60"/>
        <v/>
      </c>
      <c r="E273" s="175" t="str">
        <f t="shared" si="60"/>
        <v/>
      </c>
      <c r="F273" s="175" t="str">
        <f t="shared" si="60"/>
        <v/>
      </c>
      <c r="G273" s="175" t="str">
        <f t="shared" si="60"/>
        <v/>
      </c>
      <c r="H273" s="175" t="str">
        <f t="shared" si="60"/>
        <v/>
      </c>
      <c r="I273" s="175" t="str">
        <f t="shared" si="60"/>
        <v/>
      </c>
      <c r="J273" s="175" t="str">
        <f t="shared" si="60"/>
        <v/>
      </c>
      <c r="K273" s="175" t="str">
        <f t="shared" si="60"/>
        <v/>
      </c>
      <c r="L273" s="175" t="str">
        <f t="shared" si="60"/>
        <v/>
      </c>
      <c r="M273" s="175" t="str">
        <f t="shared" si="60"/>
        <v/>
      </c>
      <c r="N273" s="175" t="str">
        <f t="shared" si="60"/>
        <v/>
      </c>
      <c r="O273" s="175" t="str">
        <f t="shared" si="60"/>
        <v/>
      </c>
      <c r="P273" s="175" t="str">
        <f t="shared" si="60"/>
        <v/>
      </c>
      <c r="Q273" s="175" t="str">
        <f t="shared" si="60"/>
        <v/>
      </c>
      <c r="R273" s="175" t="str">
        <f t="shared" si="60"/>
        <v/>
      </c>
      <c r="S273" s="175" t="str">
        <f t="shared" si="60"/>
        <v/>
      </c>
      <c r="T273" s="175" t="str">
        <f t="shared" si="60"/>
        <v/>
      </c>
      <c r="U273" s="175" t="str">
        <f t="shared" si="60"/>
        <v/>
      </c>
      <c r="V273" s="175" t="str">
        <f t="shared" si="60"/>
        <v/>
      </c>
      <c r="W273" s="175" t="str">
        <f t="shared" si="60"/>
        <v/>
      </c>
      <c r="X273" s="175" t="str">
        <f t="shared" si="60"/>
        <v/>
      </c>
      <c r="Y273" s="175" t="str">
        <f t="shared" si="60"/>
        <v/>
      </c>
      <c r="Z273" s="175" t="str">
        <f t="shared" si="60"/>
        <v/>
      </c>
      <c r="AA273" s="175" t="str">
        <f t="shared" si="60"/>
        <v/>
      </c>
      <c r="AB273" s="175" t="str">
        <f t="shared" si="60"/>
        <v/>
      </c>
      <c r="AC273" s="175" t="str">
        <f t="shared" si="60"/>
        <v/>
      </c>
      <c r="AD273" s="175" t="str">
        <f t="shared" si="60"/>
        <v/>
      </c>
      <c r="AE273" s="175" t="str">
        <f t="shared" si="60"/>
        <v/>
      </c>
      <c r="AF273" s="175" t="str">
        <f t="shared" si="60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61">IF(B241&lt;100,"",B241-1500)</f>
        <v/>
      </c>
      <c r="C274" s="175" t="str">
        <f t="shared" si="61"/>
        <v/>
      </c>
      <c r="D274" s="175" t="str">
        <f t="shared" si="61"/>
        <v/>
      </c>
      <c r="E274" s="175" t="str">
        <f t="shared" si="61"/>
        <v/>
      </c>
      <c r="F274" s="175" t="str">
        <f t="shared" si="61"/>
        <v/>
      </c>
      <c r="G274" s="175" t="str">
        <f t="shared" si="61"/>
        <v/>
      </c>
      <c r="H274" s="175" t="str">
        <f t="shared" si="61"/>
        <v/>
      </c>
      <c r="I274" s="175" t="str">
        <f t="shared" si="61"/>
        <v/>
      </c>
      <c r="J274" s="175" t="str">
        <f t="shared" si="61"/>
        <v/>
      </c>
      <c r="K274" s="175" t="str">
        <f t="shared" si="61"/>
        <v/>
      </c>
      <c r="L274" s="175" t="str">
        <f t="shared" si="61"/>
        <v/>
      </c>
      <c r="M274" s="175" t="str">
        <f t="shared" si="61"/>
        <v/>
      </c>
      <c r="N274" s="175" t="str">
        <f t="shared" si="61"/>
        <v/>
      </c>
      <c r="O274" s="175" t="str">
        <f t="shared" si="61"/>
        <v/>
      </c>
      <c r="P274" s="175" t="str">
        <f t="shared" si="61"/>
        <v/>
      </c>
      <c r="Q274" s="175" t="str">
        <f t="shared" si="61"/>
        <v/>
      </c>
      <c r="R274" s="175" t="str">
        <f t="shared" si="61"/>
        <v/>
      </c>
      <c r="S274" s="175" t="str">
        <f t="shared" si="61"/>
        <v/>
      </c>
      <c r="T274" s="175" t="str">
        <f t="shared" si="61"/>
        <v/>
      </c>
      <c r="U274" s="175" t="str">
        <f t="shared" si="61"/>
        <v/>
      </c>
      <c r="V274" s="175" t="str">
        <f t="shared" si="61"/>
        <v/>
      </c>
      <c r="W274" s="175" t="str">
        <f t="shared" si="61"/>
        <v/>
      </c>
      <c r="X274" s="175" t="str">
        <f t="shared" si="61"/>
        <v/>
      </c>
      <c r="Y274" s="175" t="str">
        <f t="shared" si="61"/>
        <v/>
      </c>
      <c r="Z274" s="175" t="str">
        <f t="shared" si="61"/>
        <v/>
      </c>
      <c r="AA274" s="175" t="str">
        <f t="shared" si="61"/>
        <v/>
      </c>
      <c r="AB274" s="175" t="str">
        <f t="shared" si="61"/>
        <v/>
      </c>
      <c r="AC274" s="175" t="str">
        <f t="shared" si="61"/>
        <v/>
      </c>
      <c r="AD274" s="175" t="str">
        <f t="shared" si="61"/>
        <v/>
      </c>
      <c r="AE274" s="175" t="str">
        <f t="shared" si="61"/>
        <v/>
      </c>
      <c r="AF274" s="175" t="str">
        <f t="shared" si="61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3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36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P16:R16 D113:AF119 D111:AF111 S14:AF17 P12:AF12">
    <cfRule type="expression" dxfId="4739" priority="532">
      <formula>B$9&gt;=20/24</formula>
    </cfRule>
    <cfRule type="expression" dxfId="4738" priority="533">
      <formula>AND(B$9&gt;=14/24,B$9&lt;20/24)</formula>
    </cfRule>
    <cfRule type="expression" dxfId="4737" priority="534">
      <formula>AND(B$9&gt;=8/24,B$9&lt;14/24)</formula>
    </cfRule>
    <cfRule type="expression" dxfId="4736" priority="535">
      <formula>B$9&lt;8/24</formula>
    </cfRule>
  </conditionalFormatting>
  <conditionalFormatting sqref="AL4:AL6">
    <cfRule type="iconSet" priority="531">
      <iconSet iconSet="3TrafficLights2" reverse="1">
        <cfvo type="percent" val="0"/>
        <cfvo type="num" val="1"/>
        <cfvo type="num" val="1"/>
      </iconSet>
    </cfRule>
  </conditionalFormatting>
  <conditionalFormatting sqref="AG67 P16:R16 S14:AF17 P12:AF12">
    <cfRule type="expression" dxfId="4735" priority="530">
      <formula>P12&gt;$AG12</formula>
    </cfRule>
  </conditionalFormatting>
  <conditionalFormatting sqref="A101:A111 A61:A88 A97:A99 A205:A235 A48:A59 A121:A192 A43:A44 A93:A95 A90:A91 A113:A115 A40:A41 A21:A22 A24:A34 A19 A36:A38 A12:A17">
    <cfRule type="expression" dxfId="4734" priority="529">
      <formula>$AH12=0</formula>
    </cfRule>
  </conditionalFormatting>
  <conditionalFormatting sqref="A116">
    <cfRule type="expression" dxfId="4733" priority="528">
      <formula>$AH116=0</formula>
    </cfRule>
  </conditionalFormatting>
  <conditionalFormatting sqref="AL44">
    <cfRule type="iconSet" priority="527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4732" priority="526">
      <formula>$AH47=0</formula>
    </cfRule>
  </conditionalFormatting>
  <conditionalFormatting sqref="A100">
    <cfRule type="expression" dxfId="4731" priority="525">
      <formula>$AH100=0</formula>
    </cfRule>
  </conditionalFormatting>
  <conditionalFormatting sqref="A20">
    <cfRule type="expression" dxfId="4730" priority="524">
      <formula>$AH20=0</formula>
    </cfRule>
  </conditionalFormatting>
  <conditionalFormatting sqref="A199:A204">
    <cfRule type="expression" dxfId="4729" priority="523">
      <formula>$AH199=0</formula>
    </cfRule>
  </conditionalFormatting>
  <conditionalFormatting sqref="A193:A198">
    <cfRule type="expression" dxfId="4728" priority="522">
      <formula>$AH193=0</formula>
    </cfRule>
  </conditionalFormatting>
  <conditionalFormatting sqref="A60">
    <cfRule type="expression" dxfId="4727" priority="521">
      <formula>$AH60=0</formula>
    </cfRule>
  </conditionalFormatting>
  <conditionalFormatting sqref="A96">
    <cfRule type="expression" dxfId="4726" priority="520">
      <formula>$AH96=0</formula>
    </cfRule>
  </conditionalFormatting>
  <conditionalFormatting sqref="AD101:AF101 E101:Y101">
    <cfRule type="expression" dxfId="4725" priority="516">
      <formula>E$9&gt;=20/24</formula>
    </cfRule>
    <cfRule type="expression" dxfId="4724" priority="517">
      <formula>AND(E$9&gt;=14/24,E$9&lt;20/24)</formula>
    </cfRule>
    <cfRule type="expression" dxfId="4723" priority="518">
      <formula>AND(E$9&gt;=8/24,E$9&lt;14/24)</formula>
    </cfRule>
    <cfRule type="expression" dxfId="4722" priority="519">
      <formula>E$9&lt;8/24</formula>
    </cfRule>
  </conditionalFormatting>
  <conditionalFormatting sqref="AL45">
    <cfRule type="iconSet" priority="51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721" priority="538">
      <formula>C$9&gt;=20/24</formula>
    </cfRule>
    <cfRule type="expression" dxfId="4720" priority="539">
      <formula>AND(C$9&gt;=14/24,C$9&lt;20/24)</formula>
    </cfRule>
    <cfRule type="expression" dxfId="4719" priority="540">
      <formula>AND(C$9&gt;=8/24,C$9&lt;14/24)</formula>
    </cfRule>
    <cfRule type="expression" dxfId="4718" priority="541">
      <formula>C$9&lt;8/24</formula>
    </cfRule>
  </conditionalFormatting>
  <conditionalFormatting sqref="A236">
    <cfRule type="expression" dxfId="4717" priority="542">
      <formula>$AH236=0</formula>
    </cfRule>
  </conditionalFormatting>
  <conditionalFormatting sqref="AG248">
    <cfRule type="expression" dxfId="4716" priority="543">
      <formula>B$9&gt;=20/24</formula>
    </cfRule>
    <cfRule type="expression" dxfId="4715" priority="544">
      <formula>AND(B$9&gt;=14/24,B$9&lt;20/24)</formula>
    </cfRule>
    <cfRule type="expression" dxfId="4714" priority="545">
      <formula>AND(B$9&gt;=8/24,B$9&lt;14/24)</formula>
    </cfRule>
    <cfRule type="expression" dxfId="4713" priority="546">
      <formula>B$9&lt;8/24</formula>
    </cfRule>
  </conditionalFormatting>
  <conditionalFormatting sqref="S8">
    <cfRule type="expression" dxfId="4712" priority="511">
      <formula>U$9&gt;=20/24</formula>
    </cfRule>
    <cfRule type="expression" dxfId="4711" priority="512">
      <formula>AND(U$9&gt;=14/24,U$9&lt;20/24)</formula>
    </cfRule>
    <cfRule type="expression" dxfId="4710" priority="513">
      <formula>AND(U$9&gt;=8/24,U$9&lt;14/24)</formula>
    </cfRule>
    <cfRule type="expression" dxfId="4709" priority="514">
      <formula>U$9&lt;8/24</formula>
    </cfRule>
  </conditionalFormatting>
  <conditionalFormatting sqref="AB8">
    <cfRule type="expression" dxfId="4708" priority="507">
      <formula>AD$9&gt;=20/24</formula>
    </cfRule>
    <cfRule type="expression" dxfId="4707" priority="508">
      <formula>AND(AD$9&gt;=14/24,AD$9&lt;20/24)</formula>
    </cfRule>
    <cfRule type="expression" dxfId="4706" priority="509">
      <formula>AND(AD$9&gt;=8/24,AD$9&lt;14/24)</formula>
    </cfRule>
    <cfRule type="expression" dxfId="4705" priority="510">
      <formula>AD$9&lt;8/24</formula>
    </cfRule>
  </conditionalFormatting>
  <conditionalFormatting sqref="AH248:AX248">
    <cfRule type="expression" dxfId="4704" priority="547">
      <formula>AG$9&gt;=20/24</formula>
    </cfRule>
    <cfRule type="expression" dxfId="4703" priority="548">
      <formula>AND(AG$9&gt;=14/24,AG$9&lt;20/24)</formula>
    </cfRule>
    <cfRule type="expression" dxfId="4702" priority="549">
      <formula>AND(AG$9&gt;=8/24,AG$9&lt;14/24)</formula>
    </cfRule>
    <cfRule type="expression" dxfId="4701" priority="550">
      <formula>AG$9&lt;8/24</formula>
    </cfRule>
  </conditionalFormatting>
  <conditionalFormatting sqref="T248">
    <cfRule type="expression" dxfId="4700" priority="551">
      <formula>AX$9&gt;=20/24</formula>
    </cfRule>
    <cfRule type="expression" dxfId="4699" priority="552">
      <formula>AND(AX$9&gt;=14/24,AX$9&lt;20/24)</formula>
    </cfRule>
    <cfRule type="expression" dxfId="4698" priority="553">
      <formula>AND(AX$9&gt;=8/24,AX$9&lt;14/24)</formula>
    </cfRule>
    <cfRule type="expression" dxfId="4697" priority="554">
      <formula>AX$9&lt;8/24</formula>
    </cfRule>
  </conditionalFormatting>
  <conditionalFormatting sqref="A117:A119">
    <cfRule type="expression" dxfId="4696" priority="506">
      <formula>$AH117=0</formula>
    </cfRule>
  </conditionalFormatting>
  <conditionalFormatting sqref="F73:AF73">
    <cfRule type="expression" dxfId="4695" priority="502">
      <formula>F$9&gt;=20/24</formula>
    </cfRule>
    <cfRule type="expression" dxfId="4694" priority="503">
      <formula>AND(F$9&gt;=14/24,F$9&lt;20/24)</formula>
    </cfRule>
    <cfRule type="expression" dxfId="4693" priority="504">
      <formula>AND(F$9&gt;=8/24,F$9&lt;14/24)</formula>
    </cfRule>
    <cfRule type="expression" dxfId="4692" priority="505">
      <formula>F$9&lt;8/24</formula>
    </cfRule>
  </conditionalFormatting>
  <conditionalFormatting sqref="Y98:AF98 AE102:AF108 G75:I75 D88:AF88 M102:Y108 AB69:AF71 Z49:AF49 J74:AF75">
    <cfRule type="expression" dxfId="4691" priority="493">
      <formula>D$9&gt;=20/24</formula>
    </cfRule>
    <cfRule type="expression" dxfId="4690" priority="494">
      <formula>AND(D$9&gt;=14/24,D$9&lt;20/24)</formula>
    </cfRule>
    <cfRule type="expression" dxfId="4689" priority="495">
      <formula>AND(D$9&gt;=8/24,D$9&lt;14/24)</formula>
    </cfRule>
    <cfRule type="expression" dxfId="4688" priority="496">
      <formula>D$9&lt;8/24</formula>
    </cfRule>
  </conditionalFormatting>
  <conditionalFormatting sqref="AB69:AF71 Z49:AF49">
    <cfRule type="expression" dxfId="4687" priority="492">
      <formula>Z49&gt;$AG49</formula>
    </cfRule>
  </conditionalFormatting>
  <conditionalFormatting sqref="S55:AF60">
    <cfRule type="expression" dxfId="4686" priority="488">
      <formula>S$9&gt;=20/24</formula>
    </cfRule>
    <cfRule type="expression" dxfId="4685" priority="489">
      <formula>AND(S$9&gt;=14/24,S$9&lt;20/24)</formula>
    </cfRule>
    <cfRule type="expression" dxfId="4684" priority="490">
      <formula>AND(S$9&gt;=8/24,S$9&lt;14/24)</formula>
    </cfRule>
    <cfRule type="expression" dxfId="4683" priority="491">
      <formula>S$9&lt;8/24</formula>
    </cfRule>
  </conditionalFormatting>
  <conditionalFormatting sqref="S55:AF60">
    <cfRule type="expression" dxfId="4682" priority="487">
      <formula>S55&gt;$AG55</formula>
    </cfRule>
  </conditionalFormatting>
  <conditionalFormatting sqref="C99:AF99 D90:AF90">
    <cfRule type="expression" dxfId="4681" priority="483">
      <formula>C$9&gt;=20/24</formula>
    </cfRule>
    <cfRule type="expression" dxfId="4680" priority="484">
      <formula>AND(C$9&gt;=14/24,C$9&lt;20/24)</formula>
    </cfRule>
    <cfRule type="expression" dxfId="4679" priority="485">
      <formula>AND(C$9&gt;=8/24,C$9&lt;14/24)</formula>
    </cfRule>
    <cfRule type="expression" dxfId="4678" priority="486">
      <formula>C$9&lt;8/24</formula>
    </cfRule>
  </conditionalFormatting>
  <conditionalFormatting sqref="T49:Y49">
    <cfRule type="expression" dxfId="4677" priority="479">
      <formula>T$9&gt;=20/24</formula>
    </cfRule>
    <cfRule type="expression" dxfId="4676" priority="480">
      <formula>AND(T$9&gt;=14/24,T$9&lt;20/24)</formula>
    </cfRule>
    <cfRule type="expression" dxfId="4675" priority="481">
      <formula>AND(T$9&gt;=8/24,T$9&lt;14/24)</formula>
    </cfRule>
    <cfRule type="expression" dxfId="4674" priority="482">
      <formula>T$9&lt;8/24</formula>
    </cfRule>
  </conditionalFormatting>
  <conditionalFormatting sqref="T49:Y49">
    <cfRule type="expression" dxfId="4673" priority="478">
      <formula>T49&gt;$AG49</formula>
    </cfRule>
  </conditionalFormatting>
  <conditionalFormatting sqref="AG72 AG89 E102:L102 G103:L108">
    <cfRule type="expression" dxfId="4672" priority="465">
      <formula>E$9&gt;=20/24</formula>
    </cfRule>
    <cfRule type="expression" dxfId="4671" priority="466">
      <formula>AND(E$9&gt;=14/24,E$9&lt;20/24)</formula>
    </cfRule>
    <cfRule type="expression" dxfId="4670" priority="467">
      <formula>AND(E$9&gt;=8/24,E$9&lt;14/24)</formula>
    </cfRule>
    <cfRule type="expression" dxfId="4669" priority="468">
      <formula>E$9&lt;8/24</formula>
    </cfRule>
  </conditionalFormatting>
  <conditionalFormatting sqref="AG50 AG68 AG72">
    <cfRule type="expression" dxfId="4668" priority="464">
      <formula>AG50&gt;$AG50</formula>
    </cfRule>
  </conditionalFormatting>
  <conditionalFormatting sqref="A45">
    <cfRule type="expression" dxfId="4667" priority="458">
      <formula>$AH45=0</formula>
    </cfRule>
  </conditionalFormatting>
  <conditionalFormatting sqref="Y93:AF97">
    <cfRule type="expression" dxfId="4666" priority="454">
      <formula>Y$9&gt;=20/24</formula>
    </cfRule>
    <cfRule type="expression" dxfId="4665" priority="455">
      <formula>AND(Y$9&gt;=14/24,Y$9&lt;20/24)</formula>
    </cfRule>
    <cfRule type="expression" dxfId="4664" priority="456">
      <formula>AND(Y$9&gt;=8/24,Y$9&lt;14/24)</formula>
    </cfRule>
    <cfRule type="expression" dxfId="4663" priority="457">
      <formula>Y$9&lt;8/24</formula>
    </cfRule>
  </conditionalFormatting>
  <conditionalFormatting sqref="AL47 AL43 AL24:AL34 AL40:AL41 AL19:AL22 AL36:AL38 AL7:AL17">
    <cfRule type="iconSet" priority="555">
      <iconSet iconSet="3TrafficLights2" reverse="1">
        <cfvo type="percent" val="0"/>
        <cfvo type="num" val="1"/>
        <cfvo type="num" val="1"/>
      </iconSet>
    </cfRule>
  </conditionalFormatting>
  <conditionalFormatting sqref="Q51:T51 U51:AF53">
    <cfRule type="expression" dxfId="4662" priority="450">
      <formula>Q$9&gt;=20/24</formula>
    </cfRule>
    <cfRule type="expression" dxfId="4661" priority="451">
      <formula>AND(Q$9&gt;=14/24,Q$9&lt;20/24)</formula>
    </cfRule>
    <cfRule type="expression" dxfId="4660" priority="452">
      <formula>AND(Q$9&gt;=8/24,Q$9&lt;14/24)</formula>
    </cfRule>
    <cfRule type="expression" dxfId="4659" priority="453">
      <formula>Q$9&lt;8/24</formula>
    </cfRule>
  </conditionalFormatting>
  <conditionalFormatting sqref="Q51:T51 U51:AF53">
    <cfRule type="expression" dxfId="4658" priority="449">
      <formula>Q51&gt;$AG51</formula>
    </cfRule>
  </conditionalFormatting>
  <conditionalFormatting sqref="AG54">
    <cfRule type="expression" dxfId="4657" priority="445">
      <formula>AG$9&gt;=20/24</formula>
    </cfRule>
    <cfRule type="expression" dxfId="4656" priority="446">
      <formula>AND(AG$9&gt;=14/24,AG$9&lt;20/24)</formula>
    </cfRule>
    <cfRule type="expression" dxfId="4655" priority="447">
      <formula>AND(AG$9&gt;=8/24,AG$9&lt;14/24)</formula>
    </cfRule>
    <cfRule type="expression" dxfId="4654" priority="448">
      <formula>AG$9&lt;8/24</formula>
    </cfRule>
  </conditionalFormatting>
  <conditionalFormatting sqref="AG54">
    <cfRule type="expression" dxfId="4653" priority="444">
      <formula>AG54&gt;$AG54</formula>
    </cfRule>
  </conditionalFormatting>
  <conditionalFormatting sqref="C109:AF109">
    <cfRule type="expression" dxfId="4652" priority="440">
      <formula>C$9&gt;=20/24</formula>
    </cfRule>
    <cfRule type="expression" dxfId="4651" priority="441">
      <formula>AND(C$9&gt;=14/24,C$9&lt;20/24)</formula>
    </cfRule>
    <cfRule type="expression" dxfId="4650" priority="442">
      <formula>AND(C$9&gt;=8/24,C$9&lt;14/24)</formula>
    </cfRule>
    <cfRule type="expression" dxfId="4649" priority="443">
      <formula>C$9&lt;8/24</formula>
    </cfRule>
  </conditionalFormatting>
  <conditionalFormatting sqref="AL42">
    <cfRule type="iconSet" priority="439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4648" priority="438">
      <formula>$AH42=0</formula>
    </cfRule>
  </conditionalFormatting>
  <conditionalFormatting sqref="A92">
    <cfRule type="expression" dxfId="4647" priority="436">
      <formula>$AH92=0</formula>
    </cfRule>
  </conditionalFormatting>
  <conditionalFormatting sqref="A89">
    <cfRule type="expression" dxfId="4646" priority="437">
      <formula>$AH89=0</formula>
    </cfRule>
  </conditionalFormatting>
  <conditionalFormatting sqref="D112:AF112">
    <cfRule type="expression" dxfId="4645" priority="432">
      <formula>D$9&gt;=20/24</formula>
    </cfRule>
    <cfRule type="expression" dxfId="4644" priority="433">
      <formula>AND(D$9&gt;=14/24,D$9&lt;20/24)</formula>
    </cfRule>
    <cfRule type="expression" dxfId="4643" priority="434">
      <formula>AND(D$9&gt;=8/24,D$9&lt;14/24)</formula>
    </cfRule>
    <cfRule type="expression" dxfId="4642" priority="435">
      <formula>D$9&lt;8/24</formula>
    </cfRule>
  </conditionalFormatting>
  <conditionalFormatting sqref="A112">
    <cfRule type="expression" dxfId="4641" priority="431">
      <formula>$AH112=0</formula>
    </cfRule>
  </conditionalFormatting>
  <conditionalFormatting sqref="A23">
    <cfRule type="expression" dxfId="4640" priority="429">
      <formula>$AH23=0</formula>
    </cfRule>
  </conditionalFormatting>
  <conditionalFormatting sqref="AL23">
    <cfRule type="iconSet" priority="430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4639" priority="427">
      <formula>$AH39=0</formula>
    </cfRule>
  </conditionalFormatting>
  <conditionalFormatting sqref="AL39">
    <cfRule type="iconSet" priority="428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4638" priority="423">
      <formula>Z$9&gt;=20/24</formula>
    </cfRule>
    <cfRule type="expression" dxfId="4637" priority="424">
      <formula>AND(Z$9&gt;=14/24,Z$9&lt;20/24)</formula>
    </cfRule>
    <cfRule type="expression" dxfId="4636" priority="425">
      <formula>AND(Z$9&gt;=8/24,Z$9&lt;14/24)</formula>
    </cfRule>
    <cfRule type="expression" dxfId="4635" priority="426">
      <formula>Z$9&lt;8/24</formula>
    </cfRule>
  </conditionalFormatting>
  <conditionalFormatting sqref="Z102:AD108">
    <cfRule type="expression" dxfId="4634" priority="419">
      <formula>Z$9&gt;=20/24</formula>
    </cfRule>
    <cfRule type="expression" dxfId="4633" priority="420">
      <formula>AND(Z$9&gt;=14/24,Z$9&lt;20/24)</formula>
    </cfRule>
    <cfRule type="expression" dxfId="4632" priority="421">
      <formula>AND(Z$9&gt;=8/24,Z$9&lt;14/24)</formula>
    </cfRule>
    <cfRule type="expression" dxfId="4631" priority="422">
      <formula>Z$9&lt;8/24</formula>
    </cfRule>
  </conditionalFormatting>
  <conditionalFormatting sqref="C111 C113:C119 Z19:AA28 AA29:AA30 U19:Y24 U27:Y27 AB32:AF34 AB36:AF45 AB19:AF30">
    <cfRule type="expression" dxfId="4630" priority="415">
      <formula>C$9&gt;=20/24</formula>
    </cfRule>
    <cfRule type="expression" dxfId="4629" priority="416">
      <formula>AND(C$9&gt;=14/24,C$9&lt;20/24)</formula>
    </cfRule>
    <cfRule type="expression" dxfId="4628" priority="417">
      <formula>AND(C$9&gt;=8/24,C$9&lt;14/24)</formula>
    </cfRule>
    <cfRule type="expression" dxfId="4627" priority="418">
      <formula>C$9&lt;8/24</formula>
    </cfRule>
  </conditionalFormatting>
  <conditionalFormatting sqref="E49:S49">
    <cfRule type="expression" dxfId="4626" priority="411">
      <formula>E$9&gt;=20/24</formula>
    </cfRule>
    <cfRule type="expression" dxfId="4625" priority="412">
      <formula>AND(E$9&gt;=14/24,E$9&lt;20/24)</formula>
    </cfRule>
    <cfRule type="expression" dxfId="4624" priority="413">
      <formula>AND(E$9&gt;=8/24,E$9&lt;14/24)</formula>
    </cfRule>
    <cfRule type="expression" dxfId="4623" priority="414">
      <formula>E$9&lt;8/24</formula>
    </cfRule>
  </conditionalFormatting>
  <conditionalFormatting sqref="Z19:AA28 AA29:AA30 E49:S49 U19:Y24 U27:Y27 AB32:AF34 AB36:AF45 AB19:AF30">
    <cfRule type="expression" dxfId="4622" priority="410">
      <formula>E19&gt;$AG19</formula>
    </cfRule>
  </conditionalFormatting>
  <conditionalFormatting sqref="C101:D101">
    <cfRule type="expression" dxfId="4621" priority="406">
      <formula>C$9&gt;=20/24</formula>
    </cfRule>
    <cfRule type="expression" dxfId="4620" priority="407">
      <formula>AND(C$9&gt;=14/24,C$9&lt;20/24)</formula>
    </cfRule>
    <cfRule type="expression" dxfId="4619" priority="408">
      <formula>AND(C$9&gt;=8/24,C$9&lt;14/24)</formula>
    </cfRule>
    <cfRule type="expression" dxfId="4618" priority="409">
      <formula>C$9&lt;8/24</formula>
    </cfRule>
  </conditionalFormatting>
  <conditionalFormatting sqref="C88 D102:D108 S76:U76 E103:F108 T77:U78 C98:X98 C85:AF87 S69:AA71 V76:AF78">
    <cfRule type="expression" dxfId="4617" priority="402">
      <formula>C$9&gt;=20/24</formula>
    </cfRule>
    <cfRule type="expression" dxfId="4616" priority="403">
      <formula>AND(C$9&gt;=14/24,C$9&lt;20/24)</formula>
    </cfRule>
    <cfRule type="expression" dxfId="4615" priority="404">
      <formula>AND(C$9&gt;=8/24,C$9&lt;14/24)</formula>
    </cfRule>
    <cfRule type="expression" dxfId="4614" priority="405">
      <formula>C$9&lt;8/24</formula>
    </cfRule>
  </conditionalFormatting>
  <conditionalFormatting sqref="S69:AA71">
    <cfRule type="expression" dxfId="4613" priority="401">
      <formula>S69&gt;$AG69</formula>
    </cfRule>
  </conditionalFormatting>
  <conditionalFormatting sqref="D73:E73">
    <cfRule type="expression" dxfId="4612" priority="347">
      <formula>D$9&gt;=20/24</formula>
    </cfRule>
    <cfRule type="expression" dxfId="4611" priority="348">
      <formula>AND(D$9&gt;=14/24,D$9&lt;20/24)</formula>
    </cfRule>
    <cfRule type="expression" dxfId="4610" priority="349">
      <formula>AND(D$9&gt;=8/24,D$9&lt;14/24)</formula>
    </cfRule>
    <cfRule type="expression" dxfId="4609" priority="350">
      <formula>D$9&lt;8/24</formula>
    </cfRule>
  </conditionalFormatting>
  <conditionalFormatting sqref="C89:AF89 C91:AF91 C100:AF100 D72:AF72">
    <cfRule type="expression" dxfId="4608" priority="397">
      <formula>C$9&gt;=20/24</formula>
    </cfRule>
    <cfRule type="expression" dxfId="4607" priority="398">
      <formula>AND(C$9&gt;=14/24,C$9&lt;20/24)</formula>
    </cfRule>
    <cfRule type="expression" dxfId="4606" priority="399">
      <formula>AND(C$9&gt;=8/24,C$9&lt;14/24)</formula>
    </cfRule>
    <cfRule type="expression" dxfId="4605" priority="400">
      <formula>C$9&lt;8/24</formula>
    </cfRule>
  </conditionalFormatting>
  <conditionalFormatting sqref="D67:AF68 D72:AF72">
    <cfRule type="expression" dxfId="4604" priority="396">
      <formula>D67&gt;$AG67</formula>
    </cfRule>
  </conditionalFormatting>
  <conditionalFormatting sqref="C84:AF84">
    <cfRule type="expression" dxfId="4603" priority="392">
      <formula>C$9&gt;=20/24</formula>
    </cfRule>
    <cfRule type="expression" dxfId="4602" priority="393">
      <formula>AND(C$9&gt;=14/24,C$9&lt;20/24)</formula>
    </cfRule>
    <cfRule type="expression" dxfId="4601" priority="394">
      <formula>AND(C$9&gt;=8/24,C$9&lt;14/24)</formula>
    </cfRule>
    <cfRule type="expression" dxfId="4600" priority="395">
      <formula>C$9&lt;8/24</formula>
    </cfRule>
  </conditionalFormatting>
  <conditionalFormatting sqref="C93:X97">
    <cfRule type="expression" dxfId="4599" priority="388">
      <formula>C$9&gt;=20/24</formula>
    </cfRule>
    <cfRule type="expression" dxfId="4598" priority="389">
      <formula>AND(C$9&gt;=14/24,C$9&lt;20/24)</formula>
    </cfRule>
    <cfRule type="expression" dxfId="4597" priority="390">
      <formula>AND(C$9&gt;=8/24,C$9&lt;14/24)</formula>
    </cfRule>
    <cfRule type="expression" dxfId="4596" priority="391">
      <formula>C$9&lt;8/24</formula>
    </cfRule>
  </conditionalFormatting>
  <conditionalFormatting sqref="D54:AF54">
    <cfRule type="expression" dxfId="4595" priority="384">
      <formula>D$9&gt;=20/24</formula>
    </cfRule>
    <cfRule type="expression" dxfId="4594" priority="385">
      <formula>AND(D$9&gt;=14/24,D$9&lt;20/24)</formula>
    </cfRule>
    <cfRule type="expression" dxfId="4593" priority="386">
      <formula>AND(D$9&gt;=8/24,D$9&lt;14/24)</formula>
    </cfRule>
    <cfRule type="expression" dxfId="4592" priority="387">
      <formula>D$9&lt;8/24</formula>
    </cfRule>
  </conditionalFormatting>
  <conditionalFormatting sqref="D54:AF54">
    <cfRule type="expression" dxfId="4591" priority="383">
      <formula>D54&gt;$AG54</formula>
    </cfRule>
  </conditionalFormatting>
  <conditionalFormatting sqref="C112">
    <cfRule type="expression" dxfId="4590" priority="379">
      <formula>C$9&gt;=20/24</formula>
    </cfRule>
    <cfRule type="expression" dxfId="4589" priority="380">
      <formula>AND(C$9&gt;=14/24,C$9&lt;20/24)</formula>
    </cfRule>
    <cfRule type="expression" dxfId="4588" priority="381">
      <formula>AND(C$9&gt;=8/24,C$9&lt;14/24)</formula>
    </cfRule>
    <cfRule type="expression" dxfId="4587" priority="382">
      <formula>C$9&lt;8/24</formula>
    </cfRule>
  </conditionalFormatting>
  <conditionalFormatting sqref="W65:Z65 AA61:AF66">
    <cfRule type="expression" dxfId="4586" priority="375">
      <formula>W$9&gt;=20/24</formula>
    </cfRule>
    <cfRule type="expression" dxfId="4585" priority="376">
      <formula>AND(W$9&gt;=14/24,W$9&lt;20/24)</formula>
    </cfRule>
    <cfRule type="expression" dxfId="4584" priority="377">
      <formula>AND(W$9&gt;=8/24,W$9&lt;14/24)</formula>
    </cfRule>
    <cfRule type="expression" dxfId="4583" priority="378">
      <formula>W$9&lt;8/24</formula>
    </cfRule>
  </conditionalFormatting>
  <conditionalFormatting sqref="W65:Z65 AA61:AF66">
    <cfRule type="expression" dxfId="4582" priority="374">
      <formula>W61&gt;$AG61</formula>
    </cfRule>
  </conditionalFormatting>
  <conditionalFormatting sqref="AB47:AF47">
    <cfRule type="expression" dxfId="4581" priority="373">
      <formula>AB47&gt;$AG47</formula>
    </cfRule>
  </conditionalFormatting>
  <conditionalFormatting sqref="U13:AF13">
    <cfRule type="expression" dxfId="4580" priority="369">
      <formula>U$9&gt;=20/24</formula>
    </cfRule>
    <cfRule type="expression" dxfId="4579" priority="370">
      <formula>AND(U$9&gt;=14/24,U$9&lt;20/24)</formula>
    </cfRule>
    <cfRule type="expression" dxfId="4578" priority="371">
      <formula>AND(U$9&gt;=8/24,U$9&lt;14/24)</formula>
    </cfRule>
    <cfRule type="expression" dxfId="4577" priority="372">
      <formula>U$9&lt;8/24</formula>
    </cfRule>
  </conditionalFormatting>
  <conditionalFormatting sqref="U13:AF13">
    <cfRule type="expression" dxfId="4576" priority="368">
      <formula>U13&gt;$AG13</formula>
    </cfRule>
  </conditionalFormatting>
  <conditionalFormatting sqref="AB47:AF47">
    <cfRule type="expression" dxfId="4575" priority="364">
      <formula>AB$9&gt;=20/24</formula>
    </cfRule>
    <cfRule type="expression" dxfId="4574" priority="365">
      <formula>AND(AB$9&gt;=14/24,AB$9&lt;20/24)</formula>
    </cfRule>
    <cfRule type="expression" dxfId="4573" priority="366">
      <formula>AND(AB$9&gt;=8/24,AB$9&lt;14/24)</formula>
    </cfRule>
    <cfRule type="expression" dxfId="4572" priority="367">
      <formula>AB$9&lt;8/24</formula>
    </cfRule>
  </conditionalFormatting>
  <conditionalFormatting sqref="T79:AF83">
    <cfRule type="expression" dxfId="4571" priority="360">
      <formula>T$9&gt;=20/24</formula>
    </cfRule>
    <cfRule type="expression" dxfId="4570" priority="361">
      <formula>AND(T$9&gt;=14/24,T$9&lt;20/24)</formula>
    </cfRule>
    <cfRule type="expression" dxfId="4569" priority="362">
      <formula>AND(T$9&gt;=8/24,T$9&lt;14/24)</formula>
    </cfRule>
    <cfRule type="expression" dxfId="4568" priority="363">
      <formula>T$9&lt;8/24</formula>
    </cfRule>
  </conditionalFormatting>
  <conditionalFormatting sqref="AL80:AN80 AL86:AN86 AN81:AN82">
    <cfRule type="expression" dxfId="4567" priority="356">
      <formula>AL$9&gt;=20/24</formula>
    </cfRule>
    <cfRule type="expression" dxfId="4566" priority="357">
      <formula>AND(AL$9&gt;=14/24,AL$9&lt;20/24)</formula>
    </cfRule>
    <cfRule type="expression" dxfId="4565" priority="358">
      <formula>AND(AL$9&gt;=8/24,AL$9&lt;14/24)</formula>
    </cfRule>
    <cfRule type="expression" dxfId="4564" priority="359">
      <formula>AL$9&lt;8/24</formula>
    </cfRule>
  </conditionalFormatting>
  <conditionalFormatting sqref="AN83:AN84">
    <cfRule type="expression" dxfId="4563" priority="352">
      <formula>AN$9&gt;=20/24</formula>
    </cfRule>
    <cfRule type="expression" dxfId="4562" priority="353">
      <formula>AND(AN$9&gt;=14/24,AN$9&lt;20/24)</formula>
    </cfRule>
    <cfRule type="expression" dxfId="4561" priority="354">
      <formula>AND(AN$9&gt;=8/24,AN$9&lt;14/24)</formula>
    </cfRule>
    <cfRule type="expression" dxfId="4560" priority="355">
      <formula>AN$9&lt;8/24</formula>
    </cfRule>
  </conditionalFormatting>
  <conditionalFormatting sqref="AL81:AM85">
    <cfRule type="expression" dxfId="4559" priority="556">
      <formula>AJ$9&gt;=20/24</formula>
    </cfRule>
    <cfRule type="expression" dxfId="4558" priority="557">
      <formula>AND(AJ$9&gt;=14/24,AJ$9&lt;20/24)</formula>
    </cfRule>
    <cfRule type="expression" dxfId="4557" priority="558">
      <formula>AND(AJ$9&gt;=8/24,AJ$9&lt;14/24)</formula>
    </cfRule>
    <cfRule type="expression" dxfId="4556" priority="559">
      <formula>AJ$9&lt;8/24</formula>
    </cfRule>
  </conditionalFormatting>
  <conditionalFormatting sqref="A120">
    <cfRule type="expression" dxfId="4555" priority="351">
      <formula>$AH120=0</formula>
    </cfRule>
  </conditionalFormatting>
  <conditionalFormatting sqref="C102:C108 D74:F83 G74:I74 D69:R71 G76:R83 S77:S83">
    <cfRule type="expression" dxfId="4554" priority="338">
      <formula>C$9&gt;=20/24</formula>
    </cfRule>
    <cfRule type="expression" dxfId="4553" priority="339">
      <formula>AND(C$9&gt;=14/24,C$9&lt;20/24)</formula>
    </cfRule>
    <cfRule type="expression" dxfId="4552" priority="340">
      <formula>AND(C$9&gt;=8/24,C$9&lt;14/24)</formula>
    </cfRule>
    <cfRule type="expression" dxfId="4551" priority="341">
      <formula>C$9&lt;8/24</formula>
    </cfRule>
  </conditionalFormatting>
  <conditionalFormatting sqref="D69:R71">
    <cfRule type="expression" dxfId="4550" priority="337">
      <formula>D69&gt;$AG69</formula>
    </cfRule>
  </conditionalFormatting>
  <conditionalFormatting sqref="C90">
    <cfRule type="expression" dxfId="4549" priority="333">
      <formula>C$9&gt;=20/24</formula>
    </cfRule>
    <cfRule type="expression" dxfId="4548" priority="334">
      <formula>AND(C$9&gt;=14/24,C$9&lt;20/24)</formula>
    </cfRule>
    <cfRule type="expression" dxfId="4547" priority="335">
      <formula>AND(C$9&gt;=8/24,C$9&lt;14/24)</formula>
    </cfRule>
    <cfRule type="expression" dxfId="4546" priority="336">
      <formula>C$9&lt;8/24</formula>
    </cfRule>
  </conditionalFormatting>
  <conditionalFormatting sqref="AB48:AF48">
    <cfRule type="expression" dxfId="4545" priority="329">
      <formula>AB$9&gt;=20/24</formula>
    </cfRule>
    <cfRule type="expression" dxfId="4544" priority="330">
      <formula>AND(AB$9&gt;=14/24,AB$9&lt;20/24)</formula>
    </cfRule>
    <cfRule type="expression" dxfId="4543" priority="331">
      <formula>AND(AB$9&gt;=8/24,AB$9&lt;14/24)</formula>
    </cfRule>
    <cfRule type="expression" dxfId="4542" priority="332">
      <formula>AB$9&lt;8/24</formula>
    </cfRule>
  </conditionalFormatting>
  <conditionalFormatting sqref="AB48:AF48">
    <cfRule type="expression" dxfId="4541" priority="328">
      <formula>AB48&gt;$AG48</formula>
    </cfRule>
  </conditionalFormatting>
  <conditionalFormatting sqref="D49">
    <cfRule type="expression" dxfId="4540" priority="253">
      <formula>D$9&gt;=20/24</formula>
    </cfRule>
    <cfRule type="expression" dxfId="4539" priority="254">
      <formula>AND(D$9&gt;=14/24,D$9&lt;20/24)</formula>
    </cfRule>
    <cfRule type="expression" dxfId="4538" priority="255">
      <formula>AND(D$9&gt;=8/24,D$9&lt;14/24)</formula>
    </cfRule>
    <cfRule type="expression" dxfId="4537" priority="256">
      <formula>D$9&lt;8/24</formula>
    </cfRule>
  </conditionalFormatting>
  <conditionalFormatting sqref="E50:AF50">
    <cfRule type="expression" dxfId="4536" priority="318">
      <formula>E50&gt;$AG50</formula>
    </cfRule>
  </conditionalFormatting>
  <conditionalFormatting sqref="S61:Z64 S66:Z66 S65:V65">
    <cfRule type="expression" dxfId="4535" priority="314">
      <formula>S$9&gt;=20/24</formula>
    </cfRule>
    <cfRule type="expression" dxfId="4534" priority="315">
      <formula>AND(S$9&gt;=14/24,S$9&lt;20/24)</formula>
    </cfRule>
    <cfRule type="expression" dxfId="4533" priority="316">
      <formula>AND(S$9&gt;=8/24,S$9&lt;14/24)</formula>
    </cfRule>
    <cfRule type="expression" dxfId="4532" priority="317">
      <formula>S$9&lt;8/24</formula>
    </cfRule>
  </conditionalFormatting>
  <conditionalFormatting sqref="S61:Z64 S66:Z66 S65:V65">
    <cfRule type="expression" dxfId="4531" priority="313">
      <formula>S61&gt;$AG61</formula>
    </cfRule>
  </conditionalFormatting>
  <conditionalFormatting sqref="A11">
    <cfRule type="expression" dxfId="4530" priority="308">
      <formula>$AH11=0</formula>
    </cfRule>
  </conditionalFormatting>
  <conditionalFormatting sqref="U11:AF11">
    <cfRule type="expression" dxfId="4529" priority="304">
      <formula>U$9&gt;=20/24</formula>
    </cfRule>
    <cfRule type="expression" dxfId="4528" priority="305">
      <formula>AND(U$9&gt;=14/24,U$9&lt;20/24)</formula>
    </cfRule>
    <cfRule type="expression" dxfId="4527" priority="306">
      <formula>AND(U$9&gt;=8/24,U$9&lt;14/24)</formula>
    </cfRule>
    <cfRule type="expression" dxfId="4526" priority="307">
      <formula>U$9&lt;8/24</formula>
    </cfRule>
  </conditionalFormatting>
  <conditionalFormatting sqref="U11:AF11">
    <cfRule type="expression" dxfId="4525" priority="303">
      <formula>U11&gt;$AG11</formula>
    </cfRule>
  </conditionalFormatting>
  <conditionalFormatting sqref="A18">
    <cfRule type="expression" dxfId="4524" priority="301">
      <formula>$AH18=0</formula>
    </cfRule>
  </conditionalFormatting>
  <conditionalFormatting sqref="AL18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U18:AF18">
    <cfRule type="expression" dxfId="4523" priority="297">
      <formula>U$9&gt;=20/24</formula>
    </cfRule>
    <cfRule type="expression" dxfId="4522" priority="298">
      <formula>AND(U$9&gt;=14/24,U$9&lt;20/24)</formula>
    </cfRule>
    <cfRule type="expression" dxfId="4521" priority="299">
      <formula>AND(U$9&gt;=8/24,U$9&lt;14/24)</formula>
    </cfRule>
    <cfRule type="expression" dxfId="4520" priority="300">
      <formula>U$9&lt;8/24</formula>
    </cfRule>
  </conditionalFormatting>
  <conditionalFormatting sqref="U18:AF18">
    <cfRule type="expression" dxfId="4519" priority="296">
      <formula>U18&gt;$AG18</formula>
    </cfRule>
  </conditionalFormatting>
  <conditionalFormatting sqref="A35">
    <cfRule type="expression" dxfId="4518" priority="294">
      <formula>$AH35=0</formula>
    </cfRule>
  </conditionalFormatting>
  <conditionalFormatting sqref="AL35">
    <cfRule type="iconSet" priority="295">
      <iconSet iconSet="3TrafficLights2" reverse="1">
        <cfvo type="percent" val="0"/>
        <cfvo type="num" val="1"/>
        <cfvo type="num" val="1"/>
      </iconSet>
    </cfRule>
  </conditionalFormatting>
  <conditionalFormatting sqref="AB35:AF35">
    <cfRule type="expression" dxfId="4517" priority="290">
      <formula>AB$9&gt;=20/24</formula>
    </cfRule>
    <cfRule type="expression" dxfId="4516" priority="291">
      <formula>AND(AB$9&gt;=14/24,AB$9&lt;20/24)</formula>
    </cfRule>
    <cfRule type="expression" dxfId="4515" priority="292">
      <formula>AND(AB$9&gt;=8/24,AB$9&lt;14/24)</formula>
    </cfRule>
    <cfRule type="expression" dxfId="4514" priority="293">
      <formula>AB$9&lt;8/24</formula>
    </cfRule>
  </conditionalFormatting>
  <conditionalFormatting sqref="AB35:AF35">
    <cfRule type="expression" dxfId="4513" priority="289">
      <formula>AB35&gt;$AG35</formula>
    </cfRule>
  </conditionalFormatting>
  <conditionalFormatting sqref="A46">
    <cfRule type="expression" dxfId="4512" priority="287">
      <formula>$AH46=0</formula>
    </cfRule>
  </conditionalFormatting>
  <conditionalFormatting sqref="AL46">
    <cfRule type="iconSet" priority="288">
      <iconSet iconSet="3TrafficLights2" reverse="1">
        <cfvo type="percent" val="0"/>
        <cfvo type="num" val="1"/>
        <cfvo type="num" val="1"/>
      </iconSet>
    </cfRule>
  </conditionalFormatting>
  <conditionalFormatting sqref="AB46:AF46">
    <cfRule type="expression" dxfId="4511" priority="286">
      <formula>AB46&gt;$AG46</formula>
    </cfRule>
  </conditionalFormatting>
  <conditionalFormatting sqref="AB46:AF46">
    <cfRule type="expression" dxfId="4510" priority="282">
      <formula>AB$9&gt;=20/24</formula>
    </cfRule>
    <cfRule type="expression" dxfId="4509" priority="283">
      <formula>AND(AB$9&gt;=14/24,AB$9&lt;20/24)</formula>
    </cfRule>
    <cfRule type="expression" dxfId="4508" priority="284">
      <formula>AND(AB$9&gt;=8/24,AB$9&lt;14/24)</formula>
    </cfRule>
    <cfRule type="expression" dxfId="4507" priority="285">
      <formula>AB$9&lt;8/24</formula>
    </cfRule>
  </conditionalFormatting>
  <conditionalFormatting sqref="D120:AF120">
    <cfRule type="expression" dxfId="4506" priority="278">
      <formula>D$9&gt;=20/24</formula>
    </cfRule>
    <cfRule type="expression" dxfId="4505" priority="279">
      <formula>AND(D$9&gt;=14/24,D$9&lt;20/24)</formula>
    </cfRule>
    <cfRule type="expression" dxfId="4504" priority="280">
      <formula>AND(D$9&gt;=8/24,D$9&lt;14/24)</formula>
    </cfRule>
    <cfRule type="expression" dxfId="4503" priority="281">
      <formula>D$9&lt;8/24</formula>
    </cfRule>
  </conditionalFormatting>
  <conditionalFormatting sqref="C120">
    <cfRule type="expression" dxfId="4502" priority="274">
      <formula>C$9&gt;=20/24</formula>
    </cfRule>
    <cfRule type="expression" dxfId="4501" priority="275">
      <formula>AND(C$9&gt;=14/24,C$9&lt;20/24)</formula>
    </cfRule>
    <cfRule type="expression" dxfId="4500" priority="276">
      <formula>AND(C$9&gt;=8/24,C$9&lt;14/24)</formula>
    </cfRule>
    <cfRule type="expression" dxfId="4499" priority="277">
      <formula>C$9&lt;8/24</formula>
    </cfRule>
  </conditionalFormatting>
  <conditionalFormatting sqref="D49">
    <cfRule type="expression" dxfId="4498" priority="252">
      <formula>D49&gt;$AG49</formula>
    </cfRule>
  </conditionalFormatting>
  <conditionalFormatting sqref="U28:U30 Z29:Z30 S31:U34 S19:T30 U25:Y26 V28:Y34 Z32:AA34 S36:AA45 Z31:AF31">
    <cfRule type="expression" dxfId="4497" priority="222">
      <formula>S$9&gt;=20/24</formula>
    </cfRule>
    <cfRule type="expression" dxfId="4496" priority="223">
      <formula>AND(S$9&gt;=14/24,S$9&lt;20/24)</formula>
    </cfRule>
    <cfRule type="expression" dxfId="4495" priority="224">
      <formula>AND(S$9&gt;=8/24,S$9&lt;14/24)</formula>
    </cfRule>
    <cfRule type="expression" dxfId="4494" priority="225">
      <formula>S$9&lt;8/24</formula>
    </cfRule>
  </conditionalFormatting>
  <conditionalFormatting sqref="U28:U30 Z29:Z30 S31:U34 S19:T30 U25:Y26 V28:Y34 Z32:AA34 S36:AA45 Z31:AF31">
    <cfRule type="expression" dxfId="4493" priority="221">
      <formula>S19&gt;$AG19</formula>
    </cfRule>
  </conditionalFormatting>
  <conditionalFormatting sqref="S47:AA47">
    <cfRule type="expression" dxfId="4492" priority="197">
      <formula>S47&gt;$AG47</formula>
    </cfRule>
  </conditionalFormatting>
  <conditionalFormatting sqref="S13:T13">
    <cfRule type="expression" dxfId="4491" priority="193">
      <formula>S$9&gt;=20/24</formula>
    </cfRule>
    <cfRule type="expression" dxfId="4490" priority="194">
      <formula>AND(S$9&gt;=14/24,S$9&lt;20/24)</formula>
    </cfRule>
    <cfRule type="expression" dxfId="4489" priority="195">
      <formula>AND(S$9&gt;=8/24,S$9&lt;14/24)</formula>
    </cfRule>
    <cfRule type="expression" dxfId="4488" priority="196">
      <formula>S$9&lt;8/24</formula>
    </cfRule>
  </conditionalFormatting>
  <conditionalFormatting sqref="S13:T13">
    <cfRule type="expression" dxfId="4487" priority="192">
      <formula>S13&gt;$AG13</formula>
    </cfRule>
  </conditionalFormatting>
  <conditionalFormatting sqref="S47:AA47">
    <cfRule type="expression" dxfId="4486" priority="188">
      <formula>S$9&gt;=20/24</formula>
    </cfRule>
    <cfRule type="expression" dxfId="4485" priority="189">
      <formula>AND(S$9&gt;=14/24,S$9&lt;20/24)</formula>
    </cfRule>
    <cfRule type="expression" dxfId="4484" priority="190">
      <formula>AND(S$9&gt;=8/24,S$9&lt;14/24)</formula>
    </cfRule>
    <cfRule type="expression" dxfId="4483" priority="191">
      <formula>S$9&lt;8/24</formula>
    </cfRule>
  </conditionalFormatting>
  <conditionalFormatting sqref="S48:AA48">
    <cfRule type="expression" dxfId="4482" priority="184">
      <formula>S$9&gt;=20/24</formula>
    </cfRule>
    <cfRule type="expression" dxfId="4481" priority="185">
      <formula>AND(S$9&gt;=14/24,S$9&lt;20/24)</formula>
    </cfRule>
    <cfRule type="expression" dxfId="4480" priority="186">
      <formula>AND(S$9&gt;=8/24,S$9&lt;14/24)</formula>
    </cfRule>
    <cfRule type="expression" dxfId="4479" priority="187">
      <formula>S$9&lt;8/24</formula>
    </cfRule>
  </conditionalFormatting>
  <conditionalFormatting sqref="S48:AA48">
    <cfRule type="expression" dxfId="4478" priority="183">
      <formula>S48&gt;$AG48</formula>
    </cfRule>
  </conditionalFormatting>
  <conditionalFormatting sqref="D50">
    <cfRule type="expression" dxfId="4477" priority="182">
      <formula>D50&gt;$AG50</formula>
    </cfRule>
  </conditionalFormatting>
  <conditionalFormatting sqref="P11:T11">
    <cfRule type="expression" dxfId="4476" priority="178">
      <formula>P$9&gt;=20/24</formula>
    </cfRule>
    <cfRule type="expression" dxfId="4475" priority="179">
      <formula>AND(P$9&gt;=14/24,P$9&lt;20/24)</formula>
    </cfRule>
    <cfRule type="expression" dxfId="4474" priority="180">
      <formula>AND(P$9&gt;=8/24,P$9&lt;14/24)</formula>
    </cfRule>
    <cfRule type="expression" dxfId="4473" priority="181">
      <formula>P$9&lt;8/24</formula>
    </cfRule>
  </conditionalFormatting>
  <conditionalFormatting sqref="P11:T11">
    <cfRule type="expression" dxfId="4472" priority="177">
      <formula>P11&gt;$AG11</formula>
    </cfRule>
  </conditionalFormatting>
  <conditionalFormatting sqref="S18:T18">
    <cfRule type="expression" dxfId="4471" priority="173">
      <formula>S$9&gt;=20/24</formula>
    </cfRule>
    <cfRule type="expression" dxfId="4470" priority="174">
      <formula>AND(S$9&gt;=14/24,S$9&lt;20/24)</formula>
    </cfRule>
    <cfRule type="expression" dxfId="4469" priority="175">
      <formula>AND(S$9&gt;=8/24,S$9&lt;14/24)</formula>
    </cfRule>
    <cfRule type="expression" dxfId="4468" priority="176">
      <formula>S$9&lt;8/24</formula>
    </cfRule>
  </conditionalFormatting>
  <conditionalFormatting sqref="S18:T18">
    <cfRule type="expression" dxfId="4467" priority="172">
      <formula>S18&gt;$AG18</formula>
    </cfRule>
  </conditionalFormatting>
  <conditionalFormatting sqref="S35:AA35">
    <cfRule type="expression" dxfId="4466" priority="168">
      <formula>S$9&gt;=20/24</formula>
    </cfRule>
    <cfRule type="expression" dxfId="4465" priority="169">
      <formula>AND(S$9&gt;=14/24,S$9&lt;20/24)</formula>
    </cfRule>
    <cfRule type="expression" dxfId="4464" priority="170">
      <formula>AND(S$9&gt;=8/24,S$9&lt;14/24)</formula>
    </cfRule>
    <cfRule type="expression" dxfId="4463" priority="171">
      <formula>S$9&lt;8/24</formula>
    </cfRule>
  </conditionalFormatting>
  <conditionalFormatting sqref="S35:AA35">
    <cfRule type="expression" dxfId="4462" priority="167">
      <formula>S35&gt;$AG35</formula>
    </cfRule>
  </conditionalFormatting>
  <conditionalFormatting sqref="U46:AA46">
    <cfRule type="expression" dxfId="4461" priority="166">
      <formula>U46&gt;$AG46</formula>
    </cfRule>
  </conditionalFormatting>
  <conditionalFormatting sqref="U46:AA46">
    <cfRule type="expression" dxfId="4460" priority="162">
      <formula>U$9&gt;=20/24</formula>
    </cfRule>
    <cfRule type="expression" dxfId="4459" priority="163">
      <formula>AND(U$9&gt;=14/24,U$9&lt;20/24)</formula>
    </cfRule>
    <cfRule type="expression" dxfId="4458" priority="164">
      <formula>AND(U$9&gt;=8/24,U$9&lt;14/24)</formula>
    </cfRule>
    <cfRule type="expression" dxfId="4457" priority="165">
      <formula>U$9&lt;8/24</formula>
    </cfRule>
  </conditionalFormatting>
  <conditionalFormatting sqref="B111 B113:B119 B14:O17 B12:O12 P14:R15 P17:R17">
    <cfRule type="expression" dxfId="4456" priority="128">
      <formula>B$9&gt;=20/24</formula>
    </cfRule>
    <cfRule type="expression" dxfId="4455" priority="129">
      <formula>AND(B$9&gt;=14/24,B$9&lt;20/24)</formula>
    </cfRule>
    <cfRule type="expression" dxfId="4454" priority="130">
      <formula>AND(B$9&gt;=8/24,B$9&lt;14/24)</formula>
    </cfRule>
    <cfRule type="expression" dxfId="4453" priority="131">
      <formula>B$9&lt;8/24</formula>
    </cfRule>
  </conditionalFormatting>
  <conditionalFormatting sqref="B14:O17 B12:O12 P14:R15 P17:R17">
    <cfRule type="expression" dxfId="4452" priority="127">
      <formula>B12&gt;$AG12</formula>
    </cfRule>
  </conditionalFormatting>
  <conditionalFormatting sqref="B101">
    <cfRule type="expression" dxfId="4451" priority="123">
      <formula>B$9&gt;=20/24</formula>
    </cfRule>
    <cfRule type="expression" dxfId="4450" priority="124">
      <formula>AND(B$9&gt;=14/24,B$9&lt;20/24)</formula>
    </cfRule>
    <cfRule type="expression" dxfId="4449" priority="125">
      <formula>AND(B$9&gt;=8/24,B$9&lt;14/24)</formula>
    </cfRule>
    <cfRule type="expression" dxfId="4448" priority="126">
      <formula>B$9&lt;8/24</formula>
    </cfRule>
  </conditionalFormatting>
  <conditionalFormatting sqref="B73:C73">
    <cfRule type="expression" dxfId="4447" priority="119">
      <formula>B$9&gt;=20/24</formula>
    </cfRule>
    <cfRule type="expression" dxfId="4446" priority="120">
      <formula>AND(B$9&gt;=14/24,B$9&lt;20/24)</formula>
    </cfRule>
    <cfRule type="expression" dxfId="4445" priority="121">
      <formula>AND(B$9&gt;=8/24,B$9&lt;14/24)</formula>
    </cfRule>
    <cfRule type="expression" dxfId="4444" priority="122">
      <formula>B$9&lt;8/24</formula>
    </cfRule>
  </conditionalFormatting>
  <conditionalFormatting sqref="B102:B108 B88 B98 B69:C71 B74:C75">
    <cfRule type="expression" dxfId="4443" priority="115">
      <formula>B$9&gt;=20/24</formula>
    </cfRule>
    <cfRule type="expression" dxfId="4442" priority="116">
      <formula>AND(B$9&gt;=14/24,B$9&lt;20/24)</formula>
    </cfRule>
    <cfRule type="expression" dxfId="4441" priority="117">
      <formula>AND(B$9&gt;=8/24,B$9&lt;14/24)</formula>
    </cfRule>
    <cfRule type="expression" dxfId="4440" priority="118">
      <formula>B$9&lt;8/24</formula>
    </cfRule>
  </conditionalFormatting>
  <conditionalFormatting sqref="B69:C71">
    <cfRule type="expression" dxfId="4439" priority="114">
      <formula>B69&gt;$AG69</formula>
    </cfRule>
  </conditionalFormatting>
  <conditionalFormatting sqref="B60:R60">
    <cfRule type="expression" dxfId="4438" priority="110">
      <formula>B$9&gt;=20/24</formula>
    </cfRule>
    <cfRule type="expression" dxfId="4437" priority="111">
      <formula>AND(B$9&gt;=14/24,B$9&lt;20/24)</formula>
    </cfRule>
    <cfRule type="expression" dxfId="4436" priority="112">
      <formula>AND(B$9&gt;=8/24,B$9&lt;14/24)</formula>
    </cfRule>
    <cfRule type="expression" dxfId="4435" priority="113">
      <formula>B$9&lt;8/24</formula>
    </cfRule>
  </conditionalFormatting>
  <conditionalFormatting sqref="B60:R60">
    <cfRule type="expression" dxfId="4434" priority="109">
      <formula>B60&gt;$AG60</formula>
    </cfRule>
  </conditionalFormatting>
  <conditionalFormatting sqref="B99 B90">
    <cfRule type="expression" dxfId="4433" priority="105">
      <formula>B$9&gt;=20/24</formula>
    </cfRule>
    <cfRule type="expression" dxfId="4432" priority="106">
      <formula>AND(B$9&gt;=14/24,B$9&lt;20/24)</formula>
    </cfRule>
    <cfRule type="expression" dxfId="4431" priority="107">
      <formula>AND(B$9&gt;=8/24,B$9&lt;14/24)</formula>
    </cfRule>
    <cfRule type="expression" dxfId="4430" priority="108">
      <formula>B$9&lt;8/24</formula>
    </cfRule>
  </conditionalFormatting>
  <conditionalFormatting sqref="B49:C49">
    <cfRule type="expression" dxfId="4429" priority="101">
      <formula>B$9&gt;=20/24</formula>
    </cfRule>
    <cfRule type="expression" dxfId="4428" priority="102">
      <formula>AND(B$9&gt;=14/24,B$9&lt;20/24)</formula>
    </cfRule>
    <cfRule type="expression" dxfId="4427" priority="103">
      <formula>AND(B$9&gt;=8/24,B$9&lt;14/24)</formula>
    </cfRule>
    <cfRule type="expression" dxfId="4426" priority="104">
      <formula>B$9&lt;8/24</formula>
    </cfRule>
  </conditionalFormatting>
  <conditionalFormatting sqref="B49:C49">
    <cfRule type="expression" dxfId="4425" priority="100">
      <formula>B49&gt;$AG49</formula>
    </cfRule>
  </conditionalFormatting>
  <conditionalFormatting sqref="B93:B97">
    <cfRule type="expression" dxfId="4424" priority="96">
      <formula>B$9&gt;=20/24</formula>
    </cfRule>
    <cfRule type="expression" dxfId="4423" priority="97">
      <formula>AND(B$9&gt;=14/24,B$9&lt;20/24)</formula>
    </cfRule>
    <cfRule type="expression" dxfId="4422" priority="98">
      <formula>AND(B$9&gt;=8/24,B$9&lt;14/24)</formula>
    </cfRule>
    <cfRule type="expression" dxfId="4421" priority="99">
      <formula>B$9&lt;8/24</formula>
    </cfRule>
  </conditionalFormatting>
  <conditionalFormatting sqref="B51:P53 Q52:T53">
    <cfRule type="expression" dxfId="4420" priority="92">
      <formula>B$9&gt;=20/24</formula>
    </cfRule>
    <cfRule type="expression" dxfId="4419" priority="93">
      <formula>AND(B$9&gt;=14/24,B$9&lt;20/24)</formula>
    </cfRule>
    <cfRule type="expression" dxfId="4418" priority="94">
      <formula>AND(B$9&gt;=8/24,B$9&lt;14/24)</formula>
    </cfRule>
    <cfRule type="expression" dxfId="4417" priority="95">
      <formula>B$9&lt;8/24</formula>
    </cfRule>
  </conditionalFormatting>
  <conditionalFormatting sqref="B51:P53 Q52:T53">
    <cfRule type="expression" dxfId="4416" priority="91">
      <formula>B51&gt;$AG51</formula>
    </cfRule>
  </conditionalFormatting>
  <conditionalFormatting sqref="B109">
    <cfRule type="expression" dxfId="4415" priority="87">
      <formula>B$9&gt;=20/24</formula>
    </cfRule>
    <cfRule type="expression" dxfId="4414" priority="88">
      <formula>AND(B$9&gt;=14/24,B$9&lt;20/24)</formula>
    </cfRule>
    <cfRule type="expression" dxfId="4413" priority="89">
      <formula>AND(B$9&gt;=8/24,B$9&lt;14/24)</formula>
    </cfRule>
    <cfRule type="expression" dxfId="4412" priority="90">
      <formula>B$9&lt;8/24</formula>
    </cfRule>
  </conditionalFormatting>
  <conditionalFormatting sqref="B112">
    <cfRule type="expression" dxfId="4411" priority="83">
      <formula>B$9&gt;=20/24</formula>
    </cfRule>
    <cfRule type="expression" dxfId="4410" priority="84">
      <formula>AND(B$9&gt;=14/24,B$9&lt;20/24)</formula>
    </cfRule>
    <cfRule type="expression" dxfId="4409" priority="85">
      <formula>AND(B$9&gt;=8/24,B$9&lt;14/24)</formula>
    </cfRule>
    <cfRule type="expression" dxfId="4408" priority="86">
      <formula>B$9&lt;8/24</formula>
    </cfRule>
  </conditionalFormatting>
  <conditionalFormatting sqref="B20:R25 B27:R28">
    <cfRule type="expression" dxfId="4407" priority="79">
      <formula>B$9&gt;=20/24</formula>
    </cfRule>
    <cfRule type="expression" dxfId="4406" priority="80">
      <formula>AND(B$9&gt;=14/24,B$9&lt;20/24)</formula>
    </cfRule>
    <cfRule type="expression" dxfId="4405" priority="81">
      <formula>AND(B$9&gt;=8/24,B$9&lt;14/24)</formula>
    </cfRule>
    <cfRule type="expression" dxfId="4404" priority="82">
      <formula>B$9&lt;8/24</formula>
    </cfRule>
  </conditionalFormatting>
  <conditionalFormatting sqref="B20:R25 B27:R28">
    <cfRule type="expression" dxfId="4403" priority="78">
      <formula>B20&gt;$AG20</formula>
    </cfRule>
  </conditionalFormatting>
  <conditionalFormatting sqref="B85:B87">
    <cfRule type="expression" dxfId="4402" priority="74">
      <formula>B$9&gt;=20/24</formula>
    </cfRule>
    <cfRule type="expression" dxfId="4401" priority="75">
      <formula>AND(B$9&gt;=14/24,B$9&lt;20/24)</formula>
    </cfRule>
    <cfRule type="expression" dxfId="4400" priority="76">
      <formula>AND(B$9&gt;=8/24,B$9&lt;14/24)</formula>
    </cfRule>
    <cfRule type="expression" dxfId="4399" priority="77">
      <formula>B$9&lt;8/24</formula>
    </cfRule>
  </conditionalFormatting>
  <conditionalFormatting sqref="B89 B91 B100 B72:C72">
    <cfRule type="expression" dxfId="4398" priority="70">
      <formula>B$9&gt;=20/24</formula>
    </cfRule>
    <cfRule type="expression" dxfId="4397" priority="71">
      <formula>AND(B$9&gt;=14/24,B$9&lt;20/24)</formula>
    </cfRule>
    <cfRule type="expression" dxfId="4396" priority="72">
      <formula>AND(B$9&gt;=8/24,B$9&lt;14/24)</formula>
    </cfRule>
    <cfRule type="expression" dxfId="4395" priority="73">
      <formula>B$9&lt;8/24</formula>
    </cfRule>
  </conditionalFormatting>
  <conditionalFormatting sqref="B72:C72 B67:C68">
    <cfRule type="expression" dxfId="4394" priority="69">
      <formula>B67&gt;$AG67</formula>
    </cfRule>
  </conditionalFormatting>
  <conditionalFormatting sqref="B84">
    <cfRule type="expression" dxfId="4393" priority="65">
      <formula>B$9&gt;=20/24</formula>
    </cfRule>
    <cfRule type="expression" dxfId="4392" priority="66">
      <formula>AND(B$9&gt;=14/24,B$9&lt;20/24)</formula>
    </cfRule>
    <cfRule type="expression" dxfId="4391" priority="67">
      <formula>AND(B$9&gt;=8/24,B$9&lt;14/24)</formula>
    </cfRule>
    <cfRule type="expression" dxfId="4390" priority="68">
      <formula>B$9&lt;8/24</formula>
    </cfRule>
  </conditionalFormatting>
  <conditionalFormatting sqref="B54:C54">
    <cfRule type="expression" dxfId="4389" priority="61">
      <formula>B$9&gt;=20/24</formula>
    </cfRule>
    <cfRule type="expression" dxfId="4388" priority="62">
      <formula>AND(B$9&gt;=14/24,B$9&lt;20/24)</formula>
    </cfRule>
    <cfRule type="expression" dxfId="4387" priority="63">
      <formula>AND(B$9&gt;=8/24,B$9&lt;14/24)</formula>
    </cfRule>
    <cfRule type="expression" dxfId="4386" priority="64">
      <formula>B$9&lt;8/24</formula>
    </cfRule>
  </conditionalFormatting>
  <conditionalFormatting sqref="B54:C54">
    <cfRule type="expression" dxfId="4385" priority="60">
      <formula>B54&gt;$AG54</formula>
    </cfRule>
  </conditionalFormatting>
  <conditionalFormatting sqref="B61:R66">
    <cfRule type="expression" dxfId="4384" priority="56">
      <formula>B$9&gt;=20/24</formula>
    </cfRule>
    <cfRule type="expression" dxfId="4383" priority="57">
      <formula>AND(B$9&gt;=14/24,B$9&lt;20/24)</formula>
    </cfRule>
    <cfRule type="expression" dxfId="4382" priority="58">
      <formula>AND(B$9&gt;=8/24,B$9&lt;14/24)</formula>
    </cfRule>
    <cfRule type="expression" dxfId="4381" priority="59">
      <formula>B$9&lt;8/24</formula>
    </cfRule>
  </conditionalFormatting>
  <conditionalFormatting sqref="B61:R66">
    <cfRule type="expression" dxfId="4380" priority="55">
      <formula>B61&gt;$AG61</formula>
    </cfRule>
  </conditionalFormatting>
  <conditionalFormatting sqref="B13:R13">
    <cfRule type="expression" dxfId="4379" priority="51">
      <formula>B$9&gt;=20/24</formula>
    </cfRule>
    <cfRule type="expression" dxfId="4378" priority="52">
      <formula>AND(B$9&gt;=14/24,B$9&lt;20/24)</formula>
    </cfRule>
    <cfRule type="expression" dxfId="4377" priority="53">
      <formula>AND(B$9&gt;=8/24,B$9&lt;14/24)</formula>
    </cfRule>
    <cfRule type="expression" dxfId="4376" priority="54">
      <formula>B$9&lt;8/24</formula>
    </cfRule>
  </conditionalFormatting>
  <conditionalFormatting sqref="B13:R13">
    <cfRule type="expression" dxfId="4375" priority="50">
      <formula>B13&gt;$AG13</formula>
    </cfRule>
  </conditionalFormatting>
  <conditionalFormatting sqref="B50:C50">
    <cfRule type="expression" dxfId="4374" priority="49">
      <formula>B50&gt;$AG50</formula>
    </cfRule>
  </conditionalFormatting>
  <conditionalFormatting sqref="B11:O11">
    <cfRule type="expression" dxfId="4373" priority="45">
      <formula>B$9&gt;=20/24</formula>
    </cfRule>
    <cfRule type="expression" dxfId="4372" priority="46">
      <formula>AND(B$9&gt;=14/24,B$9&lt;20/24)</formula>
    </cfRule>
    <cfRule type="expression" dxfId="4371" priority="47">
      <formula>AND(B$9&gt;=8/24,B$9&lt;14/24)</formula>
    </cfRule>
    <cfRule type="expression" dxfId="4370" priority="48">
      <formula>B$9&lt;8/24</formula>
    </cfRule>
  </conditionalFormatting>
  <conditionalFormatting sqref="B11:O11">
    <cfRule type="expression" dxfId="4369" priority="44">
      <formula>B11&gt;$AG11</formula>
    </cfRule>
  </conditionalFormatting>
  <conditionalFormatting sqref="B18:R18">
    <cfRule type="expression" dxfId="4368" priority="40">
      <formula>B$9&gt;=20/24</formula>
    </cfRule>
    <cfRule type="expression" dxfId="4367" priority="41">
      <formula>AND(B$9&gt;=14/24,B$9&lt;20/24)</formula>
    </cfRule>
    <cfRule type="expression" dxfId="4366" priority="42">
      <formula>AND(B$9&gt;=8/24,B$9&lt;14/24)</formula>
    </cfRule>
    <cfRule type="expression" dxfId="4365" priority="43">
      <formula>B$9&lt;8/24</formula>
    </cfRule>
  </conditionalFormatting>
  <conditionalFormatting sqref="B18:R18">
    <cfRule type="expression" dxfId="4364" priority="39">
      <formula>B18&gt;$AG18</formula>
    </cfRule>
  </conditionalFormatting>
  <conditionalFormatting sqref="B120">
    <cfRule type="expression" dxfId="4363" priority="35">
      <formula>B$9&gt;=20/24</formula>
    </cfRule>
    <cfRule type="expression" dxfId="4362" priority="36">
      <formula>AND(B$9&gt;=14/24,B$9&lt;20/24)</formula>
    </cfRule>
    <cfRule type="expression" dxfId="4361" priority="37">
      <formula>AND(B$9&gt;=8/24,B$9&lt;14/24)</formula>
    </cfRule>
    <cfRule type="expression" dxfId="4360" priority="38">
      <formula>B$9&lt;8/24</formula>
    </cfRule>
  </conditionalFormatting>
  <conditionalFormatting sqref="B19:R19 B26:R26 B36:R45 B29:R34">
    <cfRule type="expression" dxfId="4359" priority="31">
      <formula>B$9&gt;=20/24</formula>
    </cfRule>
    <cfRule type="expression" dxfId="4358" priority="32">
      <formula>AND(B$9&gt;=14/24,B$9&lt;20/24)</formula>
    </cfRule>
    <cfRule type="expression" dxfId="4357" priority="33">
      <formula>AND(B$9&gt;=8/24,B$9&lt;14/24)</formula>
    </cfRule>
    <cfRule type="expression" dxfId="4356" priority="34">
      <formula>B$9&lt;8/24</formula>
    </cfRule>
  </conditionalFormatting>
  <conditionalFormatting sqref="B19:R19 B26:R26 B36:R45 B29:R34">
    <cfRule type="expression" dxfId="4355" priority="30">
      <formula>B19&gt;$AG19</formula>
    </cfRule>
  </conditionalFormatting>
  <conditionalFormatting sqref="B47:R47">
    <cfRule type="expression" dxfId="4354" priority="29">
      <formula>B47&gt;$AG47</formula>
    </cfRule>
  </conditionalFormatting>
  <conditionalFormatting sqref="B47:R47">
    <cfRule type="expression" dxfId="4353" priority="25">
      <formula>B$9&gt;=20/24</formula>
    </cfRule>
    <cfRule type="expression" dxfId="4352" priority="26">
      <formula>AND(B$9&gt;=14/24,B$9&lt;20/24)</formula>
    </cfRule>
    <cfRule type="expression" dxfId="4351" priority="27">
      <formula>AND(B$9&gt;=8/24,B$9&lt;14/24)</formula>
    </cfRule>
    <cfRule type="expression" dxfId="4350" priority="28">
      <formula>B$9&lt;8/24</formula>
    </cfRule>
  </conditionalFormatting>
  <conditionalFormatting sqref="B48:R48">
    <cfRule type="expression" dxfId="4349" priority="21">
      <formula>B$9&gt;=20/24</formula>
    </cfRule>
    <cfRule type="expression" dxfId="4348" priority="22">
      <formula>AND(B$9&gt;=14/24,B$9&lt;20/24)</formula>
    </cfRule>
    <cfRule type="expression" dxfId="4347" priority="23">
      <formula>AND(B$9&gt;=8/24,B$9&lt;14/24)</formula>
    </cfRule>
    <cfRule type="expression" dxfId="4346" priority="24">
      <formula>B$9&lt;8/24</formula>
    </cfRule>
  </conditionalFormatting>
  <conditionalFormatting sqref="B48:R48">
    <cfRule type="expression" dxfId="4345" priority="20">
      <formula>B48&gt;$AG48</formula>
    </cfRule>
  </conditionalFormatting>
  <conditionalFormatting sqref="B35:R35">
    <cfRule type="expression" dxfId="4344" priority="16">
      <formula>B$9&gt;=20/24</formula>
    </cfRule>
    <cfRule type="expression" dxfId="4343" priority="17">
      <formula>AND(B$9&gt;=14/24,B$9&lt;20/24)</formula>
    </cfRule>
    <cfRule type="expression" dxfId="4342" priority="18">
      <formula>AND(B$9&gt;=8/24,B$9&lt;14/24)</formula>
    </cfRule>
    <cfRule type="expression" dxfId="4341" priority="19">
      <formula>B$9&lt;8/24</formula>
    </cfRule>
  </conditionalFormatting>
  <conditionalFormatting sqref="B35:R35">
    <cfRule type="expression" dxfId="4340" priority="15">
      <formula>B35&gt;$AG35</formula>
    </cfRule>
  </conditionalFormatting>
  <conditionalFormatting sqref="B46:T46">
    <cfRule type="expression" dxfId="4339" priority="14">
      <formula>B46&gt;$AG46</formula>
    </cfRule>
  </conditionalFormatting>
  <conditionalFormatting sqref="B46:T46">
    <cfRule type="expression" dxfId="4338" priority="10">
      <formula>B$9&gt;=20/24</formula>
    </cfRule>
    <cfRule type="expression" dxfId="4337" priority="11">
      <formula>AND(B$9&gt;=14/24,B$9&lt;20/24)</formula>
    </cfRule>
    <cfRule type="expression" dxfId="4336" priority="12">
      <formula>AND(B$9&gt;=8/24,B$9&lt;14/24)</formula>
    </cfRule>
    <cfRule type="expression" dxfId="4335" priority="13">
      <formula>B$9&lt;8/24</formula>
    </cfRule>
  </conditionalFormatting>
  <conditionalFormatting sqref="B55:R59">
    <cfRule type="expression" dxfId="4334" priority="6">
      <formula>B$9&gt;=20/24</formula>
    </cfRule>
    <cfRule type="expression" dxfId="4333" priority="7">
      <formula>AND(B$9&gt;=14/24,B$9&lt;20/24)</formula>
    </cfRule>
    <cfRule type="expression" dxfId="4332" priority="8">
      <formula>AND(B$9&gt;=8/24,B$9&lt;14/24)</formula>
    </cfRule>
    <cfRule type="expression" dxfId="4331" priority="9">
      <formula>B$9&lt;8/24</formula>
    </cfRule>
  </conditionalFormatting>
  <conditionalFormatting sqref="B55:R59">
    <cfRule type="expression" dxfId="4330" priority="5">
      <formula>B55&gt;$AG55</formula>
    </cfRule>
  </conditionalFormatting>
  <conditionalFormatting sqref="B76:C83">
    <cfRule type="expression" dxfId="4329" priority="1">
      <formula>B$9&gt;=20/24</formula>
    </cfRule>
    <cfRule type="expression" dxfId="4328" priority="2">
      <formula>AND(B$9&gt;=14/24,B$9&lt;20/24)</formula>
    </cfRule>
    <cfRule type="expression" dxfId="4327" priority="3">
      <formula>AND(B$9&gt;=8/24,B$9&lt;14/24)</formula>
    </cfRule>
    <cfRule type="expression" dxfId="4326" priority="4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0D88-7DE3-4EF5-B58D-1CF5FD9389A6}">
  <dimension ref="A1:CJ281"/>
  <sheetViews>
    <sheetView tabSelected="1" zoomScaleNormal="100" workbookViewId="0">
      <pane xSplit="1" ySplit="10" topLeftCell="H11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A75" sqref="A75:XFD7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2" width="6.85546875" style="1" customWidth="1"/>
    <col min="23" max="23" width="9.7109375" style="1" customWidth="1"/>
    <col min="24" max="24" width="8.7109375" style="1" customWidth="1"/>
    <col min="25" max="25" width="9.7109375" style="1" customWidth="1"/>
    <col min="26" max="26" width="8.71093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str">
        <f ca="1">"2080/"&amp;"03/"&amp;INT(MID(CELL("filename",D6),FIND("]",CELL("filename",D6))+1,200))</f>
        <v>2080/03/31</v>
      </c>
      <c r="C4" s="187"/>
      <c r="D4" s="187"/>
      <c r="E4" s="188" t="str">
        <f ca="1">"2079/"&amp;"12/"&amp;INT(MID(CELL("filename",G6),FIND("]",CELL("filename",G6))+1,200))</f>
        <v>2079/12/31</v>
      </c>
      <c r="F4" s="188"/>
      <c r="G4" s="188"/>
      <c r="H4" s="188" t="str">
        <f ca="1">TEXT(E4,"dddd")</f>
        <v>Sunday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17.5</v>
      </c>
      <c r="C5" s="30">
        <f t="shared" si="0"/>
        <v>19.7</v>
      </c>
      <c r="D5" s="30">
        <f t="shared" si="0"/>
        <v>18.899999999999999</v>
      </c>
      <c r="E5" s="30">
        <f t="shared" si="0"/>
        <v>8.9</v>
      </c>
      <c r="F5" s="30">
        <f t="shared" si="0"/>
        <v>6.4</v>
      </c>
      <c r="G5" s="30">
        <f t="shared" si="0"/>
        <v>1</v>
      </c>
      <c r="H5" s="30">
        <f t="shared" si="0"/>
        <v>0</v>
      </c>
      <c r="I5" s="30">
        <f t="shared" si="0"/>
        <v>3</v>
      </c>
      <c r="J5" s="30">
        <f t="shared" si="0"/>
        <v>27</v>
      </c>
      <c r="K5" s="30">
        <f t="shared" si="0"/>
        <v>25.5</v>
      </c>
      <c r="L5" s="30">
        <f t="shared" si="0"/>
        <v>26.5</v>
      </c>
      <c r="M5" s="30">
        <f t="shared" si="0"/>
        <v>26.5</v>
      </c>
      <c r="N5" s="30">
        <f t="shared" si="0"/>
        <v>6</v>
      </c>
      <c r="O5" s="30">
        <f t="shared" si="0"/>
        <v>15.4</v>
      </c>
      <c r="P5" s="30">
        <f t="shared" si="0"/>
        <v>0</v>
      </c>
      <c r="Q5" s="30">
        <f t="shared" si="0"/>
        <v>12</v>
      </c>
      <c r="R5" s="30">
        <f t="shared" si="0"/>
        <v>1.1000000000000001</v>
      </c>
      <c r="S5" s="30">
        <f t="shared" si="0"/>
        <v>9.9</v>
      </c>
      <c r="T5" s="30">
        <f t="shared" si="0"/>
        <v>11.9</v>
      </c>
      <c r="U5" s="30">
        <f t="shared" si="0"/>
        <v>8.6</v>
      </c>
      <c r="V5" s="30">
        <f t="shared" si="0"/>
        <v>8.6</v>
      </c>
      <c r="W5" s="30">
        <f t="shared" si="0"/>
        <v>8.6</v>
      </c>
      <c r="X5" s="30">
        <f t="shared" si="0"/>
        <v>8.6</v>
      </c>
      <c r="Y5" s="30">
        <f t="shared" si="0"/>
        <v>8.6</v>
      </c>
      <c r="Z5" s="30">
        <f t="shared" si="0"/>
        <v>19.7</v>
      </c>
      <c r="AA5" s="30">
        <f t="shared" si="0"/>
        <v>28.9</v>
      </c>
      <c r="AB5" s="30">
        <f t="shared" si="0"/>
        <v>27.2</v>
      </c>
      <c r="AC5" s="30">
        <f t="shared" si="0"/>
        <v>36.6</v>
      </c>
      <c r="AD5" s="30">
        <f t="shared" si="0"/>
        <v>45.5</v>
      </c>
      <c r="AE5" s="30">
        <f t="shared" si="0"/>
        <v>0</v>
      </c>
      <c r="AF5" s="30">
        <f>B84</f>
        <v>14.7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1992MW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Load=1916</v>
      </c>
      <c r="B7" s="35">
        <f t="shared" ref="B7:AF7" si="1">B91</f>
        <v>1944.8400000000001</v>
      </c>
      <c r="C7" s="35">
        <f t="shared" si="1"/>
        <v>1947.94</v>
      </c>
      <c r="D7" s="35">
        <f t="shared" si="1"/>
        <v>1939.1399999999999</v>
      </c>
      <c r="E7" s="35">
        <f t="shared" si="1"/>
        <v>1933.44</v>
      </c>
      <c r="F7" s="35">
        <f t="shared" si="1"/>
        <v>1915.84</v>
      </c>
      <c r="G7" s="35">
        <f t="shared" si="1"/>
        <v>1933.34</v>
      </c>
      <c r="H7" s="35">
        <f t="shared" si="1"/>
        <v>1920.9399999999998</v>
      </c>
      <c r="I7" s="35">
        <f t="shared" si="1"/>
        <v>1927.4399999999998</v>
      </c>
      <c r="J7" s="35">
        <f t="shared" si="1"/>
        <v>1940.9399999999998</v>
      </c>
      <c r="K7" s="35">
        <f t="shared" si="1"/>
        <v>1937.7399999999998</v>
      </c>
      <c r="L7" s="35">
        <f t="shared" si="1"/>
        <v>1991.94</v>
      </c>
      <c r="M7" s="35">
        <f t="shared" si="1"/>
        <v>1972.34</v>
      </c>
      <c r="N7" s="35">
        <f>N91</f>
        <v>1987.34</v>
      </c>
      <c r="O7" s="35">
        <f t="shared" si="1"/>
        <v>2059.4399999999996</v>
      </c>
      <c r="P7" s="35">
        <f t="shared" si="1"/>
        <v>2099.14</v>
      </c>
      <c r="Q7" s="35">
        <f t="shared" si="1"/>
        <v>2081.7399999999998</v>
      </c>
      <c r="R7" s="35">
        <f t="shared" si="1"/>
        <v>2063.54</v>
      </c>
      <c r="S7" s="35">
        <f t="shared" si="1"/>
        <v>2015.9399999999998</v>
      </c>
      <c r="T7" s="35">
        <f t="shared" si="1"/>
        <v>2003.04</v>
      </c>
      <c r="U7" s="35">
        <f t="shared" si="1"/>
        <v>2035.44</v>
      </c>
      <c r="V7" s="35">
        <f t="shared" si="1"/>
        <v>1982.2399999999998</v>
      </c>
      <c r="W7" s="35">
        <f t="shared" si="1"/>
        <v>1981.2399999999998</v>
      </c>
      <c r="X7" s="35">
        <f t="shared" si="1"/>
        <v>1981.2399999999998</v>
      </c>
      <c r="Y7" s="35">
        <f t="shared" si="1"/>
        <v>1981.2399999999998</v>
      </c>
      <c r="Z7" s="35">
        <f t="shared" si="1"/>
        <v>2026.34</v>
      </c>
      <c r="AA7" s="35">
        <f t="shared" si="1"/>
        <v>2029.539</v>
      </c>
      <c r="AB7" s="35">
        <f t="shared" si="1"/>
        <v>2112.84</v>
      </c>
      <c r="AC7" s="35">
        <f t="shared" si="1"/>
        <v>2103.14</v>
      </c>
      <c r="AD7" s="35">
        <f t="shared" si="1"/>
        <v>2120.84</v>
      </c>
      <c r="AE7" s="35">
        <f t="shared" si="1"/>
        <v>2073.14</v>
      </c>
      <c r="AF7" s="35">
        <f t="shared" si="1"/>
        <v>2005.1399999999999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86.1</v>
      </c>
      <c r="C11" s="45">
        <v>86.1</v>
      </c>
      <c r="D11" s="45">
        <v>86.1</v>
      </c>
      <c r="E11" s="45">
        <v>86.1</v>
      </c>
      <c r="F11" s="45">
        <v>86.1</v>
      </c>
      <c r="G11" s="45">
        <v>86.1</v>
      </c>
      <c r="H11" s="45">
        <v>86.1</v>
      </c>
      <c r="I11" s="45">
        <v>86.1</v>
      </c>
      <c r="J11" s="45">
        <v>86.1</v>
      </c>
      <c r="K11" s="45">
        <v>86.1</v>
      </c>
      <c r="L11" s="45">
        <v>86.1</v>
      </c>
      <c r="M11" s="45">
        <v>86.1</v>
      </c>
      <c r="N11" s="45">
        <v>86.1</v>
      </c>
      <c r="O11" s="45">
        <v>86.1</v>
      </c>
      <c r="P11" s="45">
        <v>86.1</v>
      </c>
      <c r="Q11" s="45">
        <v>86.1</v>
      </c>
      <c r="R11" s="45">
        <v>86.1</v>
      </c>
      <c r="S11" s="45">
        <v>86.1</v>
      </c>
      <c r="T11" s="45">
        <v>86.1</v>
      </c>
      <c r="U11" s="45">
        <v>86.1</v>
      </c>
      <c r="V11" s="45">
        <v>86.1</v>
      </c>
      <c r="W11" s="45">
        <v>86.1</v>
      </c>
      <c r="X11" s="45">
        <v>86.1</v>
      </c>
      <c r="Y11" s="45">
        <v>86.1</v>
      </c>
      <c r="Z11" s="45">
        <v>86.1</v>
      </c>
      <c r="AA11" s="45">
        <v>81.599999999999994</v>
      </c>
      <c r="AB11" s="45">
        <v>86.1</v>
      </c>
      <c r="AC11" s="45">
        <v>86.1</v>
      </c>
      <c r="AD11" s="45">
        <v>86.1</v>
      </c>
      <c r="AE11" s="45">
        <v>86.1</v>
      </c>
      <c r="AF11" s="45">
        <v>86.1</v>
      </c>
      <c r="AG11" s="46">
        <v>86</v>
      </c>
      <c r="AH11" s="47">
        <f t="shared" ref="AH11:AH76" si="2">MAX(B11:AF11)</f>
        <v>86.1</v>
      </c>
      <c r="AI11" s="48">
        <f t="shared" ref="AI11:AI76" si="3">MIN(B11:AF11)</f>
        <v>81.599999999999994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>
        <v>11</v>
      </c>
      <c r="C12" s="45">
        <v>11</v>
      </c>
      <c r="D12" s="45">
        <v>21</v>
      </c>
      <c r="E12" s="45">
        <v>0</v>
      </c>
      <c r="F12" s="45">
        <v>0</v>
      </c>
      <c r="G12" s="45">
        <v>20</v>
      </c>
      <c r="H12" s="45">
        <v>20</v>
      </c>
      <c r="I12" s="45">
        <v>20</v>
      </c>
      <c r="J12" s="45">
        <v>20</v>
      </c>
      <c r="K12" s="45">
        <v>20</v>
      </c>
      <c r="L12" s="45">
        <v>27</v>
      </c>
      <c r="M12" s="45">
        <v>27</v>
      </c>
      <c r="N12" s="45">
        <v>27</v>
      </c>
      <c r="O12" s="45">
        <v>27</v>
      </c>
      <c r="P12" s="45">
        <v>54</v>
      </c>
      <c r="Q12" s="45">
        <v>54</v>
      </c>
      <c r="R12" s="45">
        <v>54</v>
      </c>
      <c r="S12" s="45">
        <v>20</v>
      </c>
      <c r="T12" s="45">
        <v>20</v>
      </c>
      <c r="U12" s="45">
        <v>20</v>
      </c>
      <c r="V12" s="45">
        <v>10</v>
      </c>
      <c r="W12" s="45">
        <v>20</v>
      </c>
      <c r="X12" s="45">
        <v>20</v>
      </c>
      <c r="Y12" s="45">
        <v>20</v>
      </c>
      <c r="Z12" s="45">
        <v>25</v>
      </c>
      <c r="AA12" s="45">
        <v>25</v>
      </c>
      <c r="AB12" s="45">
        <v>26</v>
      </c>
      <c r="AC12" s="45">
        <v>26</v>
      </c>
      <c r="AD12" s="45">
        <v>26</v>
      </c>
      <c r="AE12" s="45">
        <v>26</v>
      </c>
      <c r="AF12" s="45">
        <v>26</v>
      </c>
      <c r="AG12" s="49">
        <v>54</v>
      </c>
      <c r="AH12" s="47">
        <f t="shared" si="2"/>
        <v>54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>
        <v>55</v>
      </c>
      <c r="C13" s="45">
        <v>54.9</v>
      </c>
      <c r="D13" s="45">
        <v>55</v>
      </c>
      <c r="E13" s="45">
        <v>55</v>
      </c>
      <c r="F13" s="45">
        <v>55</v>
      </c>
      <c r="G13" s="45">
        <v>55</v>
      </c>
      <c r="H13" s="45">
        <v>55</v>
      </c>
      <c r="I13" s="45">
        <v>55</v>
      </c>
      <c r="J13" s="45">
        <v>55</v>
      </c>
      <c r="K13" s="45">
        <v>55</v>
      </c>
      <c r="L13" s="45">
        <v>55</v>
      </c>
      <c r="M13" s="45">
        <v>55</v>
      </c>
      <c r="N13" s="45">
        <v>55</v>
      </c>
      <c r="O13" s="45">
        <v>55</v>
      </c>
      <c r="P13" s="45">
        <v>55</v>
      </c>
      <c r="Q13" s="45">
        <v>55</v>
      </c>
      <c r="R13" s="45">
        <v>55</v>
      </c>
      <c r="S13" s="45">
        <v>55</v>
      </c>
      <c r="T13" s="45">
        <v>54.8</v>
      </c>
      <c r="U13" s="45">
        <v>54.8</v>
      </c>
      <c r="V13" s="45">
        <v>54.8</v>
      </c>
      <c r="W13" s="45">
        <v>54.8</v>
      </c>
      <c r="X13" s="45">
        <v>54.8</v>
      </c>
      <c r="Y13" s="45">
        <v>54.8</v>
      </c>
      <c r="Z13" s="45">
        <v>54.8</v>
      </c>
      <c r="AA13" s="45">
        <v>54.8</v>
      </c>
      <c r="AB13" s="45">
        <v>54.8</v>
      </c>
      <c r="AC13" s="45">
        <v>54.8</v>
      </c>
      <c r="AD13" s="45">
        <v>54.8</v>
      </c>
      <c r="AE13" s="45">
        <v>54.8</v>
      </c>
      <c r="AF13" s="45">
        <v>54.8</v>
      </c>
      <c r="AG13" s="46">
        <v>52.4</v>
      </c>
      <c r="AH13" s="47">
        <f t="shared" si="2"/>
        <v>55</v>
      </c>
      <c r="AI13" s="48">
        <f t="shared" si="3"/>
        <v>54.8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45">
        <v>50.5</v>
      </c>
      <c r="C14" s="45">
        <v>50.5</v>
      </c>
      <c r="D14" s="45">
        <v>50.2</v>
      </c>
      <c r="E14" s="45">
        <v>50.2</v>
      </c>
      <c r="F14" s="45">
        <v>50.2</v>
      </c>
      <c r="G14" s="45">
        <v>50.2</v>
      </c>
      <c r="H14" s="45">
        <v>50.2</v>
      </c>
      <c r="I14" s="45">
        <v>50.2</v>
      </c>
      <c r="J14" s="45">
        <v>50.2</v>
      </c>
      <c r="K14" s="45">
        <v>50.2</v>
      </c>
      <c r="L14" s="45">
        <v>50.2</v>
      </c>
      <c r="M14" s="45">
        <v>50.2</v>
      </c>
      <c r="N14" s="45">
        <v>50.2</v>
      </c>
      <c r="O14" s="45">
        <v>50.2</v>
      </c>
      <c r="P14" s="45">
        <v>50.2</v>
      </c>
      <c r="Q14" s="45">
        <v>50.2</v>
      </c>
      <c r="R14" s="45">
        <v>50.2</v>
      </c>
      <c r="S14" s="45">
        <v>50.2</v>
      </c>
      <c r="T14" s="45">
        <v>50.2</v>
      </c>
      <c r="U14" s="45">
        <v>50.2</v>
      </c>
      <c r="V14" s="45">
        <v>50.2</v>
      </c>
      <c r="W14" s="45">
        <v>50.2</v>
      </c>
      <c r="X14" s="45">
        <v>50.2</v>
      </c>
      <c r="Y14" s="45">
        <v>50.2</v>
      </c>
      <c r="Z14" s="45">
        <v>50.2</v>
      </c>
      <c r="AA14" s="45">
        <v>50.2</v>
      </c>
      <c r="AB14" s="45">
        <v>50.4</v>
      </c>
      <c r="AC14" s="45">
        <v>50.4</v>
      </c>
      <c r="AD14" s="45">
        <v>50.4</v>
      </c>
      <c r="AE14" s="45">
        <v>50.4</v>
      </c>
      <c r="AF14" s="45">
        <v>50.4</v>
      </c>
      <c r="AG14" s="49">
        <v>50</v>
      </c>
      <c r="AH14" s="47">
        <f t="shared" si="2"/>
        <v>50.5</v>
      </c>
      <c r="AI14" s="48">
        <f t="shared" si="3"/>
        <v>50.2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>
        <v>46.1</v>
      </c>
      <c r="C15" s="45">
        <v>46</v>
      </c>
      <c r="D15" s="45">
        <v>46</v>
      </c>
      <c r="E15" s="45">
        <v>46</v>
      </c>
      <c r="F15" s="45">
        <v>46</v>
      </c>
      <c r="G15" s="45">
        <v>46</v>
      </c>
      <c r="H15" s="45">
        <v>46</v>
      </c>
      <c r="I15" s="45">
        <v>46</v>
      </c>
      <c r="J15" s="45">
        <v>46</v>
      </c>
      <c r="K15" s="45">
        <v>46</v>
      </c>
      <c r="L15" s="45">
        <v>46</v>
      </c>
      <c r="M15" s="45">
        <v>46</v>
      </c>
      <c r="N15" s="45">
        <v>46</v>
      </c>
      <c r="O15" s="45">
        <v>46</v>
      </c>
      <c r="P15" s="45">
        <v>46</v>
      </c>
      <c r="Q15" s="45">
        <v>46</v>
      </c>
      <c r="R15" s="45">
        <v>46</v>
      </c>
      <c r="S15" s="45">
        <v>46</v>
      </c>
      <c r="T15" s="45">
        <v>46</v>
      </c>
      <c r="U15" s="45">
        <v>46</v>
      </c>
      <c r="V15" s="45">
        <v>46</v>
      </c>
      <c r="W15" s="45">
        <v>46</v>
      </c>
      <c r="X15" s="45">
        <v>46</v>
      </c>
      <c r="Y15" s="45">
        <v>46</v>
      </c>
      <c r="Z15" s="45">
        <v>46</v>
      </c>
      <c r="AA15" s="45">
        <v>46.1</v>
      </c>
      <c r="AB15" s="45">
        <v>46</v>
      </c>
      <c r="AC15" s="45">
        <v>46</v>
      </c>
      <c r="AD15" s="45">
        <v>46</v>
      </c>
      <c r="AE15" s="45">
        <v>46</v>
      </c>
      <c r="AF15" s="45">
        <v>46</v>
      </c>
      <c r="AG15" s="49">
        <v>45</v>
      </c>
      <c r="AH15" s="47">
        <f t="shared" si="2"/>
        <v>46.1</v>
      </c>
      <c r="AI15" s="48">
        <f t="shared" si="3"/>
        <v>46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>
        <v>44</v>
      </c>
      <c r="C16" s="45">
        <v>44</v>
      </c>
      <c r="D16" s="45">
        <v>44</v>
      </c>
      <c r="E16" s="45">
        <v>44</v>
      </c>
      <c r="F16" s="45">
        <v>44</v>
      </c>
      <c r="G16" s="45">
        <v>44</v>
      </c>
      <c r="H16" s="45">
        <v>44</v>
      </c>
      <c r="I16" s="45">
        <v>44</v>
      </c>
      <c r="J16" s="45">
        <v>44</v>
      </c>
      <c r="K16" s="45">
        <v>44</v>
      </c>
      <c r="L16" s="45">
        <v>44</v>
      </c>
      <c r="M16" s="45">
        <v>44</v>
      </c>
      <c r="N16" s="45">
        <v>44</v>
      </c>
      <c r="O16" s="45">
        <v>44</v>
      </c>
      <c r="P16" s="45">
        <v>44</v>
      </c>
      <c r="Q16" s="45">
        <v>44</v>
      </c>
      <c r="R16" s="45">
        <v>44</v>
      </c>
      <c r="S16" s="45">
        <v>44</v>
      </c>
      <c r="T16" s="45">
        <v>44</v>
      </c>
      <c r="U16" s="45">
        <v>44</v>
      </c>
      <c r="V16" s="45">
        <v>44</v>
      </c>
      <c r="W16" s="45">
        <v>44</v>
      </c>
      <c r="X16" s="45">
        <v>44</v>
      </c>
      <c r="Y16" s="45">
        <v>44</v>
      </c>
      <c r="Z16" s="45">
        <v>44</v>
      </c>
      <c r="AA16" s="45">
        <v>44</v>
      </c>
      <c r="AB16" s="45">
        <v>44</v>
      </c>
      <c r="AC16" s="45">
        <v>44</v>
      </c>
      <c r="AD16" s="45">
        <v>44</v>
      </c>
      <c r="AE16" s="45">
        <v>44</v>
      </c>
      <c r="AF16" s="45">
        <v>44</v>
      </c>
      <c r="AG16" s="49">
        <v>44</v>
      </c>
      <c r="AH16" s="47">
        <f>MAX(B16:AG16)</f>
        <v>44</v>
      </c>
      <c r="AI16" s="48">
        <f>MIN(B16:AG16)</f>
        <v>44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>
        <v>28</v>
      </c>
      <c r="C17" s="45">
        <v>28</v>
      </c>
      <c r="D17" s="45">
        <v>28</v>
      </c>
      <c r="E17" s="45">
        <v>28</v>
      </c>
      <c r="F17" s="45">
        <v>28</v>
      </c>
      <c r="G17" s="45">
        <v>28</v>
      </c>
      <c r="H17" s="45">
        <v>28</v>
      </c>
      <c r="I17" s="45">
        <v>28</v>
      </c>
      <c r="J17" s="45">
        <v>28</v>
      </c>
      <c r="K17" s="45">
        <v>28</v>
      </c>
      <c r="L17" s="45">
        <v>36</v>
      </c>
      <c r="M17" s="45">
        <v>33</v>
      </c>
      <c r="N17" s="45">
        <v>33</v>
      </c>
      <c r="O17" s="45">
        <v>29</v>
      </c>
      <c r="P17" s="45">
        <v>29</v>
      </c>
      <c r="Q17" s="45">
        <v>29</v>
      </c>
      <c r="R17" s="45">
        <v>29</v>
      </c>
      <c r="S17" s="45">
        <v>29</v>
      </c>
      <c r="T17" s="45">
        <v>29</v>
      </c>
      <c r="U17" s="45">
        <v>29</v>
      </c>
      <c r="V17" s="45">
        <v>29</v>
      </c>
      <c r="W17" s="45">
        <v>29</v>
      </c>
      <c r="X17" s="45">
        <v>29</v>
      </c>
      <c r="Y17" s="45">
        <v>29</v>
      </c>
      <c r="Z17" s="45">
        <v>40</v>
      </c>
      <c r="AA17" s="45">
        <v>36</v>
      </c>
      <c r="AB17" s="45">
        <v>36</v>
      </c>
      <c r="AC17" s="45">
        <v>36</v>
      </c>
      <c r="AD17" s="45">
        <v>36</v>
      </c>
      <c r="AE17" s="45">
        <v>36</v>
      </c>
      <c r="AF17" s="45">
        <v>36</v>
      </c>
      <c r="AG17" s="49">
        <v>42</v>
      </c>
      <c r="AH17" s="47">
        <f t="shared" si="2"/>
        <v>40</v>
      </c>
      <c r="AI17" s="48">
        <f t="shared" si="3"/>
        <v>28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>
        <v>38</v>
      </c>
      <c r="C18" s="45">
        <v>38</v>
      </c>
      <c r="D18" s="45">
        <v>38</v>
      </c>
      <c r="E18" s="45">
        <v>38</v>
      </c>
      <c r="F18" s="45">
        <v>38</v>
      </c>
      <c r="G18" s="45">
        <v>38</v>
      </c>
      <c r="H18" s="45">
        <v>38</v>
      </c>
      <c r="I18" s="45">
        <v>38</v>
      </c>
      <c r="J18" s="45">
        <v>38</v>
      </c>
      <c r="K18" s="45">
        <v>38</v>
      </c>
      <c r="L18" s="45">
        <v>38</v>
      </c>
      <c r="M18" s="45">
        <v>38</v>
      </c>
      <c r="N18" s="45">
        <v>38</v>
      </c>
      <c r="O18" s="45">
        <v>38</v>
      </c>
      <c r="P18" s="45">
        <v>38</v>
      </c>
      <c r="Q18" s="45">
        <v>38</v>
      </c>
      <c r="R18" s="45">
        <v>38</v>
      </c>
      <c r="S18" s="45">
        <v>38</v>
      </c>
      <c r="T18" s="45">
        <v>38</v>
      </c>
      <c r="U18" s="45">
        <v>38</v>
      </c>
      <c r="V18" s="45">
        <v>38</v>
      </c>
      <c r="W18" s="45">
        <v>38</v>
      </c>
      <c r="X18" s="45">
        <v>38</v>
      </c>
      <c r="Y18" s="45">
        <v>38</v>
      </c>
      <c r="Z18" s="45">
        <v>38</v>
      </c>
      <c r="AA18" s="45">
        <v>38</v>
      </c>
      <c r="AB18" s="45">
        <v>38</v>
      </c>
      <c r="AC18" s="45">
        <v>38</v>
      </c>
      <c r="AD18" s="45">
        <v>38</v>
      </c>
      <c r="AE18" s="45">
        <v>38</v>
      </c>
      <c r="AF18" s="45">
        <v>38</v>
      </c>
      <c r="AG18" s="49">
        <v>38.46</v>
      </c>
      <c r="AH18" s="47">
        <f t="shared" si="2"/>
        <v>38</v>
      </c>
      <c r="AI18" s="48">
        <f t="shared" si="3"/>
        <v>38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>
        <v>36</v>
      </c>
      <c r="C19" s="45">
        <v>36</v>
      </c>
      <c r="D19" s="45">
        <v>0</v>
      </c>
      <c r="E19" s="45">
        <v>5</v>
      </c>
      <c r="F19" s="45">
        <v>36</v>
      </c>
      <c r="G19" s="45">
        <v>36</v>
      </c>
      <c r="H19" s="45">
        <v>36</v>
      </c>
      <c r="I19" s="45">
        <v>36</v>
      </c>
      <c r="J19" s="45">
        <v>36</v>
      </c>
      <c r="K19" s="45">
        <v>36</v>
      </c>
      <c r="L19" s="45">
        <v>36</v>
      </c>
      <c r="M19" s="45">
        <v>36</v>
      </c>
      <c r="N19" s="45">
        <v>36</v>
      </c>
      <c r="O19" s="45">
        <v>36</v>
      </c>
      <c r="P19" s="45">
        <v>36</v>
      </c>
      <c r="Q19" s="45">
        <v>36</v>
      </c>
      <c r="R19" s="45">
        <v>36</v>
      </c>
      <c r="S19" s="45">
        <v>36</v>
      </c>
      <c r="T19" s="45">
        <v>36</v>
      </c>
      <c r="U19" s="45">
        <v>36</v>
      </c>
      <c r="V19" s="45">
        <v>36</v>
      </c>
      <c r="W19" s="45">
        <v>36</v>
      </c>
      <c r="X19" s="45">
        <v>36</v>
      </c>
      <c r="Y19" s="45">
        <v>36</v>
      </c>
      <c r="Z19" s="45">
        <v>36</v>
      </c>
      <c r="AA19" s="45">
        <v>36</v>
      </c>
      <c r="AB19" s="45">
        <v>36</v>
      </c>
      <c r="AC19" s="45">
        <v>36</v>
      </c>
      <c r="AD19" s="45">
        <v>36</v>
      </c>
      <c r="AE19" s="45">
        <v>36</v>
      </c>
      <c r="AF19" s="45">
        <v>36</v>
      </c>
      <c r="AG19" s="49">
        <v>36</v>
      </c>
      <c r="AH19" s="47">
        <f t="shared" si="2"/>
        <v>36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>
        <v>6</v>
      </c>
      <c r="C20" s="45">
        <v>6</v>
      </c>
      <c r="D20" s="45">
        <v>12</v>
      </c>
      <c r="E20" s="45">
        <v>21.1</v>
      </c>
      <c r="F20" s="45">
        <v>5.5</v>
      </c>
      <c r="G20" s="45">
        <v>5.5</v>
      </c>
      <c r="H20" s="45">
        <v>5.5</v>
      </c>
      <c r="I20" s="45">
        <v>5.5</v>
      </c>
      <c r="J20" s="45">
        <v>11</v>
      </c>
      <c r="K20" s="45">
        <v>11</v>
      </c>
      <c r="L20" s="45">
        <v>30</v>
      </c>
      <c r="M20" s="45">
        <v>30</v>
      </c>
      <c r="N20" s="45">
        <v>25</v>
      </c>
      <c r="O20" s="45">
        <v>30</v>
      </c>
      <c r="P20" s="45">
        <v>20.399999999999999</v>
      </c>
      <c r="Q20" s="45">
        <v>20.399999999999999</v>
      </c>
      <c r="R20" s="45">
        <v>15</v>
      </c>
      <c r="S20" s="45">
        <v>15</v>
      </c>
      <c r="T20" s="45">
        <v>15</v>
      </c>
      <c r="U20" s="45">
        <v>15</v>
      </c>
      <c r="V20" s="45">
        <v>10.9</v>
      </c>
      <c r="W20" s="45">
        <v>10.9</v>
      </c>
      <c r="X20" s="45">
        <v>10.9</v>
      </c>
      <c r="Y20" s="45">
        <v>10.9</v>
      </c>
      <c r="Z20" s="45">
        <v>25</v>
      </c>
      <c r="AA20" s="45">
        <v>30</v>
      </c>
      <c r="AB20" s="45">
        <v>30.1</v>
      </c>
      <c r="AC20" s="45">
        <v>30.1</v>
      </c>
      <c r="AD20" s="45">
        <v>30.1</v>
      </c>
      <c r="AE20" s="45">
        <v>15</v>
      </c>
      <c r="AF20" s="45">
        <v>15</v>
      </c>
      <c r="AG20" s="51">
        <v>30</v>
      </c>
      <c r="AH20" s="47">
        <f t="shared" si="2"/>
        <v>30.1</v>
      </c>
      <c r="AI20" s="48">
        <f t="shared" si="3"/>
        <v>5.5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>
        <v>24.8</v>
      </c>
      <c r="C21" s="45">
        <v>24.8</v>
      </c>
      <c r="D21" s="45">
        <v>24.8</v>
      </c>
      <c r="E21" s="45">
        <v>24.8</v>
      </c>
      <c r="F21" s="45">
        <v>24.8</v>
      </c>
      <c r="G21" s="45">
        <v>24.8</v>
      </c>
      <c r="H21" s="45">
        <v>24.8</v>
      </c>
      <c r="I21" s="45">
        <v>24.8</v>
      </c>
      <c r="J21" s="45">
        <v>24.8</v>
      </c>
      <c r="K21" s="45">
        <v>24.8</v>
      </c>
      <c r="L21" s="45">
        <v>24.8</v>
      </c>
      <c r="M21" s="45">
        <v>24.8</v>
      </c>
      <c r="N21" s="45">
        <v>24.8</v>
      </c>
      <c r="O21" s="45">
        <v>24.8</v>
      </c>
      <c r="P21" s="45">
        <v>24.8</v>
      </c>
      <c r="Q21" s="45">
        <v>24.8</v>
      </c>
      <c r="R21" s="45">
        <v>24.8</v>
      </c>
      <c r="S21" s="45">
        <v>24.8</v>
      </c>
      <c r="T21" s="45">
        <v>24.8</v>
      </c>
      <c r="U21" s="45">
        <v>20.7</v>
      </c>
      <c r="V21" s="45">
        <v>20.7</v>
      </c>
      <c r="W21" s="45">
        <v>20.7</v>
      </c>
      <c r="X21" s="45">
        <v>20.7</v>
      </c>
      <c r="Y21" s="45">
        <v>20.7</v>
      </c>
      <c r="Z21" s="45">
        <v>20.7</v>
      </c>
      <c r="AA21" s="45">
        <v>33</v>
      </c>
      <c r="AB21" s="45">
        <v>29</v>
      </c>
      <c r="AC21" s="45">
        <v>29</v>
      </c>
      <c r="AD21" s="45">
        <v>29</v>
      </c>
      <c r="AE21" s="45">
        <v>29</v>
      </c>
      <c r="AF21" s="45">
        <v>29</v>
      </c>
      <c r="AG21" s="49">
        <v>24.2</v>
      </c>
      <c r="AH21" s="47">
        <f t="shared" si="2"/>
        <v>33</v>
      </c>
      <c r="AI21" s="48">
        <f t="shared" si="3"/>
        <v>20.7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>
        <v>15.3</v>
      </c>
      <c r="C22" s="45">
        <v>15.3</v>
      </c>
      <c r="D22" s="45">
        <v>15.4</v>
      </c>
      <c r="E22" s="45">
        <v>15.4</v>
      </c>
      <c r="F22" s="45">
        <v>15.4</v>
      </c>
      <c r="G22" s="45">
        <v>15.4</v>
      </c>
      <c r="H22" s="45">
        <v>15.4</v>
      </c>
      <c r="I22" s="45">
        <v>15.4</v>
      </c>
      <c r="J22" s="45">
        <v>15.4</v>
      </c>
      <c r="K22" s="45">
        <v>15.4</v>
      </c>
      <c r="L22" s="45">
        <v>15.4</v>
      </c>
      <c r="M22" s="45">
        <v>15.4</v>
      </c>
      <c r="N22" s="45">
        <v>15.4</v>
      </c>
      <c r="O22" s="45">
        <v>15.4</v>
      </c>
      <c r="P22" s="45">
        <v>15.4</v>
      </c>
      <c r="Q22" s="45">
        <v>15.4</v>
      </c>
      <c r="R22" s="45">
        <v>15.4</v>
      </c>
      <c r="S22" s="45">
        <v>15.4</v>
      </c>
      <c r="T22" s="45">
        <v>15.4</v>
      </c>
      <c r="U22" s="45">
        <v>15.4</v>
      </c>
      <c r="V22" s="45">
        <v>15.4</v>
      </c>
      <c r="W22" s="45">
        <v>15.4</v>
      </c>
      <c r="X22" s="45">
        <v>15.4</v>
      </c>
      <c r="Y22" s="45">
        <v>15.4</v>
      </c>
      <c r="Z22" s="45">
        <v>15.4</v>
      </c>
      <c r="AA22" s="45">
        <v>15.2</v>
      </c>
      <c r="AB22" s="45">
        <v>14.5</v>
      </c>
      <c r="AC22" s="45">
        <v>14.5</v>
      </c>
      <c r="AD22" s="45">
        <v>14.5</v>
      </c>
      <c r="AE22" s="45">
        <v>14.5</v>
      </c>
      <c r="AF22" s="45">
        <v>14.5</v>
      </c>
      <c r="AG22" s="49">
        <v>28</v>
      </c>
      <c r="AH22" s="47">
        <f t="shared" si="2"/>
        <v>15.4</v>
      </c>
      <c r="AI22" s="48">
        <f t="shared" si="3"/>
        <v>14.5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>
        <v>5</v>
      </c>
      <c r="C23" s="45">
        <v>5</v>
      </c>
      <c r="D23" s="45">
        <v>9</v>
      </c>
      <c r="E23" s="45">
        <v>9</v>
      </c>
      <c r="F23" s="45">
        <v>4</v>
      </c>
      <c r="G23" s="45">
        <v>4</v>
      </c>
      <c r="H23" s="45">
        <v>4</v>
      </c>
      <c r="I23" s="45">
        <v>4</v>
      </c>
      <c r="J23" s="45">
        <v>4</v>
      </c>
      <c r="K23" s="45">
        <v>4</v>
      </c>
      <c r="L23" s="45">
        <v>9</v>
      </c>
      <c r="M23" s="45">
        <v>9</v>
      </c>
      <c r="N23" s="45">
        <v>9</v>
      </c>
      <c r="O23" s="45">
        <v>9</v>
      </c>
      <c r="P23" s="45">
        <v>9</v>
      </c>
      <c r="Q23" s="45">
        <v>9</v>
      </c>
      <c r="R23" s="45">
        <v>9</v>
      </c>
      <c r="S23" s="45">
        <v>9</v>
      </c>
      <c r="T23" s="45">
        <v>9</v>
      </c>
      <c r="U23" s="45">
        <v>9</v>
      </c>
      <c r="V23" s="45">
        <v>9</v>
      </c>
      <c r="W23" s="45">
        <v>9</v>
      </c>
      <c r="X23" s="45">
        <v>9</v>
      </c>
      <c r="Y23" s="45">
        <v>9</v>
      </c>
      <c r="Z23" s="45">
        <v>9</v>
      </c>
      <c r="AA23" s="45">
        <v>9</v>
      </c>
      <c r="AB23" s="45">
        <v>9</v>
      </c>
      <c r="AC23" s="45">
        <v>9</v>
      </c>
      <c r="AD23" s="45">
        <v>9</v>
      </c>
      <c r="AE23" s="45">
        <v>9</v>
      </c>
      <c r="AF23" s="45">
        <v>9</v>
      </c>
      <c r="AG23" s="51">
        <v>30</v>
      </c>
      <c r="AH23" s="47">
        <f t="shared" si="2"/>
        <v>9</v>
      </c>
      <c r="AI23" s="48">
        <f t="shared" si="3"/>
        <v>4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>
        <v>26.1</v>
      </c>
      <c r="C24" s="45">
        <v>26.1</v>
      </c>
      <c r="D24" s="45">
        <v>26.1</v>
      </c>
      <c r="E24" s="45">
        <v>26.1</v>
      </c>
      <c r="F24" s="45">
        <v>26.1</v>
      </c>
      <c r="G24" s="45">
        <v>26.1</v>
      </c>
      <c r="H24" s="45">
        <v>26.1</v>
      </c>
      <c r="I24" s="45">
        <v>26.1</v>
      </c>
      <c r="J24" s="45">
        <v>26.1</v>
      </c>
      <c r="K24" s="45">
        <v>26.1</v>
      </c>
      <c r="L24" s="45">
        <v>26.1</v>
      </c>
      <c r="M24" s="45">
        <v>26.1</v>
      </c>
      <c r="N24" s="45">
        <v>26.1</v>
      </c>
      <c r="O24" s="45">
        <v>26.1</v>
      </c>
      <c r="P24" s="45">
        <v>24.6</v>
      </c>
      <c r="Q24" s="45">
        <v>24.6</v>
      </c>
      <c r="R24" s="45">
        <v>24.6</v>
      </c>
      <c r="S24" s="45">
        <v>24.6</v>
      </c>
      <c r="T24" s="45">
        <v>24.6</v>
      </c>
      <c r="U24" s="45">
        <v>26.2</v>
      </c>
      <c r="V24" s="45">
        <v>26.2</v>
      </c>
      <c r="W24" s="45">
        <v>26.2</v>
      </c>
      <c r="X24" s="45">
        <v>26.2</v>
      </c>
      <c r="Y24" s="45">
        <v>26.2</v>
      </c>
      <c r="Z24" s="45">
        <v>26.2</v>
      </c>
      <c r="AA24" s="45">
        <v>25.9</v>
      </c>
      <c r="AB24" s="45">
        <v>24.5</v>
      </c>
      <c r="AC24" s="45">
        <v>24.5</v>
      </c>
      <c r="AD24" s="45">
        <v>24.5</v>
      </c>
      <c r="AE24" s="45">
        <v>24.5</v>
      </c>
      <c r="AF24" s="45">
        <v>24.5</v>
      </c>
      <c r="AG24" s="49">
        <v>25</v>
      </c>
      <c r="AH24" s="47">
        <f t="shared" si="2"/>
        <v>26.2</v>
      </c>
      <c r="AI24" s="48">
        <f t="shared" si="3"/>
        <v>24.5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>
        <v>25</v>
      </c>
      <c r="C26" s="45">
        <v>25</v>
      </c>
      <c r="D26" s="45">
        <v>25</v>
      </c>
      <c r="E26" s="45">
        <v>25</v>
      </c>
      <c r="F26" s="45">
        <v>25</v>
      </c>
      <c r="G26" s="45">
        <v>25</v>
      </c>
      <c r="H26" s="45">
        <v>25</v>
      </c>
      <c r="I26" s="45">
        <v>25</v>
      </c>
      <c r="J26" s="45">
        <v>25</v>
      </c>
      <c r="K26" s="45">
        <v>25</v>
      </c>
      <c r="L26" s="45">
        <v>25</v>
      </c>
      <c r="M26" s="45">
        <v>25</v>
      </c>
      <c r="N26" s="45">
        <v>25</v>
      </c>
      <c r="O26" s="45">
        <v>25</v>
      </c>
      <c r="P26" s="45">
        <v>25</v>
      </c>
      <c r="Q26" s="45">
        <v>25</v>
      </c>
      <c r="R26" s="45">
        <v>25</v>
      </c>
      <c r="S26" s="45">
        <v>25</v>
      </c>
      <c r="T26" s="45">
        <v>25</v>
      </c>
      <c r="U26" s="45">
        <v>25</v>
      </c>
      <c r="V26" s="45">
        <v>25</v>
      </c>
      <c r="W26" s="45">
        <v>25</v>
      </c>
      <c r="X26" s="45">
        <v>25</v>
      </c>
      <c r="Y26" s="45">
        <v>25</v>
      </c>
      <c r="Z26" s="45">
        <v>25</v>
      </c>
      <c r="AA26" s="45">
        <v>25</v>
      </c>
      <c r="AB26" s="45">
        <v>25</v>
      </c>
      <c r="AC26" s="45">
        <v>25</v>
      </c>
      <c r="AD26" s="45">
        <v>25</v>
      </c>
      <c r="AE26" s="45">
        <v>25</v>
      </c>
      <c r="AF26" s="45">
        <v>25</v>
      </c>
      <c r="AG26" s="49">
        <v>25</v>
      </c>
      <c r="AH26" s="47">
        <f t="shared" si="2"/>
        <v>25</v>
      </c>
      <c r="AI26" s="48">
        <f t="shared" si="3"/>
        <v>25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>
        <v>5</v>
      </c>
      <c r="C27" s="45">
        <v>5</v>
      </c>
      <c r="D27" s="45">
        <v>10</v>
      </c>
      <c r="E27" s="45">
        <v>16</v>
      </c>
      <c r="F27" s="45">
        <v>4</v>
      </c>
      <c r="G27" s="45">
        <v>4</v>
      </c>
      <c r="H27" s="45">
        <v>4</v>
      </c>
      <c r="I27" s="45">
        <v>4</v>
      </c>
      <c r="J27" s="45">
        <v>9</v>
      </c>
      <c r="K27" s="45">
        <v>9</v>
      </c>
      <c r="L27" s="45">
        <v>9</v>
      </c>
      <c r="M27" s="45">
        <v>9</v>
      </c>
      <c r="N27" s="45">
        <v>9</v>
      </c>
      <c r="O27" s="45">
        <v>25</v>
      </c>
      <c r="P27" s="45">
        <v>25</v>
      </c>
      <c r="Q27" s="45">
        <v>25</v>
      </c>
      <c r="R27" s="45">
        <v>25</v>
      </c>
      <c r="S27" s="45">
        <v>25</v>
      </c>
      <c r="T27" s="45">
        <v>25</v>
      </c>
      <c r="U27" s="45">
        <v>25</v>
      </c>
      <c r="V27" s="45">
        <v>20</v>
      </c>
      <c r="W27" s="45">
        <v>15</v>
      </c>
      <c r="X27" s="45">
        <v>15</v>
      </c>
      <c r="Y27" s="45">
        <v>15</v>
      </c>
      <c r="Z27" s="45">
        <v>25</v>
      </c>
      <c r="AA27" s="45">
        <v>15</v>
      </c>
      <c r="AB27" s="45">
        <v>25</v>
      </c>
      <c r="AC27" s="45">
        <v>25</v>
      </c>
      <c r="AD27" s="45">
        <v>25</v>
      </c>
      <c r="AE27" s="45">
        <v>12.5</v>
      </c>
      <c r="AF27" s="45">
        <v>12.5</v>
      </c>
      <c r="AG27" s="49">
        <v>25</v>
      </c>
      <c r="AH27" s="47">
        <f t="shared" si="2"/>
        <v>25</v>
      </c>
      <c r="AI27" s="48">
        <f t="shared" si="3"/>
        <v>4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>
        <v>24.8</v>
      </c>
      <c r="C28" s="45">
        <v>24.8</v>
      </c>
      <c r="D28" s="45">
        <v>24.8</v>
      </c>
      <c r="E28" s="45">
        <v>24.8</v>
      </c>
      <c r="F28" s="45">
        <v>24.8</v>
      </c>
      <c r="G28" s="45">
        <v>24.8</v>
      </c>
      <c r="H28" s="45">
        <v>24.8</v>
      </c>
      <c r="I28" s="45">
        <v>24.8</v>
      </c>
      <c r="J28" s="45">
        <v>24.8</v>
      </c>
      <c r="K28" s="45">
        <v>24.8</v>
      </c>
      <c r="L28" s="45">
        <v>24.8</v>
      </c>
      <c r="M28" s="45">
        <v>24.8</v>
      </c>
      <c r="N28" s="45">
        <v>24.8</v>
      </c>
      <c r="O28" s="45">
        <v>24.8</v>
      </c>
      <c r="P28" s="45">
        <v>24.8</v>
      </c>
      <c r="Q28" s="45">
        <v>24.8</v>
      </c>
      <c r="R28" s="45">
        <v>24.8</v>
      </c>
      <c r="S28" s="45">
        <v>24.8</v>
      </c>
      <c r="T28" s="45">
        <v>24.8</v>
      </c>
      <c r="U28" s="45">
        <v>24.8</v>
      </c>
      <c r="V28" s="45">
        <v>24.8</v>
      </c>
      <c r="W28" s="45">
        <v>24.8</v>
      </c>
      <c r="X28" s="45">
        <v>24.8</v>
      </c>
      <c r="Y28" s="45">
        <v>24.8</v>
      </c>
      <c r="Z28" s="45">
        <v>24.8</v>
      </c>
      <c r="AA28" s="45">
        <v>24.8</v>
      </c>
      <c r="AB28" s="45">
        <v>24.8</v>
      </c>
      <c r="AC28" s="45">
        <v>24.8</v>
      </c>
      <c r="AD28" s="45">
        <v>24.8</v>
      </c>
      <c r="AE28" s="45">
        <v>24.8</v>
      </c>
      <c r="AF28" s="45">
        <v>24.8</v>
      </c>
      <c r="AG28" s="49">
        <v>23.5</v>
      </c>
      <c r="AH28" s="47">
        <f t="shared" si="2"/>
        <v>24.8</v>
      </c>
      <c r="AI28" s="48">
        <f t="shared" si="3"/>
        <v>24.8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>
        <v>22</v>
      </c>
      <c r="C29" s="45">
        <v>22</v>
      </c>
      <c r="D29" s="45">
        <v>22</v>
      </c>
      <c r="E29" s="45">
        <v>22</v>
      </c>
      <c r="F29" s="45">
        <v>22</v>
      </c>
      <c r="G29" s="45">
        <v>22</v>
      </c>
      <c r="H29" s="45">
        <v>22</v>
      </c>
      <c r="I29" s="45">
        <v>22</v>
      </c>
      <c r="J29" s="45">
        <v>22</v>
      </c>
      <c r="K29" s="45">
        <v>22</v>
      </c>
      <c r="L29" s="45">
        <v>22</v>
      </c>
      <c r="M29" s="45">
        <v>22</v>
      </c>
      <c r="N29" s="45">
        <v>22</v>
      </c>
      <c r="O29" s="45">
        <v>22</v>
      </c>
      <c r="P29" s="45">
        <v>22</v>
      </c>
      <c r="Q29" s="45">
        <v>22</v>
      </c>
      <c r="R29" s="45">
        <v>22</v>
      </c>
      <c r="S29" s="45">
        <v>22</v>
      </c>
      <c r="T29" s="45">
        <v>22</v>
      </c>
      <c r="U29" s="45">
        <v>22</v>
      </c>
      <c r="V29" s="45">
        <v>22</v>
      </c>
      <c r="W29" s="45">
        <v>22</v>
      </c>
      <c r="X29" s="45">
        <v>22</v>
      </c>
      <c r="Y29" s="45">
        <v>22</v>
      </c>
      <c r="Z29" s="45">
        <v>22</v>
      </c>
      <c r="AA29" s="45">
        <v>22</v>
      </c>
      <c r="AB29" s="45">
        <v>22</v>
      </c>
      <c r="AC29" s="45">
        <v>22</v>
      </c>
      <c r="AD29" s="45">
        <v>22</v>
      </c>
      <c r="AE29" s="45">
        <v>22</v>
      </c>
      <c r="AF29" s="45">
        <v>22</v>
      </c>
      <c r="AG29" s="49">
        <v>22.2</v>
      </c>
      <c r="AH29" s="47">
        <f t="shared" si="2"/>
        <v>22</v>
      </c>
      <c r="AI29" s="48">
        <f t="shared" si="3"/>
        <v>22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>
        <v>22</v>
      </c>
      <c r="C31" s="45">
        <v>22</v>
      </c>
      <c r="D31" s="45">
        <v>22</v>
      </c>
      <c r="E31" s="45">
        <v>22</v>
      </c>
      <c r="F31" s="45">
        <v>22</v>
      </c>
      <c r="G31" s="45">
        <v>22</v>
      </c>
      <c r="H31" s="45">
        <v>22</v>
      </c>
      <c r="I31" s="45">
        <v>22</v>
      </c>
      <c r="J31" s="45">
        <v>22</v>
      </c>
      <c r="K31" s="45">
        <v>22</v>
      </c>
      <c r="L31" s="45">
        <v>22</v>
      </c>
      <c r="M31" s="45">
        <v>22</v>
      </c>
      <c r="N31" s="45">
        <v>22</v>
      </c>
      <c r="O31" s="45">
        <v>22</v>
      </c>
      <c r="P31" s="45">
        <v>22</v>
      </c>
      <c r="Q31" s="45">
        <v>22</v>
      </c>
      <c r="R31" s="45">
        <v>22</v>
      </c>
      <c r="S31" s="45">
        <v>22</v>
      </c>
      <c r="T31" s="45">
        <v>22</v>
      </c>
      <c r="U31" s="45">
        <v>22</v>
      </c>
      <c r="V31" s="45">
        <v>22</v>
      </c>
      <c r="W31" s="45">
        <v>22</v>
      </c>
      <c r="X31" s="45">
        <v>22</v>
      </c>
      <c r="Y31" s="45">
        <v>22</v>
      </c>
      <c r="Z31" s="45">
        <v>22</v>
      </c>
      <c r="AA31" s="45">
        <v>22</v>
      </c>
      <c r="AB31" s="45">
        <v>22</v>
      </c>
      <c r="AC31" s="45">
        <v>22</v>
      </c>
      <c r="AD31" s="45">
        <v>22</v>
      </c>
      <c r="AE31" s="45">
        <v>22</v>
      </c>
      <c r="AF31" s="45">
        <v>22</v>
      </c>
      <c r="AG31" s="49">
        <v>22</v>
      </c>
      <c r="AH31" s="47">
        <f t="shared" si="2"/>
        <v>22</v>
      </c>
      <c r="AI31" s="48">
        <f t="shared" si="3"/>
        <v>22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>
        <v>26</v>
      </c>
      <c r="C32" s="45">
        <v>26</v>
      </c>
      <c r="D32" s="45">
        <v>26</v>
      </c>
      <c r="E32" s="45">
        <v>26</v>
      </c>
      <c r="F32" s="45">
        <v>26</v>
      </c>
      <c r="G32" s="45">
        <v>26</v>
      </c>
      <c r="H32" s="45">
        <v>26</v>
      </c>
      <c r="I32" s="45">
        <v>26</v>
      </c>
      <c r="J32" s="45">
        <v>26</v>
      </c>
      <c r="K32" s="45">
        <v>26</v>
      </c>
      <c r="L32" s="45">
        <v>26</v>
      </c>
      <c r="M32" s="45">
        <v>26</v>
      </c>
      <c r="N32" s="45">
        <v>26</v>
      </c>
      <c r="O32" s="45">
        <v>26</v>
      </c>
      <c r="P32" s="45">
        <v>26</v>
      </c>
      <c r="Q32" s="45">
        <v>26</v>
      </c>
      <c r="R32" s="45">
        <v>26</v>
      </c>
      <c r="S32" s="45">
        <v>26</v>
      </c>
      <c r="T32" s="45">
        <v>26</v>
      </c>
      <c r="U32" s="45">
        <v>26</v>
      </c>
      <c r="V32" s="45">
        <v>26</v>
      </c>
      <c r="W32" s="45">
        <v>26</v>
      </c>
      <c r="X32" s="45">
        <v>26</v>
      </c>
      <c r="Y32" s="45">
        <v>26</v>
      </c>
      <c r="Z32" s="45">
        <v>26</v>
      </c>
      <c r="AA32" s="45">
        <v>24.1</v>
      </c>
      <c r="AB32" s="45">
        <v>26.5</v>
      </c>
      <c r="AC32" s="45">
        <v>26.5</v>
      </c>
      <c r="AD32" s="45">
        <v>26.5</v>
      </c>
      <c r="AE32" s="45">
        <v>26.5</v>
      </c>
      <c r="AF32" s="45">
        <v>26.5</v>
      </c>
      <c r="AG32" s="49">
        <v>22</v>
      </c>
      <c r="AH32" s="47">
        <f t="shared" si="2"/>
        <v>26.5</v>
      </c>
      <c r="AI32" s="48">
        <f t="shared" si="3"/>
        <v>24.1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10</v>
      </c>
      <c r="W33" s="45">
        <v>10</v>
      </c>
      <c r="X33" s="45">
        <v>10</v>
      </c>
      <c r="Y33" s="45">
        <v>10</v>
      </c>
      <c r="Z33" s="45">
        <v>15</v>
      </c>
      <c r="AA33" s="45">
        <v>10</v>
      </c>
      <c r="AB33" s="45">
        <v>10</v>
      </c>
      <c r="AC33" s="45">
        <v>5</v>
      </c>
      <c r="AD33" s="45">
        <v>5</v>
      </c>
      <c r="AE33" s="45">
        <v>5</v>
      </c>
      <c r="AF33" s="45">
        <v>5</v>
      </c>
      <c r="AG33" s="49">
        <v>20</v>
      </c>
      <c r="AH33" s="47">
        <f t="shared" si="2"/>
        <v>15</v>
      </c>
      <c r="AI33" s="48">
        <f t="shared" si="3"/>
        <v>5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8</v>
      </c>
      <c r="AB34" s="45">
        <v>8</v>
      </c>
      <c r="AC34" s="45">
        <v>5</v>
      </c>
      <c r="AD34" s="45">
        <v>5</v>
      </c>
      <c r="AE34" s="45">
        <v>5</v>
      </c>
      <c r="AF34" s="45">
        <v>5</v>
      </c>
      <c r="AG34" s="49">
        <v>18</v>
      </c>
      <c r="AH34" s="47">
        <f t="shared" si="2"/>
        <v>8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>
        <v>15.8</v>
      </c>
      <c r="C35" s="45">
        <v>15.8</v>
      </c>
      <c r="D35" s="45">
        <v>15.8</v>
      </c>
      <c r="E35" s="45">
        <v>15.8</v>
      </c>
      <c r="F35" s="45">
        <v>15.8</v>
      </c>
      <c r="G35" s="45">
        <v>15.8</v>
      </c>
      <c r="H35" s="45">
        <v>15.8</v>
      </c>
      <c r="I35" s="45">
        <v>15.8</v>
      </c>
      <c r="J35" s="45">
        <v>15.8</v>
      </c>
      <c r="K35" s="45">
        <v>15.8</v>
      </c>
      <c r="L35" s="45">
        <v>15.8</v>
      </c>
      <c r="M35" s="45">
        <v>15.8</v>
      </c>
      <c r="N35" s="45">
        <v>15.8</v>
      </c>
      <c r="O35" s="45">
        <v>15.8</v>
      </c>
      <c r="P35" s="45">
        <v>15.8</v>
      </c>
      <c r="Q35" s="45">
        <v>15.8</v>
      </c>
      <c r="R35" s="45">
        <v>15.8</v>
      </c>
      <c r="S35" s="45">
        <v>15.8</v>
      </c>
      <c r="T35" s="45">
        <v>15.8</v>
      </c>
      <c r="U35" s="45">
        <v>15.8</v>
      </c>
      <c r="V35" s="45">
        <v>15.8</v>
      </c>
      <c r="W35" s="45">
        <v>15.8</v>
      </c>
      <c r="X35" s="45">
        <v>15.8</v>
      </c>
      <c r="Y35" s="45">
        <v>15.8</v>
      </c>
      <c r="Z35" s="45">
        <v>15.8</v>
      </c>
      <c r="AA35" s="45">
        <v>15.8</v>
      </c>
      <c r="AB35" s="45">
        <v>15.8</v>
      </c>
      <c r="AC35" s="45">
        <v>15.8</v>
      </c>
      <c r="AD35" s="45">
        <v>15.8</v>
      </c>
      <c r="AE35" s="45">
        <v>15.8</v>
      </c>
      <c r="AF35" s="45">
        <v>15.8</v>
      </c>
      <c r="AG35" s="49">
        <v>14.9</v>
      </c>
      <c r="AH35" s="47">
        <f t="shared" si="2"/>
        <v>15.8</v>
      </c>
      <c r="AI35" s="48">
        <f t="shared" si="3"/>
        <v>15.8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>
        <v>5</v>
      </c>
      <c r="C37" s="45">
        <v>5</v>
      </c>
      <c r="D37" s="45">
        <v>5</v>
      </c>
      <c r="E37" s="45">
        <v>5</v>
      </c>
      <c r="F37" s="45">
        <v>5</v>
      </c>
      <c r="G37" s="45">
        <v>5</v>
      </c>
      <c r="H37" s="45">
        <v>5</v>
      </c>
      <c r="I37" s="45">
        <v>5</v>
      </c>
      <c r="J37" s="45">
        <v>5</v>
      </c>
      <c r="K37" s="45">
        <v>5</v>
      </c>
      <c r="L37" s="45">
        <v>5</v>
      </c>
      <c r="M37" s="45">
        <v>5</v>
      </c>
      <c r="N37" s="45">
        <v>5</v>
      </c>
      <c r="O37" s="45">
        <v>5</v>
      </c>
      <c r="P37" s="45">
        <v>5</v>
      </c>
      <c r="Q37" s="45">
        <v>5</v>
      </c>
      <c r="R37" s="45">
        <v>5</v>
      </c>
      <c r="S37" s="45">
        <v>5</v>
      </c>
      <c r="T37" s="45">
        <v>5</v>
      </c>
      <c r="U37" s="45">
        <v>5</v>
      </c>
      <c r="V37" s="45">
        <v>5</v>
      </c>
      <c r="W37" s="45">
        <v>5</v>
      </c>
      <c r="X37" s="45">
        <v>5</v>
      </c>
      <c r="Y37" s="45">
        <v>5</v>
      </c>
      <c r="Z37" s="45">
        <v>5</v>
      </c>
      <c r="AA37" s="45">
        <v>5</v>
      </c>
      <c r="AB37" s="45">
        <v>6.5</v>
      </c>
      <c r="AC37" s="45">
        <v>6.5</v>
      </c>
      <c r="AD37" s="45">
        <v>6.5</v>
      </c>
      <c r="AE37" s="45">
        <v>6.5</v>
      </c>
      <c r="AF37" s="45">
        <v>6.5</v>
      </c>
      <c r="AG37" s="49">
        <v>13.6</v>
      </c>
      <c r="AH37" s="47">
        <f t="shared" si="2"/>
        <v>6.5</v>
      </c>
      <c r="AI37" s="48">
        <f t="shared" si="3"/>
        <v>5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>
        <v>11</v>
      </c>
      <c r="C38" s="45">
        <v>11</v>
      </c>
      <c r="D38" s="45">
        <v>11</v>
      </c>
      <c r="E38" s="45">
        <v>11</v>
      </c>
      <c r="F38" s="45">
        <v>11</v>
      </c>
      <c r="G38" s="45">
        <v>11</v>
      </c>
      <c r="H38" s="45">
        <v>11</v>
      </c>
      <c r="I38" s="45">
        <v>11</v>
      </c>
      <c r="J38" s="45">
        <v>11</v>
      </c>
      <c r="K38" s="45">
        <v>11</v>
      </c>
      <c r="L38" s="45">
        <v>11</v>
      </c>
      <c r="M38" s="45">
        <v>11</v>
      </c>
      <c r="N38" s="45">
        <v>11</v>
      </c>
      <c r="O38" s="45">
        <v>11</v>
      </c>
      <c r="P38" s="45">
        <v>11</v>
      </c>
      <c r="Q38" s="45">
        <v>11</v>
      </c>
      <c r="R38" s="45">
        <v>11</v>
      </c>
      <c r="S38" s="45">
        <v>11</v>
      </c>
      <c r="T38" s="45">
        <v>11</v>
      </c>
      <c r="U38" s="45">
        <v>11</v>
      </c>
      <c r="V38" s="45">
        <v>11</v>
      </c>
      <c r="W38" s="45">
        <v>11</v>
      </c>
      <c r="X38" s="45">
        <v>11</v>
      </c>
      <c r="Y38" s="45">
        <v>11</v>
      </c>
      <c r="Z38" s="45">
        <v>11</v>
      </c>
      <c r="AA38" s="45">
        <v>11</v>
      </c>
      <c r="AB38" s="45">
        <v>11</v>
      </c>
      <c r="AC38" s="45">
        <v>11</v>
      </c>
      <c r="AD38" s="45">
        <v>11</v>
      </c>
      <c r="AE38" s="45">
        <v>11</v>
      </c>
      <c r="AF38" s="45">
        <v>11</v>
      </c>
      <c r="AG38" s="49">
        <v>13</v>
      </c>
      <c r="AH38" s="47">
        <f t="shared" si="2"/>
        <v>11</v>
      </c>
      <c r="AI38" s="48">
        <f t="shared" si="3"/>
        <v>11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>
        <v>12</v>
      </c>
      <c r="C39" s="45">
        <v>12</v>
      </c>
      <c r="D39" s="45">
        <v>12</v>
      </c>
      <c r="E39" s="45">
        <v>8</v>
      </c>
      <c r="F39" s="45">
        <v>2</v>
      </c>
      <c r="G39" s="45">
        <v>2</v>
      </c>
      <c r="H39" s="45">
        <v>2</v>
      </c>
      <c r="I39" s="45">
        <v>2</v>
      </c>
      <c r="J39" s="45">
        <v>2</v>
      </c>
      <c r="K39" s="45">
        <v>2</v>
      </c>
      <c r="L39" s="45">
        <v>12</v>
      </c>
      <c r="M39" s="45">
        <v>8</v>
      </c>
      <c r="N39" s="45">
        <v>8</v>
      </c>
      <c r="O39" s="45">
        <v>12</v>
      </c>
      <c r="P39" s="45">
        <v>12</v>
      </c>
      <c r="Q39" s="45">
        <v>12</v>
      </c>
      <c r="R39" s="45">
        <v>12</v>
      </c>
      <c r="S39" s="45">
        <v>12</v>
      </c>
      <c r="T39" s="45">
        <v>12</v>
      </c>
      <c r="U39" s="45">
        <v>12</v>
      </c>
      <c r="V39" s="45">
        <v>12</v>
      </c>
      <c r="W39" s="45">
        <v>6</v>
      </c>
      <c r="X39" s="45">
        <v>6</v>
      </c>
      <c r="Y39" s="45">
        <v>6</v>
      </c>
      <c r="Z39" s="45">
        <v>6</v>
      </c>
      <c r="AA39" s="45">
        <v>12</v>
      </c>
      <c r="AB39" s="45">
        <v>12</v>
      </c>
      <c r="AC39" s="45">
        <v>12</v>
      </c>
      <c r="AD39" s="45">
        <v>12</v>
      </c>
      <c r="AE39" s="45">
        <v>6</v>
      </c>
      <c r="AF39" s="45">
        <v>6</v>
      </c>
      <c r="AG39" s="49">
        <v>12</v>
      </c>
      <c r="AH39" s="47">
        <f t="shared" si="2"/>
        <v>12</v>
      </c>
      <c r="AI39" s="48">
        <f t="shared" si="3"/>
        <v>2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>
        <v>12</v>
      </c>
      <c r="C40" s="45">
        <v>12</v>
      </c>
      <c r="D40" s="45">
        <v>12</v>
      </c>
      <c r="E40" s="45">
        <v>12</v>
      </c>
      <c r="F40" s="45">
        <v>12</v>
      </c>
      <c r="G40" s="45">
        <v>12</v>
      </c>
      <c r="H40" s="45">
        <v>12</v>
      </c>
      <c r="I40" s="45">
        <v>12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>
        <v>12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45">
        <v>12</v>
      </c>
      <c r="X40" s="45">
        <v>12</v>
      </c>
      <c r="Y40" s="45">
        <v>12</v>
      </c>
      <c r="Z40" s="45">
        <v>12</v>
      </c>
      <c r="AA40" s="45">
        <v>12</v>
      </c>
      <c r="AB40" s="45">
        <v>12</v>
      </c>
      <c r="AC40" s="45">
        <v>12</v>
      </c>
      <c r="AD40" s="45">
        <v>12</v>
      </c>
      <c r="AE40" s="45">
        <v>12</v>
      </c>
      <c r="AF40" s="45">
        <v>12</v>
      </c>
      <c r="AG40" s="49">
        <v>12</v>
      </c>
      <c r="AH40" s="47">
        <f t="shared" si="2"/>
        <v>12</v>
      </c>
      <c r="AI40" s="48">
        <f t="shared" si="3"/>
        <v>12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12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>
        <v>12</v>
      </c>
      <c r="U41" s="45">
        <v>12</v>
      </c>
      <c r="V41" s="45">
        <v>12</v>
      </c>
      <c r="W41" s="45">
        <v>12</v>
      </c>
      <c r="X41" s="45">
        <v>12</v>
      </c>
      <c r="Y41" s="45">
        <v>12</v>
      </c>
      <c r="Z41" s="45">
        <v>12</v>
      </c>
      <c r="AA41" s="45">
        <v>12</v>
      </c>
      <c r="AB41" s="45">
        <v>12</v>
      </c>
      <c r="AC41" s="45">
        <v>12</v>
      </c>
      <c r="AD41" s="45">
        <v>12</v>
      </c>
      <c r="AE41" s="45">
        <v>12</v>
      </c>
      <c r="AF41" s="45">
        <v>12</v>
      </c>
      <c r="AG41" s="49">
        <v>12</v>
      </c>
      <c r="AH41" s="47">
        <f t="shared" si="2"/>
        <v>12</v>
      </c>
      <c r="AI41" s="48">
        <f t="shared" si="3"/>
        <v>0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>
        <v>5</v>
      </c>
      <c r="C42" s="45">
        <v>5</v>
      </c>
      <c r="D42" s="45">
        <v>5</v>
      </c>
      <c r="E42" s="45">
        <v>5</v>
      </c>
      <c r="F42" s="45">
        <v>5</v>
      </c>
      <c r="G42" s="45">
        <v>5</v>
      </c>
      <c r="H42" s="45">
        <v>5</v>
      </c>
      <c r="I42" s="45">
        <v>5</v>
      </c>
      <c r="J42" s="45">
        <v>5</v>
      </c>
      <c r="K42" s="45">
        <v>5</v>
      </c>
      <c r="L42" s="45">
        <v>5</v>
      </c>
      <c r="M42" s="45">
        <v>5</v>
      </c>
      <c r="N42" s="45">
        <v>5</v>
      </c>
      <c r="O42" s="45">
        <v>5</v>
      </c>
      <c r="P42" s="45">
        <v>5</v>
      </c>
      <c r="Q42" s="45">
        <v>5</v>
      </c>
      <c r="R42" s="45">
        <v>5</v>
      </c>
      <c r="S42" s="45">
        <v>5</v>
      </c>
      <c r="T42" s="45">
        <v>5</v>
      </c>
      <c r="U42" s="45">
        <v>5</v>
      </c>
      <c r="V42" s="45">
        <v>5</v>
      </c>
      <c r="W42" s="45">
        <v>5</v>
      </c>
      <c r="X42" s="45">
        <v>5</v>
      </c>
      <c r="Y42" s="45">
        <v>5</v>
      </c>
      <c r="Z42" s="45">
        <v>5</v>
      </c>
      <c r="AA42" s="45">
        <v>5</v>
      </c>
      <c r="AB42" s="45">
        <v>5</v>
      </c>
      <c r="AC42" s="45">
        <v>5</v>
      </c>
      <c r="AD42" s="45">
        <v>5</v>
      </c>
      <c r="AE42" s="45">
        <v>5</v>
      </c>
      <c r="AF42" s="45">
        <v>5</v>
      </c>
      <c r="AG42" s="52">
        <v>22</v>
      </c>
      <c r="AH42" s="47">
        <f t="shared" si="2"/>
        <v>5</v>
      </c>
      <c r="AI42" s="48">
        <f t="shared" si="3"/>
        <v>5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>
        <v>11.8</v>
      </c>
      <c r="C43" s="45">
        <v>11.8</v>
      </c>
      <c r="D43" s="45">
        <v>11.8</v>
      </c>
      <c r="E43" s="45">
        <v>11.8</v>
      </c>
      <c r="F43" s="45">
        <v>11.8</v>
      </c>
      <c r="G43" s="45">
        <v>11.8</v>
      </c>
      <c r="H43" s="45">
        <v>11.8</v>
      </c>
      <c r="I43" s="45">
        <v>11.8</v>
      </c>
      <c r="J43" s="45">
        <v>11.8</v>
      </c>
      <c r="K43" s="45">
        <v>11.8</v>
      </c>
      <c r="L43" s="45">
        <v>11.8</v>
      </c>
      <c r="M43" s="45">
        <v>11.8</v>
      </c>
      <c r="N43" s="45">
        <v>11.8</v>
      </c>
      <c r="O43" s="45">
        <v>11.8</v>
      </c>
      <c r="P43" s="45">
        <v>11.8</v>
      </c>
      <c r="Q43" s="45">
        <v>11.8</v>
      </c>
      <c r="R43" s="45">
        <v>11.8</v>
      </c>
      <c r="S43" s="45">
        <v>11.8</v>
      </c>
      <c r="T43" s="45">
        <v>11.8</v>
      </c>
      <c r="U43" s="45">
        <v>11.8</v>
      </c>
      <c r="V43" s="45">
        <v>11.8</v>
      </c>
      <c r="W43" s="45">
        <v>11.8</v>
      </c>
      <c r="X43" s="45">
        <v>11.8</v>
      </c>
      <c r="Y43" s="45">
        <v>11.8</v>
      </c>
      <c r="Z43" s="45">
        <v>11.8</v>
      </c>
      <c r="AA43" s="45">
        <v>11.8</v>
      </c>
      <c r="AB43" s="45">
        <v>11.8</v>
      </c>
      <c r="AC43" s="45">
        <v>11.8</v>
      </c>
      <c r="AD43" s="45">
        <v>11.8</v>
      </c>
      <c r="AE43" s="45">
        <v>11.8</v>
      </c>
      <c r="AF43" s="45">
        <v>11.8</v>
      </c>
      <c r="AG43" s="51">
        <v>11.88</v>
      </c>
      <c r="AH43" s="47">
        <f t="shared" si="2"/>
        <v>11.8</v>
      </c>
      <c r="AI43" s="48">
        <f t="shared" si="3"/>
        <v>11.8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>
        <v>10.199999999999999</v>
      </c>
      <c r="C44" s="45">
        <v>10.199999999999999</v>
      </c>
      <c r="D44" s="45">
        <v>10.199999999999999</v>
      </c>
      <c r="E44" s="45">
        <v>10.199999999999999</v>
      </c>
      <c r="F44" s="45">
        <v>10.199999999999999</v>
      </c>
      <c r="G44" s="45">
        <v>10.199999999999999</v>
      </c>
      <c r="H44" s="45">
        <v>10.199999999999999</v>
      </c>
      <c r="I44" s="45">
        <v>10.199999999999999</v>
      </c>
      <c r="J44" s="45">
        <v>10.199999999999999</v>
      </c>
      <c r="K44" s="45">
        <v>10.199999999999999</v>
      </c>
      <c r="L44" s="45">
        <v>10.199999999999999</v>
      </c>
      <c r="M44" s="45">
        <v>10.199999999999999</v>
      </c>
      <c r="N44" s="45">
        <v>10.199999999999999</v>
      </c>
      <c r="O44" s="45">
        <v>10.199999999999999</v>
      </c>
      <c r="P44" s="45">
        <v>10.199999999999999</v>
      </c>
      <c r="Q44" s="45">
        <v>10.199999999999999</v>
      </c>
      <c r="R44" s="45">
        <v>10.199999999999999</v>
      </c>
      <c r="S44" s="45">
        <v>10.199999999999999</v>
      </c>
      <c r="T44" s="45">
        <v>10.199999999999999</v>
      </c>
      <c r="U44" s="45">
        <v>10.199999999999999</v>
      </c>
      <c r="V44" s="45">
        <v>10.199999999999999</v>
      </c>
      <c r="W44" s="45">
        <v>10.199999999999999</v>
      </c>
      <c r="X44" s="45">
        <v>10.199999999999999</v>
      </c>
      <c r="Y44" s="45">
        <v>10.199999999999999</v>
      </c>
      <c r="Z44" s="45">
        <v>10.199999999999999</v>
      </c>
      <c r="AA44" s="45">
        <v>10.199999999999999</v>
      </c>
      <c r="AB44" s="45">
        <v>10.199999999999999</v>
      </c>
      <c r="AC44" s="45">
        <v>10.199999999999999</v>
      </c>
      <c r="AD44" s="45">
        <v>10.199999999999999</v>
      </c>
      <c r="AE44" s="45">
        <v>10.199999999999999</v>
      </c>
      <c r="AF44" s="45">
        <v>10.199999999999999</v>
      </c>
      <c r="AG44" s="54">
        <v>11</v>
      </c>
      <c r="AH44" s="47">
        <f t="shared" si="2"/>
        <v>10.199999999999999</v>
      </c>
      <c r="AI44" s="48">
        <f t="shared" si="3"/>
        <v>10.199999999999999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>
        <v>9</v>
      </c>
      <c r="C45" s="45">
        <v>9</v>
      </c>
      <c r="D45" s="45">
        <v>9</v>
      </c>
      <c r="E45" s="45">
        <v>9</v>
      </c>
      <c r="F45" s="45">
        <v>9</v>
      </c>
      <c r="G45" s="45">
        <v>9</v>
      </c>
      <c r="H45" s="45">
        <v>9</v>
      </c>
      <c r="I45" s="45">
        <v>9</v>
      </c>
      <c r="J45" s="45">
        <v>9</v>
      </c>
      <c r="K45" s="45">
        <v>9</v>
      </c>
      <c r="L45" s="45">
        <v>9</v>
      </c>
      <c r="M45" s="45">
        <v>9</v>
      </c>
      <c r="N45" s="45">
        <v>9</v>
      </c>
      <c r="O45" s="45">
        <v>9</v>
      </c>
      <c r="P45" s="45">
        <v>9</v>
      </c>
      <c r="Q45" s="45">
        <v>9</v>
      </c>
      <c r="R45" s="45">
        <v>9</v>
      </c>
      <c r="S45" s="45">
        <v>9</v>
      </c>
      <c r="T45" s="45">
        <v>9</v>
      </c>
      <c r="U45" s="45">
        <v>9</v>
      </c>
      <c r="V45" s="45">
        <v>9</v>
      </c>
      <c r="W45" s="45">
        <v>9</v>
      </c>
      <c r="X45" s="45">
        <v>9</v>
      </c>
      <c r="Y45" s="45">
        <v>9</v>
      </c>
      <c r="Z45" s="45">
        <v>9</v>
      </c>
      <c r="AA45" s="45">
        <v>9</v>
      </c>
      <c r="AB45" s="45">
        <v>9</v>
      </c>
      <c r="AC45" s="45">
        <v>9</v>
      </c>
      <c r="AD45" s="45">
        <v>9</v>
      </c>
      <c r="AE45" s="45">
        <v>9</v>
      </c>
      <c r="AF45" s="45">
        <v>9</v>
      </c>
      <c r="AG45" s="54">
        <v>10</v>
      </c>
      <c r="AH45" s="47">
        <f t="shared" si="2"/>
        <v>9</v>
      </c>
      <c r="AI45" s="48">
        <f t="shared" si="3"/>
        <v>9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>
        <v>0</v>
      </c>
      <c r="C46" s="45">
        <v>0</v>
      </c>
      <c r="D46" s="45">
        <v>0</v>
      </c>
      <c r="E46" s="45">
        <v>0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0</v>
      </c>
      <c r="M46" s="45">
        <v>0</v>
      </c>
      <c r="N46" s="45">
        <v>0</v>
      </c>
      <c r="O46" s="45">
        <v>0</v>
      </c>
      <c r="P46" s="45">
        <v>0</v>
      </c>
      <c r="Q46" s="45">
        <v>0</v>
      </c>
      <c r="R46" s="45">
        <v>0</v>
      </c>
      <c r="S46" s="45">
        <v>0</v>
      </c>
      <c r="T46" s="45">
        <v>0</v>
      </c>
      <c r="U46" s="45">
        <v>0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54">
        <v>10</v>
      </c>
      <c r="AH46" s="47">
        <f t="shared" si="2"/>
        <v>0</v>
      </c>
      <c r="AI46" s="48">
        <f t="shared" si="3"/>
        <v>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>
        <v>0</v>
      </c>
      <c r="C47" s="45">
        <v>0</v>
      </c>
      <c r="D47" s="45">
        <v>0</v>
      </c>
      <c r="E47" s="45">
        <v>0</v>
      </c>
      <c r="F47" s="45">
        <v>0</v>
      </c>
      <c r="G47" s="45">
        <v>0</v>
      </c>
      <c r="H47" s="45">
        <v>0</v>
      </c>
      <c r="I47" s="45">
        <v>0</v>
      </c>
      <c r="J47" s="45">
        <v>0</v>
      </c>
      <c r="K47" s="45">
        <v>0</v>
      </c>
      <c r="L47" s="45">
        <v>0</v>
      </c>
      <c r="M47" s="45">
        <v>0</v>
      </c>
      <c r="N47" s="45">
        <v>0</v>
      </c>
      <c r="O47" s="45">
        <v>0</v>
      </c>
      <c r="P47" s="45">
        <v>0</v>
      </c>
      <c r="Q47" s="45">
        <v>0</v>
      </c>
      <c r="R47" s="45">
        <v>0</v>
      </c>
      <c r="S47" s="45">
        <v>0</v>
      </c>
      <c r="T47" s="45">
        <v>0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>
        <v>300</v>
      </c>
      <c r="C48" s="56">
        <v>300</v>
      </c>
      <c r="D48" s="56">
        <v>300</v>
      </c>
      <c r="E48" s="56">
        <v>300</v>
      </c>
      <c r="F48" s="56">
        <v>300</v>
      </c>
      <c r="G48" s="56">
        <v>300</v>
      </c>
      <c r="H48" s="56">
        <v>300</v>
      </c>
      <c r="I48" s="56">
        <v>300</v>
      </c>
      <c r="J48" s="56">
        <v>300</v>
      </c>
      <c r="K48" s="56">
        <v>300</v>
      </c>
      <c r="L48" s="56">
        <v>300</v>
      </c>
      <c r="M48" s="56">
        <v>300</v>
      </c>
      <c r="N48" s="56">
        <v>300</v>
      </c>
      <c r="O48" s="56">
        <v>300</v>
      </c>
      <c r="P48" s="56">
        <v>300</v>
      </c>
      <c r="Q48" s="56">
        <v>300</v>
      </c>
      <c r="R48" s="56">
        <v>300</v>
      </c>
      <c r="S48" s="56">
        <v>300</v>
      </c>
      <c r="T48" s="56">
        <v>300</v>
      </c>
      <c r="U48" s="56">
        <v>300</v>
      </c>
      <c r="V48" s="56">
        <v>300</v>
      </c>
      <c r="W48" s="56">
        <v>300</v>
      </c>
      <c r="X48" s="56">
        <v>300</v>
      </c>
      <c r="Y48" s="56">
        <v>300</v>
      </c>
      <c r="Z48" s="56">
        <v>300</v>
      </c>
      <c r="AA48" s="56">
        <v>300</v>
      </c>
      <c r="AB48" s="56">
        <v>300</v>
      </c>
      <c r="AC48" s="56">
        <v>300</v>
      </c>
      <c r="AD48" s="56">
        <v>300</v>
      </c>
      <c r="AE48" s="56">
        <v>300</v>
      </c>
      <c r="AF48" s="56">
        <v>300</v>
      </c>
      <c r="AG48" s="54">
        <v>85</v>
      </c>
      <c r="AH48" s="47">
        <f t="shared" si="2"/>
        <v>300</v>
      </c>
      <c r="AI48" s="48">
        <f t="shared" si="3"/>
        <v>300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C50" si="4">SUM(B11:B48)</f>
        <v>993.5</v>
      </c>
      <c r="C50" s="59">
        <f t="shared" si="4"/>
        <v>993.3</v>
      </c>
      <c r="D50" s="59">
        <f t="shared" ref="D50" si="5">SUM(D11:D48)</f>
        <v>982.19999999999993</v>
      </c>
      <c r="E50" s="59">
        <f t="shared" ref="E50:AF50" si="6">SUM(E11:E48)</f>
        <v>977.3</v>
      </c>
      <c r="F50" s="59">
        <f t="shared" si="6"/>
        <v>969.69999999999993</v>
      </c>
      <c r="G50" s="59">
        <f t="shared" si="6"/>
        <v>989.69999999999993</v>
      </c>
      <c r="H50" s="59">
        <f t="shared" si="6"/>
        <v>989.69999999999993</v>
      </c>
      <c r="I50" s="59">
        <f t="shared" si="6"/>
        <v>989.69999999999993</v>
      </c>
      <c r="J50" s="59">
        <f t="shared" si="6"/>
        <v>1000.1999999999999</v>
      </c>
      <c r="K50" s="59">
        <f t="shared" si="6"/>
        <v>1000.1999999999999</v>
      </c>
      <c r="L50" s="59">
        <f t="shared" si="6"/>
        <v>1049.1999999999998</v>
      </c>
      <c r="M50" s="59">
        <f t="shared" si="6"/>
        <v>1054.1999999999998</v>
      </c>
      <c r="N50" s="59">
        <f t="shared" si="6"/>
        <v>1049.1999999999998</v>
      </c>
      <c r="O50" s="59">
        <f t="shared" si="6"/>
        <v>1070.1999999999998</v>
      </c>
      <c r="P50" s="59">
        <f t="shared" si="6"/>
        <v>1086.0999999999999</v>
      </c>
      <c r="Q50" s="59">
        <f t="shared" si="6"/>
        <v>1086.0999999999999</v>
      </c>
      <c r="R50" s="59">
        <f t="shared" si="6"/>
        <v>1080.6999999999998</v>
      </c>
      <c r="S50" s="59">
        <f t="shared" si="6"/>
        <v>1046.6999999999998</v>
      </c>
      <c r="T50" s="59">
        <f t="shared" si="6"/>
        <v>1046.5</v>
      </c>
      <c r="U50" s="59">
        <f t="shared" ref="U50:V50" si="7">SUM(U11:U48)</f>
        <v>1043.9999999999998</v>
      </c>
      <c r="V50" s="59">
        <f t="shared" si="7"/>
        <v>1029.8999999999999</v>
      </c>
      <c r="W50" s="59">
        <f t="shared" si="6"/>
        <v>1028.8999999999999</v>
      </c>
      <c r="X50" s="59">
        <f t="shared" si="6"/>
        <v>1028.8999999999999</v>
      </c>
      <c r="Y50" s="59">
        <f t="shared" si="6"/>
        <v>1028.8999999999999</v>
      </c>
      <c r="Z50" s="59">
        <f t="shared" si="6"/>
        <v>1074</v>
      </c>
      <c r="AA50" s="59">
        <v>1047.8989999999999</v>
      </c>
      <c r="AB50" s="59">
        <f t="shared" si="6"/>
        <v>1093</v>
      </c>
      <c r="AC50" s="59">
        <f t="shared" si="6"/>
        <v>1085</v>
      </c>
      <c r="AD50" s="59">
        <f t="shared" si="6"/>
        <v>1085</v>
      </c>
      <c r="AE50" s="59">
        <f t="shared" si="6"/>
        <v>1051.3999999999999</v>
      </c>
      <c r="AF50" s="59">
        <f t="shared" si="6"/>
        <v>1051.3999999999999</v>
      </c>
      <c r="AG50" s="60">
        <f>SUM(AG13:AG48)</f>
        <v>922.14</v>
      </c>
      <c r="AH50" s="47">
        <f t="shared" si="2"/>
        <v>1093</v>
      </c>
      <c r="AI50" s="48">
        <f t="shared" si="3"/>
        <v>969.69999999999993</v>
      </c>
      <c r="AK50" s="74"/>
    </row>
    <row r="51" spans="1:41" x14ac:dyDescent="0.25">
      <c r="A51" s="61" t="s">
        <v>67</v>
      </c>
      <c r="B51" s="45">
        <v>456</v>
      </c>
      <c r="C51" s="45">
        <v>456</v>
      </c>
      <c r="D51" s="45">
        <v>456</v>
      </c>
      <c r="E51" s="45">
        <v>456</v>
      </c>
      <c r="F51" s="45">
        <v>456</v>
      </c>
      <c r="G51" s="45">
        <v>456</v>
      </c>
      <c r="H51" s="45">
        <v>456</v>
      </c>
      <c r="I51" s="45">
        <v>456</v>
      </c>
      <c r="J51" s="45">
        <v>456</v>
      </c>
      <c r="K51" s="45">
        <v>456</v>
      </c>
      <c r="L51" s="45">
        <v>456</v>
      </c>
      <c r="M51" s="45">
        <v>456</v>
      </c>
      <c r="N51" s="45">
        <v>456</v>
      </c>
      <c r="O51" s="45">
        <v>456</v>
      </c>
      <c r="P51" s="45">
        <v>456</v>
      </c>
      <c r="Q51" s="45">
        <v>456</v>
      </c>
      <c r="R51" s="45">
        <v>456</v>
      </c>
      <c r="S51" s="45">
        <v>456</v>
      </c>
      <c r="T51" s="45">
        <v>456</v>
      </c>
      <c r="U51" s="45">
        <v>456</v>
      </c>
      <c r="V51" s="45">
        <v>456</v>
      </c>
      <c r="W51" s="45">
        <v>456</v>
      </c>
      <c r="X51" s="45">
        <v>456</v>
      </c>
      <c r="Y51" s="45">
        <v>456</v>
      </c>
      <c r="Z51" s="45">
        <v>456</v>
      </c>
      <c r="AA51" s="45">
        <v>456</v>
      </c>
      <c r="AB51" s="45">
        <v>456</v>
      </c>
      <c r="AC51" s="45">
        <v>456</v>
      </c>
      <c r="AD51" s="45">
        <v>456</v>
      </c>
      <c r="AE51" s="45">
        <v>456</v>
      </c>
      <c r="AF51" s="45">
        <v>456</v>
      </c>
      <c r="AG51" s="51">
        <v>456</v>
      </c>
      <c r="AH51" s="47">
        <f t="shared" si="2"/>
        <v>456</v>
      </c>
      <c r="AI51" s="48">
        <f t="shared" si="3"/>
        <v>456</v>
      </c>
      <c r="AK51" s="74"/>
    </row>
    <row r="52" spans="1:41" x14ac:dyDescent="0.25">
      <c r="A52" s="63" t="s">
        <v>68</v>
      </c>
      <c r="B52" s="64">
        <v>55</v>
      </c>
      <c r="C52" s="64">
        <v>55</v>
      </c>
      <c r="D52" s="64">
        <v>55</v>
      </c>
      <c r="E52" s="64">
        <v>55</v>
      </c>
      <c r="F52" s="64">
        <v>55</v>
      </c>
      <c r="G52" s="64">
        <v>55</v>
      </c>
      <c r="H52" s="64">
        <v>55</v>
      </c>
      <c r="I52" s="64">
        <v>55</v>
      </c>
      <c r="J52" s="64">
        <v>55</v>
      </c>
      <c r="K52" s="64">
        <v>55</v>
      </c>
      <c r="L52" s="64">
        <v>55</v>
      </c>
      <c r="M52" s="64">
        <v>55</v>
      </c>
      <c r="N52" s="64">
        <v>55</v>
      </c>
      <c r="O52" s="64">
        <v>55</v>
      </c>
      <c r="P52" s="64">
        <v>55</v>
      </c>
      <c r="Q52" s="64">
        <v>55</v>
      </c>
      <c r="R52" s="64">
        <v>60</v>
      </c>
      <c r="S52" s="64">
        <v>60</v>
      </c>
      <c r="T52" s="64">
        <v>60</v>
      </c>
      <c r="U52" s="64">
        <v>60</v>
      </c>
      <c r="V52" s="64">
        <v>60</v>
      </c>
      <c r="W52" s="64">
        <v>60</v>
      </c>
      <c r="X52" s="64">
        <v>60</v>
      </c>
      <c r="Y52" s="64">
        <v>60</v>
      </c>
      <c r="Z52" s="64">
        <v>60</v>
      </c>
      <c r="AA52" s="64">
        <v>60</v>
      </c>
      <c r="AB52" s="64">
        <v>60</v>
      </c>
      <c r="AC52" s="64">
        <v>60</v>
      </c>
      <c r="AD52" s="64">
        <v>60</v>
      </c>
      <c r="AE52" s="64">
        <v>55</v>
      </c>
      <c r="AF52" s="64">
        <v>55</v>
      </c>
      <c r="AG52" s="54">
        <v>60</v>
      </c>
      <c r="AH52" s="47">
        <f t="shared" si="2"/>
        <v>60</v>
      </c>
      <c r="AI52" s="48">
        <f t="shared" si="3"/>
        <v>55</v>
      </c>
      <c r="AK52" s="74"/>
    </row>
    <row r="53" spans="1:41" ht="15.75" thickBot="1" x14ac:dyDescent="0.3">
      <c r="A53" s="65" t="s">
        <v>69</v>
      </c>
      <c r="B53" s="66">
        <v>22.5</v>
      </c>
      <c r="C53" s="66">
        <v>22.5</v>
      </c>
      <c r="D53" s="66">
        <v>22.5</v>
      </c>
      <c r="E53" s="66">
        <v>22.5</v>
      </c>
      <c r="F53" s="66">
        <v>22.5</v>
      </c>
      <c r="G53" s="66">
        <v>22.5</v>
      </c>
      <c r="H53" s="66">
        <v>22.5</v>
      </c>
      <c r="I53" s="66">
        <v>22.5</v>
      </c>
      <c r="J53" s="66">
        <v>22.5</v>
      </c>
      <c r="K53" s="66">
        <v>22.5</v>
      </c>
      <c r="L53" s="66">
        <v>22.5</v>
      </c>
      <c r="M53" s="66">
        <v>22.5</v>
      </c>
      <c r="N53" s="66">
        <v>22.5</v>
      </c>
      <c r="O53" s="66">
        <v>22.5</v>
      </c>
      <c r="P53" s="66">
        <v>22.5</v>
      </c>
      <c r="Q53" s="66">
        <v>22.5</v>
      </c>
      <c r="R53" s="66">
        <v>22.5</v>
      </c>
      <c r="S53" s="66">
        <v>22.5</v>
      </c>
      <c r="T53" s="66">
        <v>22.5</v>
      </c>
      <c r="U53" s="66">
        <v>22.5</v>
      </c>
      <c r="V53" s="66">
        <v>22.5</v>
      </c>
      <c r="W53" s="66">
        <v>22.5</v>
      </c>
      <c r="X53" s="66">
        <v>22.5</v>
      </c>
      <c r="Y53" s="66">
        <v>22.5</v>
      </c>
      <c r="Z53" s="66">
        <v>22.5</v>
      </c>
      <c r="AA53" s="66">
        <v>22.5</v>
      </c>
      <c r="AB53" s="66">
        <v>22.5</v>
      </c>
      <c r="AC53" s="66">
        <v>22.5</v>
      </c>
      <c r="AD53" s="66">
        <v>22.5</v>
      </c>
      <c r="AE53" s="66">
        <v>22.5</v>
      </c>
      <c r="AF53" s="66">
        <v>22.5</v>
      </c>
      <c r="AG53" s="67">
        <v>22.1</v>
      </c>
      <c r="AH53" s="47">
        <f t="shared" si="2"/>
        <v>22.5</v>
      </c>
      <c r="AI53" s="48">
        <f t="shared" si="3"/>
        <v>22.5</v>
      </c>
      <c r="AK53" s="74"/>
    </row>
    <row r="54" spans="1:41" ht="15.75" thickBot="1" x14ac:dyDescent="0.3">
      <c r="A54" s="68" t="s">
        <v>70</v>
      </c>
      <c r="B54" s="59">
        <f t="shared" ref="B54:C54" si="8">SUM(B51:B53)</f>
        <v>533.5</v>
      </c>
      <c r="C54" s="59">
        <f t="shared" si="8"/>
        <v>533.5</v>
      </c>
      <c r="D54" s="59">
        <f t="shared" ref="D54" si="9">SUM(D51:D53)</f>
        <v>533.5</v>
      </c>
      <c r="E54" s="59">
        <f t="shared" ref="E54:AG54" si="10">SUM(E51:E53)</f>
        <v>533.5</v>
      </c>
      <c r="F54" s="59">
        <f t="shared" si="10"/>
        <v>533.5</v>
      </c>
      <c r="G54" s="59">
        <f t="shared" si="10"/>
        <v>533.5</v>
      </c>
      <c r="H54" s="59">
        <f t="shared" si="10"/>
        <v>533.5</v>
      </c>
      <c r="I54" s="59">
        <f t="shared" si="10"/>
        <v>533.5</v>
      </c>
      <c r="J54" s="59">
        <f t="shared" si="10"/>
        <v>533.5</v>
      </c>
      <c r="K54" s="59">
        <f t="shared" si="10"/>
        <v>533.5</v>
      </c>
      <c r="L54" s="59">
        <f t="shared" si="10"/>
        <v>533.5</v>
      </c>
      <c r="M54" s="59">
        <f t="shared" si="10"/>
        <v>533.5</v>
      </c>
      <c r="N54" s="59">
        <f t="shared" si="10"/>
        <v>533.5</v>
      </c>
      <c r="O54" s="59">
        <f t="shared" si="10"/>
        <v>533.5</v>
      </c>
      <c r="P54" s="59">
        <f t="shared" si="10"/>
        <v>533.5</v>
      </c>
      <c r="Q54" s="59">
        <f t="shared" si="10"/>
        <v>533.5</v>
      </c>
      <c r="R54" s="59">
        <f t="shared" si="10"/>
        <v>538.5</v>
      </c>
      <c r="S54" s="59">
        <f t="shared" si="10"/>
        <v>538.5</v>
      </c>
      <c r="T54" s="59">
        <f t="shared" si="10"/>
        <v>538.5</v>
      </c>
      <c r="U54" s="59">
        <f t="shared" ref="U54:V54" si="11">SUM(U51:U53)</f>
        <v>538.5</v>
      </c>
      <c r="V54" s="59">
        <f t="shared" si="11"/>
        <v>538.5</v>
      </c>
      <c r="W54" s="59">
        <f t="shared" si="10"/>
        <v>538.5</v>
      </c>
      <c r="X54" s="59">
        <f t="shared" si="10"/>
        <v>538.5</v>
      </c>
      <c r="Y54" s="59">
        <f t="shared" ref="Y54:Z54" si="12">SUM(Y51:Y53)</f>
        <v>538.5</v>
      </c>
      <c r="Z54" s="59">
        <f t="shared" si="12"/>
        <v>538.5</v>
      </c>
      <c r="AA54" s="59">
        <v>538.5</v>
      </c>
      <c r="AB54" s="59">
        <f t="shared" si="10"/>
        <v>538.5</v>
      </c>
      <c r="AC54" s="59">
        <f t="shared" si="10"/>
        <v>538.5</v>
      </c>
      <c r="AD54" s="59">
        <f t="shared" si="10"/>
        <v>538.5</v>
      </c>
      <c r="AE54" s="59">
        <f t="shared" si="10"/>
        <v>533.5</v>
      </c>
      <c r="AF54" s="59">
        <f t="shared" si="10"/>
        <v>533.5</v>
      </c>
      <c r="AG54" s="60">
        <f t="shared" si="10"/>
        <v>538.1</v>
      </c>
      <c r="AH54" s="47">
        <f t="shared" si="2"/>
        <v>538.5</v>
      </c>
      <c r="AI54" s="48">
        <f t="shared" si="3"/>
        <v>533.5</v>
      </c>
      <c r="AK54" s="74"/>
    </row>
    <row r="55" spans="1:41" x14ac:dyDescent="0.25">
      <c r="A55" s="44" t="s">
        <v>71</v>
      </c>
      <c r="B55" s="45">
        <v>137</v>
      </c>
      <c r="C55" s="45">
        <v>137</v>
      </c>
      <c r="D55" s="45">
        <v>137.30000000000001</v>
      </c>
      <c r="E55" s="45">
        <v>137.30000000000001</v>
      </c>
      <c r="F55" s="45">
        <v>137.30000000000001</v>
      </c>
      <c r="G55" s="45">
        <v>137.30000000000001</v>
      </c>
      <c r="H55" s="45">
        <v>137.30000000000001</v>
      </c>
      <c r="I55" s="45">
        <v>137.30000000000001</v>
      </c>
      <c r="J55" s="45">
        <v>137.30000000000001</v>
      </c>
      <c r="K55" s="45">
        <v>137.30000000000001</v>
      </c>
      <c r="L55" s="45">
        <v>137.30000000000001</v>
      </c>
      <c r="M55" s="45">
        <v>138</v>
      </c>
      <c r="N55" s="45">
        <v>138</v>
      </c>
      <c r="O55" s="45">
        <v>138</v>
      </c>
      <c r="P55" s="45">
        <v>138</v>
      </c>
      <c r="Q55" s="45">
        <v>136</v>
      </c>
      <c r="R55" s="45">
        <v>137</v>
      </c>
      <c r="S55" s="45">
        <v>137</v>
      </c>
      <c r="T55" s="45">
        <v>137</v>
      </c>
      <c r="U55" s="45">
        <v>137</v>
      </c>
      <c r="V55" s="45">
        <v>137</v>
      </c>
      <c r="W55" s="45">
        <v>137</v>
      </c>
      <c r="X55" s="45">
        <v>137</v>
      </c>
      <c r="Y55" s="45">
        <v>137</v>
      </c>
      <c r="Z55" s="45">
        <v>137</v>
      </c>
      <c r="AA55" s="45">
        <v>138</v>
      </c>
      <c r="AB55" s="45">
        <v>138.30000000000001</v>
      </c>
      <c r="AC55" s="45">
        <v>138.30000000000001</v>
      </c>
      <c r="AD55" s="45">
        <v>138.30000000000001</v>
      </c>
      <c r="AE55" s="45">
        <v>138.30000000000001</v>
      </c>
      <c r="AF55" s="45">
        <v>139</v>
      </c>
      <c r="AG55" s="51">
        <v>144</v>
      </c>
      <c r="AH55" s="47">
        <f t="shared" si="2"/>
        <v>139</v>
      </c>
      <c r="AI55" s="48">
        <f t="shared" si="3"/>
        <v>136</v>
      </c>
      <c r="AK55" s="74"/>
    </row>
    <row r="56" spans="1:41" x14ac:dyDescent="0.25">
      <c r="A56" s="53" t="s">
        <v>72</v>
      </c>
      <c r="B56" s="45">
        <v>70.3</v>
      </c>
      <c r="C56" s="45">
        <v>69.8</v>
      </c>
      <c r="D56" s="45">
        <v>69.900000000000006</v>
      </c>
      <c r="E56" s="45">
        <v>69.900000000000006</v>
      </c>
      <c r="F56" s="45">
        <v>69.900000000000006</v>
      </c>
      <c r="G56" s="45">
        <v>69.900000000000006</v>
      </c>
      <c r="H56" s="45">
        <v>69.900000000000006</v>
      </c>
      <c r="I56" s="45">
        <v>69.900000000000006</v>
      </c>
      <c r="J56" s="45">
        <v>69.900000000000006</v>
      </c>
      <c r="K56" s="45">
        <v>69.900000000000006</v>
      </c>
      <c r="L56" s="45">
        <v>69.900000000000006</v>
      </c>
      <c r="M56" s="45">
        <v>50</v>
      </c>
      <c r="N56" s="45">
        <v>70</v>
      </c>
      <c r="O56" s="45">
        <v>70</v>
      </c>
      <c r="P56" s="64">
        <v>71.3</v>
      </c>
      <c r="Q56" s="64">
        <v>71.3</v>
      </c>
      <c r="R56" s="64">
        <v>71.3</v>
      </c>
      <c r="S56" s="64">
        <v>71.3</v>
      </c>
      <c r="T56" s="64">
        <v>71.3</v>
      </c>
      <c r="U56" s="64">
        <v>70.3</v>
      </c>
      <c r="V56" s="64">
        <v>70.3</v>
      </c>
      <c r="W56" s="64">
        <v>70.3</v>
      </c>
      <c r="X56" s="64">
        <v>70.3</v>
      </c>
      <c r="Y56" s="64">
        <v>70.3</v>
      </c>
      <c r="Z56" s="64">
        <v>70.3</v>
      </c>
      <c r="AA56" s="45">
        <v>70.599999999999994</v>
      </c>
      <c r="AB56" s="45">
        <v>71.5</v>
      </c>
      <c r="AC56" s="45">
        <v>71.5</v>
      </c>
      <c r="AD56" s="45">
        <v>71.5</v>
      </c>
      <c r="AE56" s="45">
        <v>71.5</v>
      </c>
      <c r="AF56" s="45">
        <v>71.5</v>
      </c>
      <c r="AG56" s="54">
        <v>70</v>
      </c>
      <c r="AH56" s="47">
        <f t="shared" si="2"/>
        <v>71.5</v>
      </c>
      <c r="AI56" s="48">
        <f t="shared" si="3"/>
        <v>50</v>
      </c>
      <c r="AK56" s="74"/>
    </row>
    <row r="57" spans="1:41" x14ac:dyDescent="0.25">
      <c r="A57" s="53" t="s">
        <v>73</v>
      </c>
      <c r="B57" s="45">
        <v>46</v>
      </c>
      <c r="C57" s="45">
        <v>46</v>
      </c>
      <c r="D57" s="45">
        <v>45</v>
      </c>
      <c r="E57" s="45">
        <v>45</v>
      </c>
      <c r="F57" s="45">
        <v>45</v>
      </c>
      <c r="G57" s="45">
        <v>45</v>
      </c>
      <c r="H57" s="45">
        <v>45</v>
      </c>
      <c r="I57" s="45">
        <v>45</v>
      </c>
      <c r="J57" s="45">
        <v>45</v>
      </c>
      <c r="K57" s="45">
        <v>45</v>
      </c>
      <c r="L57" s="45">
        <v>45</v>
      </c>
      <c r="M57" s="45">
        <v>45</v>
      </c>
      <c r="N57" s="45">
        <v>45</v>
      </c>
      <c r="O57" s="45">
        <v>45</v>
      </c>
      <c r="P57" s="64">
        <v>45.1</v>
      </c>
      <c r="Q57" s="64">
        <v>45.1</v>
      </c>
      <c r="R57" s="64">
        <v>45.1</v>
      </c>
      <c r="S57" s="64">
        <v>45.1</v>
      </c>
      <c r="T57" s="64">
        <v>45.1</v>
      </c>
      <c r="U57" s="64">
        <v>45.2</v>
      </c>
      <c r="V57" s="64">
        <v>45.2</v>
      </c>
      <c r="W57" s="64">
        <v>45.2</v>
      </c>
      <c r="X57" s="64">
        <v>45.2</v>
      </c>
      <c r="Y57" s="64">
        <v>45.2</v>
      </c>
      <c r="Z57" s="64">
        <v>45.2</v>
      </c>
      <c r="AA57" s="45">
        <v>60.2</v>
      </c>
      <c r="AB57" s="45">
        <v>65.5</v>
      </c>
      <c r="AC57" s="45">
        <v>65.5</v>
      </c>
      <c r="AD57" s="45">
        <v>65.5</v>
      </c>
      <c r="AE57" s="45">
        <v>65.5</v>
      </c>
      <c r="AF57" s="45">
        <v>65.5</v>
      </c>
      <c r="AG57" s="54">
        <v>69</v>
      </c>
      <c r="AH57" s="47">
        <f t="shared" si="2"/>
        <v>65.5</v>
      </c>
      <c r="AI57" s="48">
        <f t="shared" si="3"/>
        <v>45</v>
      </c>
      <c r="AK57" s="74"/>
    </row>
    <row r="58" spans="1:41" x14ac:dyDescent="0.25">
      <c r="A58" s="53" t="s">
        <v>74</v>
      </c>
      <c r="B58" s="45">
        <v>59.8</v>
      </c>
      <c r="C58" s="45">
        <v>59.8</v>
      </c>
      <c r="D58" s="45">
        <v>60.4</v>
      </c>
      <c r="E58" s="45">
        <v>60.4</v>
      </c>
      <c r="F58" s="45">
        <v>60.4</v>
      </c>
      <c r="G58" s="45">
        <v>60.4</v>
      </c>
      <c r="H58" s="45">
        <v>60.4</v>
      </c>
      <c r="I58" s="45">
        <v>60.4</v>
      </c>
      <c r="J58" s="45">
        <v>60.4</v>
      </c>
      <c r="K58" s="45">
        <v>60.4</v>
      </c>
      <c r="L58" s="45">
        <v>60.4</v>
      </c>
      <c r="M58" s="45">
        <v>60.4</v>
      </c>
      <c r="N58" s="45">
        <v>60.4</v>
      </c>
      <c r="O58" s="45">
        <v>60.4</v>
      </c>
      <c r="P58" s="64">
        <v>60.4</v>
      </c>
      <c r="Q58" s="64">
        <v>60.4</v>
      </c>
      <c r="R58" s="64">
        <v>60.4</v>
      </c>
      <c r="S58" s="64">
        <v>60.4</v>
      </c>
      <c r="T58" s="64">
        <v>20</v>
      </c>
      <c r="U58" s="64">
        <v>60</v>
      </c>
      <c r="V58" s="64">
        <v>60</v>
      </c>
      <c r="W58" s="64">
        <v>60</v>
      </c>
      <c r="X58" s="64">
        <v>60</v>
      </c>
      <c r="Y58" s="64">
        <v>60</v>
      </c>
      <c r="Z58" s="64">
        <v>60</v>
      </c>
      <c r="AA58" s="45">
        <v>60</v>
      </c>
      <c r="AB58" s="45">
        <v>60.4</v>
      </c>
      <c r="AC58" s="45">
        <v>60.4</v>
      </c>
      <c r="AD58" s="45">
        <v>52.2</v>
      </c>
      <c r="AE58" s="45">
        <v>52.2</v>
      </c>
      <c r="AF58" s="45">
        <v>52.2</v>
      </c>
      <c r="AG58" s="54">
        <v>60</v>
      </c>
      <c r="AH58" s="47">
        <f t="shared" si="2"/>
        <v>60.4</v>
      </c>
      <c r="AI58" s="48">
        <f t="shared" si="3"/>
        <v>20</v>
      </c>
      <c r="AK58" s="74"/>
    </row>
    <row r="59" spans="1:41" x14ac:dyDescent="0.25">
      <c r="A59" s="53" t="s">
        <v>75</v>
      </c>
      <c r="B59" s="45">
        <v>30</v>
      </c>
      <c r="C59" s="45">
        <v>30</v>
      </c>
      <c r="D59" s="45">
        <v>30</v>
      </c>
      <c r="E59" s="45">
        <v>30</v>
      </c>
      <c r="F59" s="45">
        <v>30</v>
      </c>
      <c r="G59" s="45">
        <v>30</v>
      </c>
      <c r="H59" s="45">
        <v>30</v>
      </c>
      <c r="I59" s="45">
        <v>30</v>
      </c>
      <c r="J59" s="45">
        <v>30</v>
      </c>
      <c r="K59" s="45">
        <v>0</v>
      </c>
      <c r="L59" s="45">
        <v>0</v>
      </c>
      <c r="M59" s="45">
        <v>0</v>
      </c>
      <c r="N59" s="45">
        <v>0</v>
      </c>
      <c r="O59" s="45">
        <v>30</v>
      </c>
      <c r="P59" s="64">
        <v>30</v>
      </c>
      <c r="Q59" s="64">
        <v>30</v>
      </c>
      <c r="R59" s="64">
        <v>30</v>
      </c>
      <c r="S59" s="64">
        <v>30</v>
      </c>
      <c r="T59" s="64">
        <v>30</v>
      </c>
      <c r="U59" s="64">
        <v>30</v>
      </c>
      <c r="V59" s="64">
        <v>30</v>
      </c>
      <c r="W59" s="64">
        <v>30</v>
      </c>
      <c r="X59" s="64">
        <v>30</v>
      </c>
      <c r="Y59" s="64">
        <v>30</v>
      </c>
      <c r="Z59" s="64">
        <v>30</v>
      </c>
      <c r="AA59" s="45">
        <v>30</v>
      </c>
      <c r="AB59" s="45">
        <v>30</v>
      </c>
      <c r="AC59" s="45">
        <v>30</v>
      </c>
      <c r="AD59" s="45">
        <v>30</v>
      </c>
      <c r="AE59" s="45">
        <v>30</v>
      </c>
      <c r="AF59" s="45">
        <v>30</v>
      </c>
      <c r="AG59" s="54">
        <v>30</v>
      </c>
      <c r="AH59" s="47">
        <f t="shared" si="2"/>
        <v>30</v>
      </c>
      <c r="AI59" s="48">
        <f t="shared" si="3"/>
        <v>0</v>
      </c>
      <c r="AK59" s="74"/>
    </row>
    <row r="60" spans="1:41" x14ac:dyDescent="0.25">
      <c r="A60" s="53" t="s">
        <v>76</v>
      </c>
      <c r="B60" s="45">
        <v>0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0.5</v>
      </c>
      <c r="J60" s="45">
        <v>0.5</v>
      </c>
      <c r="K60" s="45">
        <v>3.3</v>
      </c>
      <c r="L60" s="45">
        <v>3.6</v>
      </c>
      <c r="M60" s="45">
        <v>3.6</v>
      </c>
      <c r="N60" s="45">
        <v>3.6</v>
      </c>
      <c r="O60" s="45">
        <v>3.6</v>
      </c>
      <c r="P60" s="64">
        <v>7.4</v>
      </c>
      <c r="Q60" s="64">
        <v>7.4</v>
      </c>
      <c r="R60" s="64">
        <v>7.4</v>
      </c>
      <c r="S60" s="64">
        <v>6.5</v>
      </c>
      <c r="T60" s="64">
        <v>6.3</v>
      </c>
      <c r="U60" s="64">
        <v>3.4</v>
      </c>
      <c r="V60" s="64">
        <v>1.8</v>
      </c>
      <c r="W60" s="64">
        <v>1.8</v>
      </c>
      <c r="X60" s="64">
        <v>1.8</v>
      </c>
      <c r="Y60" s="64">
        <v>1.8</v>
      </c>
      <c r="Z60" s="64">
        <v>1.8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54">
        <v>25</v>
      </c>
      <c r="AH60" s="47">
        <f t="shared" si="2"/>
        <v>7.4</v>
      </c>
      <c r="AI60" s="48">
        <f t="shared" si="3"/>
        <v>0</v>
      </c>
      <c r="AK60" s="74"/>
    </row>
    <row r="61" spans="1:41" x14ac:dyDescent="0.25">
      <c r="A61" s="53" t="s">
        <v>77</v>
      </c>
      <c r="B61" s="64">
        <v>15</v>
      </c>
      <c r="C61" s="64">
        <v>15</v>
      </c>
      <c r="D61" s="64">
        <v>15</v>
      </c>
      <c r="E61" s="64">
        <v>15</v>
      </c>
      <c r="F61" s="64">
        <v>15</v>
      </c>
      <c r="G61" s="64">
        <v>15</v>
      </c>
      <c r="H61" s="64">
        <v>15</v>
      </c>
      <c r="I61" s="64">
        <v>15</v>
      </c>
      <c r="J61" s="64">
        <v>15</v>
      </c>
      <c r="K61" s="64">
        <v>15</v>
      </c>
      <c r="L61" s="64">
        <v>15</v>
      </c>
      <c r="M61" s="64">
        <v>15</v>
      </c>
      <c r="N61" s="64">
        <v>15</v>
      </c>
      <c r="O61" s="64">
        <v>15</v>
      </c>
      <c r="P61" s="64">
        <v>15</v>
      </c>
      <c r="Q61" s="64">
        <v>15</v>
      </c>
      <c r="R61" s="64">
        <v>15</v>
      </c>
      <c r="S61" s="64">
        <v>15</v>
      </c>
      <c r="T61" s="64">
        <v>15</v>
      </c>
      <c r="U61" s="64">
        <v>15</v>
      </c>
      <c r="V61" s="64">
        <v>15</v>
      </c>
      <c r="W61" s="64">
        <v>15</v>
      </c>
      <c r="X61" s="64">
        <v>15</v>
      </c>
      <c r="Y61" s="64">
        <v>15</v>
      </c>
      <c r="Z61" s="64">
        <v>15</v>
      </c>
      <c r="AA61" s="64">
        <v>15</v>
      </c>
      <c r="AB61" s="64">
        <v>15</v>
      </c>
      <c r="AC61" s="64">
        <v>15</v>
      </c>
      <c r="AD61" s="64">
        <v>15</v>
      </c>
      <c r="AE61" s="64">
        <v>15</v>
      </c>
      <c r="AF61" s="64">
        <v>15</v>
      </c>
      <c r="AG61" s="54">
        <v>24</v>
      </c>
      <c r="AH61" s="47">
        <f t="shared" si="2"/>
        <v>15</v>
      </c>
      <c r="AI61" s="48">
        <f t="shared" si="3"/>
        <v>15</v>
      </c>
      <c r="AK61" s="74"/>
    </row>
    <row r="62" spans="1:41" x14ac:dyDescent="0.25">
      <c r="A62" s="53" t="s">
        <v>78</v>
      </c>
      <c r="B62" s="64">
        <v>4</v>
      </c>
      <c r="C62" s="64">
        <v>4</v>
      </c>
      <c r="D62" s="64">
        <v>4</v>
      </c>
      <c r="E62" s="64">
        <v>4</v>
      </c>
      <c r="F62" s="64">
        <v>4</v>
      </c>
      <c r="G62" s="64">
        <v>4</v>
      </c>
      <c r="H62" s="64">
        <v>4</v>
      </c>
      <c r="I62" s="64">
        <v>4</v>
      </c>
      <c r="J62" s="64">
        <v>4</v>
      </c>
      <c r="K62" s="64">
        <v>4</v>
      </c>
      <c r="L62" s="64">
        <v>4</v>
      </c>
      <c r="M62" s="64">
        <v>4</v>
      </c>
      <c r="N62" s="64">
        <v>4</v>
      </c>
      <c r="O62" s="64">
        <v>4</v>
      </c>
      <c r="P62" s="64">
        <v>4</v>
      </c>
      <c r="Q62" s="64">
        <v>4</v>
      </c>
      <c r="R62" s="64">
        <v>4</v>
      </c>
      <c r="S62" s="64">
        <v>4</v>
      </c>
      <c r="T62" s="64">
        <v>4</v>
      </c>
      <c r="U62" s="64">
        <v>4</v>
      </c>
      <c r="V62" s="64">
        <v>4</v>
      </c>
      <c r="W62" s="64">
        <v>4</v>
      </c>
      <c r="X62" s="64">
        <v>4</v>
      </c>
      <c r="Y62" s="64">
        <v>4</v>
      </c>
      <c r="Z62" s="64">
        <v>4</v>
      </c>
      <c r="AA62" s="64">
        <v>4</v>
      </c>
      <c r="AB62" s="64">
        <v>4</v>
      </c>
      <c r="AC62" s="64">
        <v>4</v>
      </c>
      <c r="AD62" s="64">
        <v>4</v>
      </c>
      <c r="AE62" s="64">
        <v>4</v>
      </c>
      <c r="AF62" s="64">
        <v>4</v>
      </c>
      <c r="AG62" s="54">
        <v>15</v>
      </c>
      <c r="AH62" s="47">
        <f t="shared" si="2"/>
        <v>4</v>
      </c>
      <c r="AI62" s="48">
        <f t="shared" si="3"/>
        <v>4</v>
      </c>
      <c r="AK62" s="74"/>
      <c r="AL62" s="69"/>
      <c r="AO62" s="69"/>
    </row>
    <row r="63" spans="1:41" s="69" customFormat="1" x14ac:dyDescent="0.25">
      <c r="A63" s="53" t="s">
        <v>79</v>
      </c>
      <c r="B63" s="64">
        <v>9</v>
      </c>
      <c r="C63" s="64">
        <v>9.1</v>
      </c>
      <c r="D63" s="64">
        <v>9.1</v>
      </c>
      <c r="E63" s="64">
        <v>9.1</v>
      </c>
      <c r="F63" s="64">
        <v>9.1</v>
      </c>
      <c r="G63" s="64">
        <v>9.1</v>
      </c>
      <c r="H63" s="64">
        <v>9.1</v>
      </c>
      <c r="I63" s="64">
        <v>9.1</v>
      </c>
      <c r="J63" s="64">
        <v>9.1</v>
      </c>
      <c r="K63" s="64">
        <v>9.1</v>
      </c>
      <c r="L63" s="64">
        <v>9.1</v>
      </c>
      <c r="M63" s="64">
        <v>9.1</v>
      </c>
      <c r="N63" s="64">
        <v>9.1</v>
      </c>
      <c r="O63" s="64">
        <v>9.1</v>
      </c>
      <c r="P63" s="64">
        <v>9.1</v>
      </c>
      <c r="Q63" s="64">
        <v>9.1</v>
      </c>
      <c r="R63" s="64">
        <v>9.1</v>
      </c>
      <c r="S63" s="64">
        <v>9.1</v>
      </c>
      <c r="T63" s="64">
        <v>9.1</v>
      </c>
      <c r="U63" s="64">
        <v>9.1</v>
      </c>
      <c r="V63" s="64">
        <v>9.1</v>
      </c>
      <c r="W63" s="64">
        <v>9.1</v>
      </c>
      <c r="X63" s="64">
        <v>9.1</v>
      </c>
      <c r="Y63" s="64">
        <v>9.1</v>
      </c>
      <c r="Z63" s="64">
        <v>9.1</v>
      </c>
      <c r="AA63" s="64">
        <v>10.199999999999999</v>
      </c>
      <c r="AB63" s="64">
        <v>10.199999999999999</v>
      </c>
      <c r="AC63" s="64">
        <v>10.199999999999999</v>
      </c>
      <c r="AD63" s="64">
        <v>10.199999999999999</v>
      </c>
      <c r="AE63" s="64">
        <v>10.199999999999999</v>
      </c>
      <c r="AF63" s="64">
        <v>10.199999999999999</v>
      </c>
      <c r="AG63" s="54">
        <v>14.1</v>
      </c>
      <c r="AH63" s="47">
        <f t="shared" si="2"/>
        <v>10.199999999999999</v>
      </c>
      <c r="AI63" s="48">
        <f t="shared" si="3"/>
        <v>9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>
        <v>13</v>
      </c>
      <c r="C64" s="64">
        <v>13.9</v>
      </c>
      <c r="D64" s="64">
        <v>14</v>
      </c>
      <c r="E64" s="64">
        <v>14</v>
      </c>
      <c r="F64" s="64">
        <v>14</v>
      </c>
      <c r="G64" s="64">
        <v>14</v>
      </c>
      <c r="H64" s="64">
        <v>7</v>
      </c>
      <c r="I64" s="64">
        <v>14</v>
      </c>
      <c r="J64" s="64">
        <v>14</v>
      </c>
      <c r="K64" s="64">
        <v>14</v>
      </c>
      <c r="L64" s="64">
        <v>14</v>
      </c>
      <c r="M64" s="64">
        <v>14</v>
      </c>
      <c r="N64" s="64">
        <v>14</v>
      </c>
      <c r="O64" s="64">
        <v>14</v>
      </c>
      <c r="P64" s="64">
        <v>14</v>
      </c>
      <c r="Q64" s="64">
        <v>14</v>
      </c>
      <c r="R64" s="64">
        <v>14</v>
      </c>
      <c r="S64" s="64">
        <v>14</v>
      </c>
      <c r="T64" s="64">
        <v>14</v>
      </c>
      <c r="U64" s="64">
        <v>13.8</v>
      </c>
      <c r="V64" s="64">
        <v>13.8</v>
      </c>
      <c r="W64" s="64">
        <v>13.8</v>
      </c>
      <c r="X64" s="64">
        <v>13.8</v>
      </c>
      <c r="Y64" s="64">
        <v>13.8</v>
      </c>
      <c r="Z64" s="64">
        <v>13.8</v>
      </c>
      <c r="AA64" s="64">
        <v>13.8</v>
      </c>
      <c r="AB64" s="64">
        <v>13.8</v>
      </c>
      <c r="AC64" s="64">
        <v>13.8</v>
      </c>
      <c r="AD64" s="64">
        <v>13.8</v>
      </c>
      <c r="AE64" s="64">
        <v>13.8</v>
      </c>
      <c r="AF64" s="64">
        <v>13.8</v>
      </c>
      <c r="AG64" s="54">
        <v>14</v>
      </c>
      <c r="AH64" s="47">
        <f t="shared" si="2"/>
        <v>14</v>
      </c>
      <c r="AI64" s="48">
        <f t="shared" si="3"/>
        <v>7</v>
      </c>
      <c r="AK64" s="74"/>
    </row>
    <row r="65" spans="1:40" x14ac:dyDescent="0.25">
      <c r="A65" s="53" t="s">
        <v>81</v>
      </c>
      <c r="B65" s="64">
        <v>9.3000000000000007</v>
      </c>
      <c r="C65" s="64">
        <v>9.3000000000000007</v>
      </c>
      <c r="D65" s="64">
        <v>9.3000000000000007</v>
      </c>
      <c r="E65" s="64">
        <v>9.3000000000000007</v>
      </c>
      <c r="F65" s="64">
        <v>9.3000000000000007</v>
      </c>
      <c r="G65" s="64">
        <v>9.3000000000000007</v>
      </c>
      <c r="H65" s="64">
        <v>9.3000000000000007</v>
      </c>
      <c r="I65" s="64">
        <v>9.3000000000000007</v>
      </c>
      <c r="J65" s="64">
        <v>9.3000000000000007</v>
      </c>
      <c r="K65" s="64">
        <v>9.3000000000000007</v>
      </c>
      <c r="L65" s="64">
        <v>9.3000000000000007</v>
      </c>
      <c r="M65" s="64">
        <v>9.3000000000000007</v>
      </c>
      <c r="N65" s="64">
        <v>9.3000000000000007</v>
      </c>
      <c r="O65" s="64">
        <v>9.3000000000000007</v>
      </c>
      <c r="P65" s="64">
        <v>9.3000000000000007</v>
      </c>
      <c r="Q65" s="64">
        <v>9.3000000000000007</v>
      </c>
      <c r="R65" s="64">
        <v>9.3000000000000007</v>
      </c>
      <c r="S65" s="64">
        <v>9.3000000000000007</v>
      </c>
      <c r="T65" s="64">
        <v>9.3000000000000007</v>
      </c>
      <c r="U65" s="64">
        <v>9.3000000000000007</v>
      </c>
      <c r="V65" s="64">
        <v>9.3000000000000007</v>
      </c>
      <c r="W65" s="64">
        <v>9.3000000000000007</v>
      </c>
      <c r="X65" s="64">
        <v>9.3000000000000007</v>
      </c>
      <c r="Y65" s="64">
        <v>9.3000000000000007</v>
      </c>
      <c r="Z65" s="64">
        <v>9.3000000000000007</v>
      </c>
      <c r="AA65" s="64">
        <v>9.3000000000000007</v>
      </c>
      <c r="AB65" s="64">
        <v>9.3000000000000007</v>
      </c>
      <c r="AC65" s="64">
        <v>9.3000000000000007</v>
      </c>
      <c r="AD65" s="64">
        <v>9.3000000000000007</v>
      </c>
      <c r="AE65" s="64">
        <v>9.3000000000000007</v>
      </c>
      <c r="AF65" s="64">
        <v>9.3000000000000007</v>
      </c>
      <c r="AG65" s="54">
        <v>10.050000000000001</v>
      </c>
      <c r="AH65" s="47">
        <f t="shared" si="2"/>
        <v>9.3000000000000007</v>
      </c>
      <c r="AI65" s="48">
        <f t="shared" si="3"/>
        <v>9.3000000000000007</v>
      </c>
      <c r="AK65" s="74"/>
    </row>
    <row r="66" spans="1:40" x14ac:dyDescent="0.25">
      <c r="A66" s="53" t="s">
        <v>82</v>
      </c>
      <c r="B66" s="64">
        <v>6.2</v>
      </c>
      <c r="C66" s="64">
        <v>6.2</v>
      </c>
      <c r="D66" s="64">
        <v>6.2</v>
      </c>
      <c r="E66" s="64">
        <v>6.2</v>
      </c>
      <c r="F66" s="64">
        <v>6.2</v>
      </c>
      <c r="G66" s="64">
        <v>6.2</v>
      </c>
      <c r="H66" s="64">
        <v>6.2</v>
      </c>
      <c r="I66" s="64">
        <v>6.2</v>
      </c>
      <c r="J66" s="64">
        <v>6.2</v>
      </c>
      <c r="K66" s="64">
        <v>6.2</v>
      </c>
      <c r="L66" s="64">
        <v>6.2</v>
      </c>
      <c r="M66" s="64">
        <v>6.2</v>
      </c>
      <c r="N66" s="64">
        <v>6.2</v>
      </c>
      <c r="O66" s="64">
        <v>6.2</v>
      </c>
      <c r="P66" s="64">
        <v>6.2</v>
      </c>
      <c r="Q66" s="64">
        <v>6.2</v>
      </c>
      <c r="R66" s="64">
        <v>6.2</v>
      </c>
      <c r="S66" s="64">
        <v>6.2</v>
      </c>
      <c r="T66" s="64">
        <v>6.2</v>
      </c>
      <c r="U66" s="64">
        <v>6.2</v>
      </c>
      <c r="V66" s="64">
        <v>6.2</v>
      </c>
      <c r="W66" s="64">
        <v>6.2</v>
      </c>
      <c r="X66" s="64">
        <v>6.2</v>
      </c>
      <c r="Y66" s="64">
        <v>6.2</v>
      </c>
      <c r="Z66" s="64">
        <v>6.2</v>
      </c>
      <c r="AA66" s="64">
        <v>6.2</v>
      </c>
      <c r="AB66" s="64">
        <v>6.2</v>
      </c>
      <c r="AC66" s="64">
        <v>6.2</v>
      </c>
      <c r="AD66" s="64">
        <v>6.2</v>
      </c>
      <c r="AE66" s="64">
        <v>6.2</v>
      </c>
      <c r="AF66" s="64">
        <v>6.2</v>
      </c>
      <c r="AG66" s="54">
        <v>6.2</v>
      </c>
      <c r="AH66" s="47">
        <f t="shared" si="2"/>
        <v>6.2</v>
      </c>
      <c r="AI66" s="48">
        <f t="shared" si="3"/>
        <v>6.2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C68" si="13">SUM(B55:B67)</f>
        <v>403.14000000000004</v>
      </c>
      <c r="C68" s="59">
        <f t="shared" si="13"/>
        <v>403.64000000000004</v>
      </c>
      <c r="D68" s="59">
        <f t="shared" ref="D68" si="14">SUM(D55:D67)</f>
        <v>403.74000000000007</v>
      </c>
      <c r="E68" s="59">
        <f t="shared" ref="E68:AG68" si="15">SUM(E55:E67)</f>
        <v>403.74000000000007</v>
      </c>
      <c r="F68" s="59">
        <f t="shared" si="15"/>
        <v>403.74000000000007</v>
      </c>
      <c r="G68" s="59">
        <f t="shared" si="15"/>
        <v>403.74000000000007</v>
      </c>
      <c r="H68" s="59">
        <f t="shared" si="15"/>
        <v>396.74000000000007</v>
      </c>
      <c r="I68" s="59">
        <f t="shared" si="15"/>
        <v>404.24000000000007</v>
      </c>
      <c r="J68" s="59">
        <f t="shared" si="15"/>
        <v>404.24000000000007</v>
      </c>
      <c r="K68" s="59">
        <f t="shared" si="15"/>
        <v>377.04000000000008</v>
      </c>
      <c r="L68" s="59">
        <f t="shared" si="15"/>
        <v>377.34000000000009</v>
      </c>
      <c r="M68" s="59">
        <f t="shared" si="15"/>
        <v>358.14000000000004</v>
      </c>
      <c r="N68" s="59">
        <f t="shared" si="15"/>
        <v>378.14000000000004</v>
      </c>
      <c r="O68" s="59">
        <f t="shared" si="15"/>
        <v>408.14000000000004</v>
      </c>
      <c r="P68" s="59">
        <f t="shared" si="15"/>
        <v>413.34000000000003</v>
      </c>
      <c r="Q68" s="59">
        <f t="shared" si="15"/>
        <v>411.34000000000003</v>
      </c>
      <c r="R68" s="59">
        <f t="shared" si="15"/>
        <v>412.34000000000003</v>
      </c>
      <c r="S68" s="59">
        <f t="shared" si="15"/>
        <v>411.44000000000005</v>
      </c>
      <c r="T68" s="59">
        <f t="shared" si="15"/>
        <v>370.84000000000003</v>
      </c>
      <c r="U68" s="59">
        <f t="shared" ref="U68:V68" si="16">SUM(U55:U67)</f>
        <v>406.84000000000003</v>
      </c>
      <c r="V68" s="59">
        <f t="shared" si="16"/>
        <v>405.24000000000007</v>
      </c>
      <c r="W68" s="59">
        <f t="shared" si="15"/>
        <v>405.24000000000007</v>
      </c>
      <c r="X68" s="59">
        <f t="shared" si="15"/>
        <v>405.24000000000007</v>
      </c>
      <c r="Y68" s="59">
        <f t="shared" si="15"/>
        <v>405.24000000000007</v>
      </c>
      <c r="Z68" s="59">
        <f t="shared" si="15"/>
        <v>405.24000000000007</v>
      </c>
      <c r="AA68" s="59">
        <v>423.44</v>
      </c>
      <c r="AB68" s="59">
        <f t="shared" si="15"/>
        <v>427.74</v>
      </c>
      <c r="AC68" s="59">
        <f t="shared" si="15"/>
        <v>427.74</v>
      </c>
      <c r="AD68" s="59">
        <f t="shared" si="15"/>
        <v>419.54</v>
      </c>
      <c r="AE68" s="59">
        <f t="shared" si="15"/>
        <v>419.54</v>
      </c>
      <c r="AF68" s="59">
        <f t="shared" si="15"/>
        <v>420.24</v>
      </c>
      <c r="AG68" s="60">
        <f t="shared" si="15"/>
        <v>489.91</v>
      </c>
      <c r="AH68" s="47">
        <f t="shared" si="2"/>
        <v>427.74</v>
      </c>
      <c r="AI68" s="48">
        <f t="shared" si="3"/>
        <v>358.14000000000004</v>
      </c>
      <c r="AK68" s="74"/>
    </row>
    <row r="69" spans="1:40" x14ac:dyDescent="0.25">
      <c r="A69" s="44" t="s">
        <v>85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25</v>
      </c>
      <c r="P69" s="45">
        <v>30</v>
      </c>
      <c r="Q69" s="45">
        <v>30</v>
      </c>
      <c r="R69" s="45">
        <v>10</v>
      </c>
      <c r="S69" s="45">
        <v>10</v>
      </c>
      <c r="T69" s="45">
        <v>29.4</v>
      </c>
      <c r="U69" s="45">
        <v>19.600000000000001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29.6</v>
      </c>
      <c r="AB69" s="45">
        <v>14.3</v>
      </c>
      <c r="AC69" s="45">
        <v>14.3</v>
      </c>
      <c r="AD69" s="45">
        <v>20.3</v>
      </c>
      <c r="AE69" s="45">
        <v>14</v>
      </c>
      <c r="AF69" s="45">
        <v>0</v>
      </c>
      <c r="AG69" s="51">
        <v>60</v>
      </c>
      <c r="AH69" s="47">
        <f t="shared" si="2"/>
        <v>30</v>
      </c>
      <c r="AI69" s="48">
        <f t="shared" si="3"/>
        <v>0</v>
      </c>
      <c r="AK69" s="74"/>
    </row>
    <row r="70" spans="1:40" x14ac:dyDescent="0.25">
      <c r="A70" s="53" t="s">
        <v>86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4.7</v>
      </c>
      <c r="M70" s="64">
        <v>0</v>
      </c>
      <c r="N70" s="64">
        <v>0</v>
      </c>
      <c r="O70" s="64">
        <v>12</v>
      </c>
      <c r="P70" s="64">
        <v>16.2</v>
      </c>
      <c r="Q70" s="64">
        <v>16.2</v>
      </c>
      <c r="R70" s="64">
        <v>7.3</v>
      </c>
      <c r="S70" s="64">
        <v>6</v>
      </c>
      <c r="T70" s="64">
        <v>5.8</v>
      </c>
      <c r="U70" s="64">
        <v>10.7</v>
      </c>
      <c r="V70" s="64">
        <v>0</v>
      </c>
      <c r="W70" s="64">
        <v>0</v>
      </c>
      <c r="X70" s="64">
        <v>0</v>
      </c>
      <c r="Y70" s="64">
        <v>0</v>
      </c>
      <c r="Z70" s="64">
        <v>0</v>
      </c>
      <c r="AA70" s="64">
        <v>6.9</v>
      </c>
      <c r="AB70" s="64">
        <v>7.6</v>
      </c>
      <c r="AC70" s="64">
        <v>7.6</v>
      </c>
      <c r="AD70" s="64">
        <v>15.3</v>
      </c>
      <c r="AE70" s="64">
        <v>6.7</v>
      </c>
      <c r="AF70" s="64">
        <v>0</v>
      </c>
      <c r="AG70" s="54">
        <v>32</v>
      </c>
      <c r="AH70" s="47">
        <f t="shared" si="2"/>
        <v>16.2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66">
        <v>0</v>
      </c>
      <c r="C71" s="66">
        <v>0</v>
      </c>
      <c r="D71" s="66">
        <v>0</v>
      </c>
      <c r="E71" s="66">
        <v>0</v>
      </c>
      <c r="F71" s="66">
        <v>0</v>
      </c>
      <c r="G71" s="66">
        <v>0</v>
      </c>
      <c r="H71" s="66">
        <v>0</v>
      </c>
      <c r="I71" s="66">
        <v>0</v>
      </c>
      <c r="J71" s="66">
        <v>0</v>
      </c>
      <c r="K71" s="66">
        <v>0</v>
      </c>
      <c r="L71" s="66">
        <v>1.7</v>
      </c>
      <c r="M71" s="66">
        <v>0</v>
      </c>
      <c r="N71" s="66">
        <v>0</v>
      </c>
      <c r="O71" s="66">
        <v>4.5999999999999996</v>
      </c>
      <c r="P71" s="66">
        <v>4.5999999999999996</v>
      </c>
      <c r="Q71" s="66">
        <v>4.5999999999999996</v>
      </c>
      <c r="R71" s="66">
        <v>2.7</v>
      </c>
      <c r="S71" s="66">
        <v>2.2000000000000002</v>
      </c>
      <c r="T71" s="66">
        <v>2.1</v>
      </c>
      <c r="U71" s="66">
        <v>3.9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2.5</v>
      </c>
      <c r="AB71" s="66">
        <v>2.8</v>
      </c>
      <c r="AC71" s="66">
        <v>2.8</v>
      </c>
      <c r="AD71" s="66">
        <v>5.6</v>
      </c>
      <c r="AE71" s="66">
        <v>2.5</v>
      </c>
      <c r="AF71" s="66">
        <v>0</v>
      </c>
      <c r="AG71" s="67">
        <v>14</v>
      </c>
      <c r="AH71" s="47">
        <f t="shared" si="2"/>
        <v>5.6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 t="shared" ref="B72:C72" si="17">B69+B70+B71</f>
        <v>0</v>
      </c>
      <c r="C72" s="59">
        <f t="shared" si="17"/>
        <v>0</v>
      </c>
      <c r="D72" s="59">
        <f t="shared" ref="D72" si="18">D69+D70+D71</f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6.4</v>
      </c>
      <c r="M72" s="59">
        <f t="shared" ref="M72:AF72" si="19">M69+M70+M71</f>
        <v>0</v>
      </c>
      <c r="N72" s="59">
        <f t="shared" si="19"/>
        <v>0</v>
      </c>
      <c r="O72" s="59">
        <f t="shared" si="19"/>
        <v>41.6</v>
      </c>
      <c r="P72" s="59">
        <f t="shared" si="19"/>
        <v>50.800000000000004</v>
      </c>
      <c r="Q72" s="59">
        <f t="shared" si="19"/>
        <v>50.800000000000004</v>
      </c>
      <c r="R72" s="59">
        <f t="shared" si="19"/>
        <v>20</v>
      </c>
      <c r="S72" s="59">
        <f t="shared" si="19"/>
        <v>18.2</v>
      </c>
      <c r="T72" s="59">
        <f t="shared" si="19"/>
        <v>37.299999999999997</v>
      </c>
      <c r="U72" s="59">
        <f t="shared" ref="U72" si="20">U69+U70+U71</f>
        <v>34.200000000000003</v>
      </c>
      <c r="V72" s="59">
        <f t="shared" si="19"/>
        <v>0</v>
      </c>
      <c r="W72" s="59">
        <f t="shared" si="19"/>
        <v>0</v>
      </c>
      <c r="X72" s="59">
        <f t="shared" si="19"/>
        <v>0</v>
      </c>
      <c r="Y72" s="59">
        <f t="shared" si="19"/>
        <v>0</v>
      </c>
      <c r="Z72" s="59">
        <f t="shared" si="19"/>
        <v>0</v>
      </c>
      <c r="AA72" s="59">
        <v>0</v>
      </c>
      <c r="AB72" s="59">
        <f t="shared" si="19"/>
        <v>24.7</v>
      </c>
      <c r="AC72" s="59">
        <f t="shared" si="19"/>
        <v>24.7</v>
      </c>
      <c r="AD72" s="59">
        <f t="shared" si="19"/>
        <v>41.2</v>
      </c>
      <c r="AE72" s="59">
        <f t="shared" si="19"/>
        <v>23.2</v>
      </c>
      <c r="AF72" s="59">
        <f t="shared" si="19"/>
        <v>0</v>
      </c>
      <c r="AG72" s="60">
        <f>SUM(AG69:AG71)</f>
        <v>106</v>
      </c>
      <c r="AH72" s="47">
        <f t="shared" si="2"/>
        <v>50.800000000000004</v>
      </c>
      <c r="AI72" s="48">
        <f t="shared" si="3"/>
        <v>0</v>
      </c>
      <c r="AK72" s="74"/>
    </row>
    <row r="73" spans="1:40" x14ac:dyDescent="0.25">
      <c r="A73" s="44" t="s">
        <v>89</v>
      </c>
      <c r="B73" s="45">
        <v>14.7</v>
      </c>
      <c r="C73" s="45">
        <v>17.5</v>
      </c>
      <c r="D73" s="45">
        <v>19.7</v>
      </c>
      <c r="E73" s="45">
        <v>18.899999999999999</v>
      </c>
      <c r="F73" s="45">
        <v>8.9</v>
      </c>
      <c r="G73" s="45">
        <v>6.4</v>
      </c>
      <c r="H73" s="45">
        <v>1</v>
      </c>
      <c r="I73" s="45">
        <v>-5</v>
      </c>
      <c r="J73" s="45">
        <v>3</v>
      </c>
      <c r="K73" s="45">
        <v>27</v>
      </c>
      <c r="L73" s="45">
        <v>25.5</v>
      </c>
      <c r="M73" s="45">
        <v>26.5</v>
      </c>
      <c r="N73" s="45">
        <v>26.5</v>
      </c>
      <c r="O73" s="45">
        <v>6</v>
      </c>
      <c r="P73" s="45">
        <v>15.4</v>
      </c>
      <c r="Q73" s="45">
        <v>-5</v>
      </c>
      <c r="R73" s="45">
        <v>12</v>
      </c>
      <c r="S73" s="45">
        <v>1.1000000000000001</v>
      </c>
      <c r="T73" s="45">
        <v>9.9</v>
      </c>
      <c r="U73" s="45">
        <v>11.9</v>
      </c>
      <c r="V73" s="45">
        <v>8.6</v>
      </c>
      <c r="W73" s="45">
        <v>8.6</v>
      </c>
      <c r="X73" s="45">
        <v>8.6</v>
      </c>
      <c r="Y73" s="45">
        <v>8.6</v>
      </c>
      <c r="Z73" s="45">
        <v>8.6</v>
      </c>
      <c r="AA73" s="45">
        <v>19.7</v>
      </c>
      <c r="AB73" s="45">
        <v>28.9</v>
      </c>
      <c r="AC73" s="45">
        <v>27.2</v>
      </c>
      <c r="AD73" s="45">
        <v>36.6</v>
      </c>
      <c r="AE73" s="45">
        <v>45.5</v>
      </c>
      <c r="AF73" s="45">
        <v>-6</v>
      </c>
      <c r="AG73" s="51"/>
      <c r="AH73" s="47">
        <f t="shared" si="2"/>
        <v>45.5</v>
      </c>
      <c r="AI73" s="48">
        <f t="shared" si="3"/>
        <v>-6</v>
      </c>
      <c r="AK73" s="74"/>
    </row>
    <row r="74" spans="1:40" x14ac:dyDescent="0.25">
      <c r="A74" s="53" t="s">
        <v>90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>
        <v>-375</v>
      </c>
      <c r="C75" s="64">
        <v>-412</v>
      </c>
      <c r="D75" s="64">
        <v>-416</v>
      </c>
      <c r="E75" s="64">
        <v>-428</v>
      </c>
      <c r="F75" s="64">
        <v>-421</v>
      </c>
      <c r="G75" s="64">
        <v>-433</v>
      </c>
      <c r="H75" s="64">
        <v>-458</v>
      </c>
      <c r="I75" s="64">
        <v>-452</v>
      </c>
      <c r="J75" s="64">
        <v>-457</v>
      </c>
      <c r="K75" s="64">
        <v>-464</v>
      </c>
      <c r="L75" s="64">
        <v>-440</v>
      </c>
      <c r="M75" s="64">
        <v>-447</v>
      </c>
      <c r="N75" s="64">
        <v>-398</v>
      </c>
      <c r="O75" s="64">
        <v>-378</v>
      </c>
      <c r="P75" s="64">
        <v>-390.9</v>
      </c>
      <c r="Q75" s="64">
        <v>-390.9</v>
      </c>
      <c r="R75" s="64">
        <v>-361</v>
      </c>
      <c r="S75" s="64">
        <v>-407</v>
      </c>
      <c r="T75" s="64">
        <v>-420.2</v>
      </c>
      <c r="U75" s="64">
        <v>-398.5</v>
      </c>
      <c r="V75" s="64">
        <v>-458.7</v>
      </c>
      <c r="W75" s="64">
        <v>-469</v>
      </c>
      <c r="X75" s="64">
        <v>-475</v>
      </c>
      <c r="Y75" s="64">
        <v>-460</v>
      </c>
      <c r="Z75" s="64">
        <v>-390</v>
      </c>
      <c r="AA75" s="64">
        <v>-348</v>
      </c>
      <c r="AB75" s="64">
        <v>-348</v>
      </c>
      <c r="AC75" s="64">
        <v>-352</v>
      </c>
      <c r="AD75" s="64">
        <v>-348</v>
      </c>
      <c r="AE75" s="64">
        <v>-351</v>
      </c>
      <c r="AF75" s="64">
        <v>-313</v>
      </c>
      <c r="AG75" s="75"/>
      <c r="AH75" s="47">
        <f t="shared" si="2"/>
        <v>-313</v>
      </c>
      <c r="AI75" s="48">
        <f t="shared" si="3"/>
        <v>-475</v>
      </c>
      <c r="AK75" s="74"/>
    </row>
    <row r="76" spans="1:40" x14ac:dyDescent="0.25">
      <c r="A76" s="53" t="s">
        <v>92</v>
      </c>
      <c r="B76" s="76">
        <v>0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75"/>
      <c r="AH76" s="47">
        <f t="shared" si="2"/>
        <v>0</v>
      </c>
      <c r="AI76" s="48">
        <f t="shared" si="3"/>
        <v>0</v>
      </c>
      <c r="AK76" s="74"/>
    </row>
    <row r="77" spans="1:40" x14ac:dyDescent="0.25">
      <c r="A77" s="53" t="s">
        <v>93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75"/>
      <c r="AH77" s="47">
        <f t="shared" ref="AH77:AH120" si="21">MAX(B77:AF77)</f>
        <v>0</v>
      </c>
      <c r="AI77" s="48">
        <f t="shared" ref="AI77:AI120" si="22">MIN(B77:AF77)</f>
        <v>0</v>
      </c>
      <c r="AK77" s="74"/>
    </row>
    <row r="78" spans="1:40" x14ac:dyDescent="0.25">
      <c r="A78" s="53" t="s">
        <v>94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  <c r="V78" s="77">
        <v>0</v>
      </c>
      <c r="W78" s="77">
        <v>0</v>
      </c>
      <c r="X78" s="77">
        <v>0</v>
      </c>
      <c r="Y78" s="77">
        <v>0</v>
      </c>
      <c r="Z78" s="77">
        <v>0</v>
      </c>
      <c r="AA78" s="77">
        <v>0</v>
      </c>
      <c r="AB78" s="77">
        <v>0</v>
      </c>
      <c r="AC78" s="77">
        <v>0</v>
      </c>
      <c r="AD78" s="77">
        <v>0</v>
      </c>
      <c r="AE78" s="77">
        <v>0</v>
      </c>
      <c r="AF78" s="77">
        <v>0</v>
      </c>
      <c r="AG78" s="75"/>
      <c r="AH78" s="47">
        <f t="shared" si="21"/>
        <v>0</v>
      </c>
      <c r="AI78" s="48">
        <f t="shared" si="22"/>
        <v>0</v>
      </c>
      <c r="AK78" s="74"/>
    </row>
    <row r="79" spans="1:40" ht="15.75" thickBot="1" x14ac:dyDescent="0.3">
      <c r="A79" s="53" t="s">
        <v>95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/>
      <c r="AH79" s="47">
        <f t="shared" si="21"/>
        <v>0</v>
      </c>
      <c r="AI79" s="48">
        <f t="shared" si="22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/>
      <c r="AH80" s="47">
        <f t="shared" si="21"/>
        <v>0</v>
      </c>
      <c r="AI80" s="48">
        <f t="shared" si="22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  <c r="Q81" s="77">
        <v>0</v>
      </c>
      <c r="R81" s="77">
        <v>0</v>
      </c>
      <c r="S81" s="77">
        <v>0</v>
      </c>
      <c r="T81" s="77">
        <v>0</v>
      </c>
      <c r="U81" s="77">
        <v>0</v>
      </c>
      <c r="V81" s="77">
        <v>0</v>
      </c>
      <c r="W81" s="77">
        <v>0</v>
      </c>
      <c r="X81" s="77">
        <v>0</v>
      </c>
      <c r="Y81" s="77">
        <v>0</v>
      </c>
      <c r="Z81" s="77">
        <v>0</v>
      </c>
      <c r="AA81" s="77">
        <v>0</v>
      </c>
      <c r="AB81" s="77">
        <v>0</v>
      </c>
      <c r="AC81" s="77">
        <v>0</v>
      </c>
      <c r="AD81" s="77">
        <v>0</v>
      </c>
      <c r="AE81" s="77">
        <v>0</v>
      </c>
      <c r="AF81" s="77">
        <v>0</v>
      </c>
      <c r="AG81" s="75"/>
      <c r="AH81" s="47">
        <f t="shared" si="21"/>
        <v>0</v>
      </c>
      <c r="AI81" s="48">
        <f t="shared" si="22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77">
        <v>0</v>
      </c>
      <c r="C82" s="77">
        <v>0</v>
      </c>
      <c r="D82" s="77">
        <v>0</v>
      </c>
      <c r="E82" s="77">
        <v>0</v>
      </c>
      <c r="F82" s="77">
        <v>0</v>
      </c>
      <c r="G82" s="77">
        <v>0</v>
      </c>
      <c r="H82" s="77">
        <v>0</v>
      </c>
      <c r="I82" s="77">
        <v>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0</v>
      </c>
      <c r="R82" s="77">
        <v>0</v>
      </c>
      <c r="S82" s="77">
        <v>0</v>
      </c>
      <c r="T82" s="77">
        <v>0</v>
      </c>
      <c r="U82" s="77">
        <v>0</v>
      </c>
      <c r="V82" s="77">
        <v>0</v>
      </c>
      <c r="W82" s="77">
        <v>0</v>
      </c>
      <c r="X82" s="77">
        <v>0</v>
      </c>
      <c r="Y82" s="77">
        <v>0</v>
      </c>
      <c r="Z82" s="77">
        <v>0</v>
      </c>
      <c r="AA82" s="77">
        <v>0</v>
      </c>
      <c r="AB82" s="77">
        <v>0</v>
      </c>
      <c r="AC82" s="77">
        <v>0</v>
      </c>
      <c r="AD82" s="77">
        <v>0</v>
      </c>
      <c r="AE82" s="77">
        <v>0</v>
      </c>
      <c r="AF82" s="77">
        <v>0</v>
      </c>
      <c r="AG82" s="85"/>
      <c r="AH82" s="47">
        <f t="shared" si="21"/>
        <v>0</v>
      </c>
      <c r="AI82" s="48">
        <f t="shared" si="22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77">
        <v>0</v>
      </c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  <c r="Z83" s="77">
        <v>0</v>
      </c>
      <c r="AA83" s="77">
        <v>0</v>
      </c>
      <c r="AB83" s="77">
        <v>0</v>
      </c>
      <c r="AC83" s="77">
        <v>0</v>
      </c>
      <c r="AD83" s="77">
        <v>0</v>
      </c>
      <c r="AE83" s="77">
        <v>0</v>
      </c>
      <c r="AF83" s="77">
        <v>0</v>
      </c>
      <c r="AG83" s="85"/>
      <c r="AH83" s="47">
        <f t="shared" si="21"/>
        <v>0</v>
      </c>
      <c r="AI83" s="48">
        <f t="shared" si="22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C84" si="23">SUMIF(B73:B83,"&gt;0")</f>
        <v>14.7</v>
      </c>
      <c r="C84" s="59">
        <f t="shared" si="23"/>
        <v>17.5</v>
      </c>
      <c r="D84" s="59">
        <f t="shared" ref="D84" si="24">SUMIF(D73:D83,"&gt;0")</f>
        <v>19.7</v>
      </c>
      <c r="E84" s="59">
        <f t="shared" ref="E84:AF84" si="25">SUMIF(E73:E83,"&gt;0")</f>
        <v>18.899999999999999</v>
      </c>
      <c r="F84" s="59">
        <f t="shared" si="25"/>
        <v>8.9</v>
      </c>
      <c r="G84" s="59">
        <f t="shared" si="25"/>
        <v>6.4</v>
      </c>
      <c r="H84" s="59">
        <f t="shared" si="25"/>
        <v>1</v>
      </c>
      <c r="I84" s="59">
        <f t="shared" si="25"/>
        <v>0</v>
      </c>
      <c r="J84" s="59">
        <f t="shared" si="25"/>
        <v>3</v>
      </c>
      <c r="K84" s="59">
        <f t="shared" si="25"/>
        <v>27</v>
      </c>
      <c r="L84" s="59">
        <f t="shared" si="25"/>
        <v>25.5</v>
      </c>
      <c r="M84" s="59">
        <f t="shared" si="25"/>
        <v>26.5</v>
      </c>
      <c r="N84" s="59">
        <f t="shared" si="25"/>
        <v>26.5</v>
      </c>
      <c r="O84" s="59">
        <f t="shared" si="25"/>
        <v>6</v>
      </c>
      <c r="P84" s="59">
        <f t="shared" si="25"/>
        <v>15.4</v>
      </c>
      <c r="Q84" s="59">
        <f t="shared" si="25"/>
        <v>0</v>
      </c>
      <c r="R84" s="59">
        <f t="shared" si="25"/>
        <v>12</v>
      </c>
      <c r="S84" s="59">
        <f t="shared" si="25"/>
        <v>1.1000000000000001</v>
      </c>
      <c r="T84" s="59">
        <f t="shared" si="25"/>
        <v>9.9</v>
      </c>
      <c r="U84" s="59">
        <f t="shared" ref="U84" si="26">SUMIF(U73:U83,"&gt;0")</f>
        <v>11.9</v>
      </c>
      <c r="V84" s="59">
        <f t="shared" si="25"/>
        <v>8.6</v>
      </c>
      <c r="W84" s="59">
        <f t="shared" si="25"/>
        <v>8.6</v>
      </c>
      <c r="X84" s="59">
        <f t="shared" si="25"/>
        <v>8.6</v>
      </c>
      <c r="Y84" s="59">
        <f t="shared" si="25"/>
        <v>8.6</v>
      </c>
      <c r="Z84" s="59">
        <f t="shared" si="25"/>
        <v>8.6</v>
      </c>
      <c r="AA84" s="59">
        <v>19.7</v>
      </c>
      <c r="AB84" s="59">
        <f t="shared" si="25"/>
        <v>28.9</v>
      </c>
      <c r="AC84" s="59">
        <f t="shared" si="25"/>
        <v>27.2</v>
      </c>
      <c r="AD84" s="59">
        <f t="shared" si="25"/>
        <v>36.6</v>
      </c>
      <c r="AE84" s="59">
        <f t="shared" si="25"/>
        <v>45.5</v>
      </c>
      <c r="AF84" s="59">
        <f t="shared" si="25"/>
        <v>0</v>
      </c>
      <c r="AG84" s="88">
        <f>SUM(AG73:AG83)</f>
        <v>0</v>
      </c>
      <c r="AH84" s="47">
        <f t="shared" si="21"/>
        <v>45.5</v>
      </c>
      <c r="AI84" s="48">
        <f t="shared" si="22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21"/>
        <v>0</v>
      </c>
      <c r="AI85" s="48">
        <f t="shared" si="22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21"/>
        <v>0</v>
      </c>
      <c r="AI86" s="48">
        <f t="shared" si="22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21"/>
        <v>0</v>
      </c>
      <c r="AI87" s="48">
        <f t="shared" si="22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>
        <v>0</v>
      </c>
      <c r="AB88" s="59"/>
      <c r="AC88" s="59"/>
      <c r="AD88" s="59"/>
      <c r="AE88" s="59"/>
      <c r="AF88" s="59"/>
      <c r="AG88" s="88">
        <f>SUM(AG85:AG87)</f>
        <v>55.4</v>
      </c>
      <c r="AH88" s="47">
        <f t="shared" si="21"/>
        <v>0</v>
      </c>
      <c r="AI88" s="48">
        <f t="shared" si="22"/>
        <v>0</v>
      </c>
    </row>
    <row r="89" spans="1:40" ht="15.75" thickBot="1" x14ac:dyDescent="0.3">
      <c r="A89" s="73" t="s">
        <v>108</v>
      </c>
      <c r="B89" s="95">
        <f t="shared" ref="B89:C89" si="27">B50+B54+B72+B68+B84+B88</f>
        <v>1944.8400000000001</v>
      </c>
      <c r="C89" s="95">
        <f t="shared" si="27"/>
        <v>1947.94</v>
      </c>
      <c r="D89" s="95">
        <f t="shared" ref="D89" si="28">D50+D54+D72+D68+D84+D88</f>
        <v>1939.1399999999999</v>
      </c>
      <c r="E89" s="95">
        <f t="shared" ref="E89:AG89" si="29">E50+E54+E72+E68+E84+E88</f>
        <v>1933.44</v>
      </c>
      <c r="F89" s="95">
        <f t="shared" si="29"/>
        <v>1915.84</v>
      </c>
      <c r="G89" s="95">
        <f t="shared" si="29"/>
        <v>1933.34</v>
      </c>
      <c r="H89" s="95">
        <f t="shared" si="29"/>
        <v>1920.9399999999998</v>
      </c>
      <c r="I89" s="95">
        <f t="shared" si="29"/>
        <v>1927.4399999999998</v>
      </c>
      <c r="J89" s="95">
        <f t="shared" si="29"/>
        <v>1940.9399999999998</v>
      </c>
      <c r="K89" s="95">
        <f t="shared" si="29"/>
        <v>1937.7399999999998</v>
      </c>
      <c r="L89" s="95">
        <f t="shared" si="29"/>
        <v>1991.94</v>
      </c>
      <c r="M89" s="95">
        <f t="shared" si="29"/>
        <v>1972.34</v>
      </c>
      <c r="N89" s="95">
        <f t="shared" si="29"/>
        <v>1987.34</v>
      </c>
      <c r="O89" s="95">
        <f t="shared" si="29"/>
        <v>2059.4399999999996</v>
      </c>
      <c r="P89" s="95">
        <f t="shared" si="29"/>
        <v>2099.14</v>
      </c>
      <c r="Q89" s="95">
        <f t="shared" si="29"/>
        <v>2081.7399999999998</v>
      </c>
      <c r="R89" s="95">
        <f t="shared" si="29"/>
        <v>2063.54</v>
      </c>
      <c r="S89" s="95">
        <f t="shared" si="29"/>
        <v>2015.9399999999998</v>
      </c>
      <c r="T89" s="95">
        <f t="shared" si="29"/>
        <v>2003.04</v>
      </c>
      <c r="U89" s="95">
        <f t="shared" ref="U89" si="30">U50+U54+U72+U68+U84+U88</f>
        <v>2035.44</v>
      </c>
      <c r="V89" s="95">
        <f t="shared" si="29"/>
        <v>1982.2399999999998</v>
      </c>
      <c r="W89" s="95">
        <f t="shared" si="29"/>
        <v>1981.2399999999998</v>
      </c>
      <c r="X89" s="95">
        <f t="shared" si="29"/>
        <v>1981.2399999999998</v>
      </c>
      <c r="Y89" s="95">
        <f t="shared" si="29"/>
        <v>1981.2399999999998</v>
      </c>
      <c r="Z89" s="95">
        <f t="shared" si="29"/>
        <v>2026.34</v>
      </c>
      <c r="AA89" s="95">
        <v>2029.539</v>
      </c>
      <c r="AB89" s="95">
        <f t="shared" si="29"/>
        <v>2112.84</v>
      </c>
      <c r="AC89" s="95">
        <f t="shared" si="29"/>
        <v>2103.14</v>
      </c>
      <c r="AD89" s="95">
        <f t="shared" si="29"/>
        <v>2120.84</v>
      </c>
      <c r="AE89" s="95">
        <f t="shared" si="29"/>
        <v>2073.14</v>
      </c>
      <c r="AF89" s="95">
        <f t="shared" si="29"/>
        <v>2005.1399999999999</v>
      </c>
      <c r="AG89" s="60">
        <f t="shared" si="29"/>
        <v>2111.5500000000002</v>
      </c>
      <c r="AH89" s="47">
        <f t="shared" si="21"/>
        <v>2120.84</v>
      </c>
      <c r="AI89" s="48">
        <f t="shared" si="22"/>
        <v>1915.84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21"/>
        <v>0</v>
      </c>
      <c r="AI90" s="48">
        <f t="shared" si="22"/>
        <v>0</v>
      </c>
    </row>
    <row r="91" spans="1:40" ht="15.75" thickBot="1" x14ac:dyDescent="0.3">
      <c r="A91" s="73" t="s">
        <v>110</v>
      </c>
      <c r="B91" s="95">
        <f t="shared" ref="B91:C91" si="31">B89+B90</f>
        <v>1944.8400000000001</v>
      </c>
      <c r="C91" s="95">
        <f t="shared" si="31"/>
        <v>1947.94</v>
      </c>
      <c r="D91" s="95">
        <f t="shared" ref="D91" si="32">D89+D90</f>
        <v>1939.1399999999999</v>
      </c>
      <c r="E91" s="95">
        <f t="shared" ref="E91:AF91" si="33">E89+E90</f>
        <v>1933.44</v>
      </c>
      <c r="F91" s="95">
        <f t="shared" si="33"/>
        <v>1915.84</v>
      </c>
      <c r="G91" s="95">
        <f t="shared" si="33"/>
        <v>1933.34</v>
      </c>
      <c r="H91" s="95">
        <f t="shared" si="33"/>
        <v>1920.9399999999998</v>
      </c>
      <c r="I91" s="95">
        <f t="shared" si="33"/>
        <v>1927.4399999999998</v>
      </c>
      <c r="J91" s="95">
        <f t="shared" si="33"/>
        <v>1940.9399999999998</v>
      </c>
      <c r="K91" s="95">
        <f t="shared" si="33"/>
        <v>1937.7399999999998</v>
      </c>
      <c r="L91" s="95">
        <f t="shared" si="33"/>
        <v>1991.94</v>
      </c>
      <c r="M91" s="95">
        <f t="shared" si="33"/>
        <v>1972.34</v>
      </c>
      <c r="N91" s="95">
        <f t="shared" si="33"/>
        <v>1987.34</v>
      </c>
      <c r="O91" s="95">
        <f t="shared" si="33"/>
        <v>2059.4399999999996</v>
      </c>
      <c r="P91" s="95">
        <f t="shared" si="33"/>
        <v>2099.14</v>
      </c>
      <c r="Q91" s="95">
        <f t="shared" si="33"/>
        <v>2081.7399999999998</v>
      </c>
      <c r="R91" s="95">
        <f t="shared" si="33"/>
        <v>2063.54</v>
      </c>
      <c r="S91" s="95">
        <f t="shared" si="33"/>
        <v>2015.9399999999998</v>
      </c>
      <c r="T91" s="95">
        <f t="shared" si="33"/>
        <v>2003.04</v>
      </c>
      <c r="U91" s="95">
        <f t="shared" ref="U91" si="34">U89+U90</f>
        <v>2035.44</v>
      </c>
      <c r="V91" s="95">
        <f t="shared" si="33"/>
        <v>1982.2399999999998</v>
      </c>
      <c r="W91" s="95">
        <f t="shared" si="33"/>
        <v>1981.2399999999998</v>
      </c>
      <c r="X91" s="95">
        <f t="shared" si="33"/>
        <v>1981.2399999999998</v>
      </c>
      <c r="Y91" s="95">
        <f t="shared" si="33"/>
        <v>1981.2399999999998</v>
      </c>
      <c r="Z91" s="95">
        <f t="shared" si="33"/>
        <v>2026.34</v>
      </c>
      <c r="AA91" s="95">
        <v>2029.539</v>
      </c>
      <c r="AB91" s="95">
        <f t="shared" si="33"/>
        <v>2112.84</v>
      </c>
      <c r="AC91" s="95">
        <f t="shared" si="33"/>
        <v>2103.14</v>
      </c>
      <c r="AD91" s="95">
        <f t="shared" si="33"/>
        <v>2120.84</v>
      </c>
      <c r="AE91" s="95">
        <f t="shared" si="33"/>
        <v>2073.14</v>
      </c>
      <c r="AF91" s="95">
        <f t="shared" si="33"/>
        <v>2005.1399999999999</v>
      </c>
      <c r="AG91" s="88">
        <f>AG88+AG84+AG72+AG68+AG50+AG90</f>
        <v>1573.45</v>
      </c>
      <c r="AH91" s="47">
        <f t="shared" si="21"/>
        <v>2120.84</v>
      </c>
      <c r="AI91" s="48">
        <f t="shared" si="22"/>
        <v>1915.84</v>
      </c>
    </row>
    <row r="92" spans="1:40" ht="15.75" thickBot="1" x14ac:dyDescent="0.3">
      <c r="A92" s="73" t="s">
        <v>111</v>
      </c>
      <c r="B92" s="95">
        <f t="shared" ref="B92:C92" si="35">B91-B99</f>
        <v>1944.8400000000001</v>
      </c>
      <c r="C92" s="95">
        <f t="shared" si="35"/>
        <v>1947.94</v>
      </c>
      <c r="D92" s="95">
        <f t="shared" ref="D92" si="36">D91-D99</f>
        <v>1939.1399999999999</v>
      </c>
      <c r="E92" s="95">
        <f t="shared" ref="E92:AF92" si="37">E91-E99</f>
        <v>1933.44</v>
      </c>
      <c r="F92" s="95">
        <f t="shared" si="37"/>
        <v>1915.84</v>
      </c>
      <c r="G92" s="95">
        <f t="shared" si="37"/>
        <v>1933.34</v>
      </c>
      <c r="H92" s="95">
        <f t="shared" si="37"/>
        <v>1920.9399999999998</v>
      </c>
      <c r="I92" s="95">
        <f t="shared" si="37"/>
        <v>1927.4399999999998</v>
      </c>
      <c r="J92" s="95">
        <f t="shared" si="37"/>
        <v>1940.9399999999998</v>
      </c>
      <c r="K92" s="95">
        <f t="shared" si="37"/>
        <v>1937.7399999999998</v>
      </c>
      <c r="L92" s="95">
        <f t="shared" si="37"/>
        <v>1991.94</v>
      </c>
      <c r="M92" s="95">
        <f t="shared" si="37"/>
        <v>1972.34</v>
      </c>
      <c r="N92" s="95">
        <f t="shared" si="37"/>
        <v>1987.34</v>
      </c>
      <c r="O92" s="95">
        <f t="shared" si="37"/>
        <v>2059.4399999999996</v>
      </c>
      <c r="P92" s="95">
        <f t="shared" si="37"/>
        <v>2099.14</v>
      </c>
      <c r="Q92" s="95">
        <f t="shared" si="37"/>
        <v>2081.7399999999998</v>
      </c>
      <c r="R92" s="95">
        <f t="shared" si="37"/>
        <v>2063.54</v>
      </c>
      <c r="S92" s="95">
        <f t="shared" si="37"/>
        <v>2015.9399999999998</v>
      </c>
      <c r="T92" s="95">
        <f t="shared" si="37"/>
        <v>2003.04</v>
      </c>
      <c r="U92" s="95">
        <f t="shared" ref="U92" si="38">U91-U99</f>
        <v>2035.44</v>
      </c>
      <c r="V92" s="95">
        <f t="shared" si="37"/>
        <v>1982.2399999999998</v>
      </c>
      <c r="W92" s="95">
        <f t="shared" si="37"/>
        <v>1981.2399999999998</v>
      </c>
      <c r="X92" s="95">
        <f t="shared" si="37"/>
        <v>1981.2399999999998</v>
      </c>
      <c r="Y92" s="95">
        <f t="shared" si="37"/>
        <v>1981.2399999999998</v>
      </c>
      <c r="Z92" s="95">
        <f t="shared" si="37"/>
        <v>2026.34</v>
      </c>
      <c r="AA92" s="95">
        <v>2029.539</v>
      </c>
      <c r="AB92" s="95">
        <f t="shared" si="37"/>
        <v>2112.84</v>
      </c>
      <c r="AC92" s="95">
        <f t="shared" si="37"/>
        <v>2103.14</v>
      </c>
      <c r="AD92" s="95">
        <f t="shared" si="37"/>
        <v>2120.84</v>
      </c>
      <c r="AE92" s="95">
        <f t="shared" si="37"/>
        <v>2073.14</v>
      </c>
      <c r="AF92" s="95">
        <f t="shared" si="37"/>
        <v>2005.1399999999999</v>
      </c>
      <c r="AG92" s="88"/>
      <c r="AH92" s="47">
        <f t="shared" si="21"/>
        <v>2120.84</v>
      </c>
      <c r="AI92" s="48">
        <f t="shared" si="22"/>
        <v>1915.84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21"/>
        <v>0</v>
      </c>
      <c r="AI93" s="48">
        <f t="shared" si="22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21"/>
        <v>0</v>
      </c>
      <c r="AI94" s="48">
        <f t="shared" si="22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21"/>
        <v>0</v>
      </c>
      <c r="AI95" s="48">
        <f t="shared" si="22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21"/>
        <v>0</v>
      </c>
      <c r="AI96" s="48">
        <f t="shared" si="22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21"/>
        <v>0</v>
      </c>
      <c r="AI97" s="48">
        <f t="shared" si="22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21"/>
        <v>0</v>
      </c>
      <c r="AI98" s="48">
        <f t="shared" si="22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>
        <v>0</v>
      </c>
      <c r="AB99" s="59"/>
      <c r="AC99" s="59"/>
      <c r="AD99" s="59"/>
      <c r="AE99" s="59"/>
      <c r="AF99" s="59"/>
      <c r="AG99" s="88"/>
      <c r="AH99" s="47">
        <f t="shared" si="21"/>
        <v>0</v>
      </c>
      <c r="AI99" s="48">
        <f t="shared" si="22"/>
        <v>0</v>
      </c>
      <c r="AK99" s="74"/>
    </row>
    <row r="100" spans="1:37" ht="15.75" thickBot="1" x14ac:dyDescent="0.3">
      <c r="A100" s="73" t="s">
        <v>116</v>
      </c>
      <c r="B100" s="59">
        <f t="shared" ref="B100:C100" si="39">B84-B99</f>
        <v>14.7</v>
      </c>
      <c r="C100" s="59">
        <f t="shared" si="39"/>
        <v>17.5</v>
      </c>
      <c r="D100" s="59">
        <f t="shared" ref="D100" si="40">D84-D99</f>
        <v>19.7</v>
      </c>
      <c r="E100" s="59">
        <f t="shared" ref="E100:AF100" si="41">E84-E99</f>
        <v>18.899999999999999</v>
      </c>
      <c r="F100" s="59">
        <f t="shared" si="41"/>
        <v>8.9</v>
      </c>
      <c r="G100" s="59">
        <f t="shared" si="41"/>
        <v>6.4</v>
      </c>
      <c r="H100" s="59">
        <f t="shared" si="41"/>
        <v>1</v>
      </c>
      <c r="I100" s="59">
        <f t="shared" si="41"/>
        <v>0</v>
      </c>
      <c r="J100" s="59">
        <f t="shared" si="41"/>
        <v>3</v>
      </c>
      <c r="K100" s="59">
        <f t="shared" si="41"/>
        <v>27</v>
      </c>
      <c r="L100" s="59">
        <f t="shared" si="41"/>
        <v>25.5</v>
      </c>
      <c r="M100" s="59">
        <f t="shared" si="41"/>
        <v>26.5</v>
      </c>
      <c r="N100" s="59">
        <f t="shared" si="41"/>
        <v>26.5</v>
      </c>
      <c r="O100" s="59">
        <f t="shared" si="41"/>
        <v>6</v>
      </c>
      <c r="P100" s="59">
        <f t="shared" si="41"/>
        <v>15.4</v>
      </c>
      <c r="Q100" s="59">
        <f t="shared" si="41"/>
        <v>0</v>
      </c>
      <c r="R100" s="59">
        <f t="shared" si="41"/>
        <v>12</v>
      </c>
      <c r="S100" s="59">
        <f t="shared" si="41"/>
        <v>1.1000000000000001</v>
      </c>
      <c r="T100" s="59">
        <f t="shared" si="41"/>
        <v>9.9</v>
      </c>
      <c r="U100" s="59">
        <f t="shared" si="41"/>
        <v>11.9</v>
      </c>
      <c r="V100" s="59">
        <f t="shared" si="41"/>
        <v>8.6</v>
      </c>
      <c r="W100" s="59">
        <f t="shared" si="41"/>
        <v>8.6</v>
      </c>
      <c r="X100" s="59">
        <f t="shared" si="41"/>
        <v>8.6</v>
      </c>
      <c r="Y100" s="59">
        <f t="shared" ref="Y100:Z100" si="42">Y84-Y99</f>
        <v>8.6</v>
      </c>
      <c r="Z100" s="59">
        <f t="shared" si="42"/>
        <v>8.6</v>
      </c>
      <c r="AA100" s="59">
        <v>19.7</v>
      </c>
      <c r="AB100" s="59">
        <f t="shared" si="41"/>
        <v>28.9</v>
      </c>
      <c r="AC100" s="59">
        <f t="shared" si="41"/>
        <v>27.2</v>
      </c>
      <c r="AD100" s="59">
        <f t="shared" si="41"/>
        <v>36.6</v>
      </c>
      <c r="AE100" s="59">
        <f t="shared" si="41"/>
        <v>45.5</v>
      </c>
      <c r="AF100" s="59">
        <f t="shared" si="41"/>
        <v>0</v>
      </c>
      <c r="AG100" s="88"/>
      <c r="AH100" s="47">
        <f t="shared" si="21"/>
        <v>45.5</v>
      </c>
      <c r="AI100" s="48">
        <f t="shared" si="22"/>
        <v>0</v>
      </c>
    </row>
    <row r="101" spans="1:37" x14ac:dyDescent="0.25">
      <c r="A101" s="100" t="s">
        <v>117</v>
      </c>
      <c r="B101" s="101">
        <v>50</v>
      </c>
      <c r="C101" s="101">
        <v>50.03</v>
      </c>
      <c r="D101" s="101">
        <v>50.01</v>
      </c>
      <c r="E101" s="101">
        <v>49.968000000000004</v>
      </c>
      <c r="F101" s="101">
        <v>49.988999999999997</v>
      </c>
      <c r="G101" s="101">
        <v>49.975000000000001</v>
      </c>
      <c r="H101" s="101">
        <v>50.018999999999998</v>
      </c>
      <c r="I101" s="101">
        <v>49.99</v>
      </c>
      <c r="J101" s="101">
        <v>49.933999999999997</v>
      </c>
      <c r="K101" s="101">
        <v>50.014000000000003</v>
      </c>
      <c r="L101" s="101">
        <v>50.015000000000001</v>
      </c>
      <c r="M101" s="101">
        <v>50.006999999999998</v>
      </c>
      <c r="N101" s="101">
        <v>50.097000000000001</v>
      </c>
      <c r="O101" s="101">
        <v>50.097000000000001</v>
      </c>
      <c r="P101" s="101">
        <v>19.98</v>
      </c>
      <c r="Q101" s="101">
        <v>49.911999999999999</v>
      </c>
      <c r="R101" s="101">
        <v>49.972000000000001</v>
      </c>
      <c r="S101" s="101">
        <v>49.92</v>
      </c>
      <c r="T101" s="101">
        <v>49.98</v>
      </c>
      <c r="U101" s="101">
        <v>49.939</v>
      </c>
      <c r="V101" s="101">
        <v>49.9</v>
      </c>
      <c r="W101" s="101">
        <v>49.96</v>
      </c>
      <c r="X101" s="101">
        <v>50.06</v>
      </c>
      <c r="Y101" s="101">
        <v>50.06</v>
      </c>
      <c r="Z101" s="101">
        <v>50.02</v>
      </c>
      <c r="AA101" s="101">
        <v>50.01</v>
      </c>
      <c r="AB101" s="101">
        <v>50.001300000000001</v>
      </c>
      <c r="AC101" s="101">
        <v>49.97</v>
      </c>
      <c r="AD101" s="101">
        <v>49.908999999999999</v>
      </c>
      <c r="AE101" s="101">
        <v>49.973999999999997</v>
      </c>
      <c r="AF101" s="101">
        <v>50.073</v>
      </c>
      <c r="AG101" s="102"/>
      <c r="AH101" s="47">
        <f t="shared" si="21"/>
        <v>50.097000000000001</v>
      </c>
      <c r="AI101" s="48">
        <f t="shared" si="22"/>
        <v>19.98</v>
      </c>
    </row>
    <row r="102" spans="1:37" x14ac:dyDescent="0.25">
      <c r="A102" s="103" t="s">
        <v>118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4"/>
      <c r="AH102" s="47">
        <f t="shared" si="21"/>
        <v>0</v>
      </c>
      <c r="AI102" s="48">
        <f t="shared" si="22"/>
        <v>0</v>
      </c>
    </row>
    <row r="103" spans="1:37" x14ac:dyDescent="0.25">
      <c r="A103" s="103" t="s">
        <v>119</v>
      </c>
      <c r="B103" s="64">
        <v>131.5</v>
      </c>
      <c r="C103" s="64">
        <v>131.5</v>
      </c>
      <c r="D103" s="64">
        <v>130.69999999999999</v>
      </c>
      <c r="E103" s="64">
        <v>131.1</v>
      </c>
      <c r="F103" s="64">
        <v>130.30000000000001</v>
      </c>
      <c r="G103" s="64">
        <v>130.19999999999999</v>
      </c>
      <c r="H103" s="64">
        <v>129.19999999999999</v>
      </c>
      <c r="I103" s="64">
        <v>129</v>
      </c>
      <c r="J103" s="64">
        <v>129.4</v>
      </c>
      <c r="K103" s="64">
        <v>127.5</v>
      </c>
      <c r="L103" s="64">
        <v>126.1</v>
      </c>
      <c r="M103" s="64">
        <v>126.8</v>
      </c>
      <c r="N103" s="64">
        <v>125.6</v>
      </c>
      <c r="O103" s="64">
        <v>125.6</v>
      </c>
      <c r="P103" s="64">
        <v>125.4</v>
      </c>
      <c r="Q103" s="64">
        <v>125.6</v>
      </c>
      <c r="R103" s="64">
        <v>125.1</v>
      </c>
      <c r="S103" s="64">
        <v>123.9</v>
      </c>
      <c r="T103" s="64">
        <v>126.2</v>
      </c>
      <c r="U103" s="64">
        <v>125.9</v>
      </c>
      <c r="V103" s="64">
        <v>126.7</v>
      </c>
      <c r="W103" s="64">
        <v>128.30000000000001</v>
      </c>
      <c r="X103" s="64">
        <v>128.9</v>
      </c>
      <c r="Y103" s="64">
        <v>128.9</v>
      </c>
      <c r="Z103" s="64">
        <v>128.9</v>
      </c>
      <c r="AA103" s="64">
        <v>128.5</v>
      </c>
      <c r="AB103" s="64">
        <v>128.69999999999999</v>
      </c>
      <c r="AC103" s="64">
        <v>127.8</v>
      </c>
      <c r="AD103" s="64">
        <v>128.80000000000001</v>
      </c>
      <c r="AE103" s="64">
        <v>128.80000000000001</v>
      </c>
      <c r="AF103" s="64">
        <v>128.80000000000001</v>
      </c>
      <c r="AG103" s="104"/>
      <c r="AH103" s="47">
        <f t="shared" si="21"/>
        <v>131.5</v>
      </c>
      <c r="AI103" s="48">
        <f t="shared" si="22"/>
        <v>123.9</v>
      </c>
    </row>
    <row r="104" spans="1:37" x14ac:dyDescent="0.25">
      <c r="A104" s="103" t="s">
        <v>120</v>
      </c>
      <c r="B104" s="64">
        <v>129.69999999999999</v>
      </c>
      <c r="C104" s="64">
        <v>130.6</v>
      </c>
      <c r="D104" s="64">
        <v>130.4</v>
      </c>
      <c r="E104" s="64">
        <v>131.30000000000001</v>
      </c>
      <c r="F104" s="64">
        <v>131.4</v>
      </c>
      <c r="G104" s="64">
        <v>128.69999999999999</v>
      </c>
      <c r="H104" s="64">
        <v>130.30000000000001</v>
      </c>
      <c r="I104" s="64">
        <v>129.19999999999999</v>
      </c>
      <c r="J104" s="64">
        <v>128.69999999999999</v>
      </c>
      <c r="K104" s="64">
        <v>130.30000000000001</v>
      </c>
      <c r="L104" s="64">
        <v>127.1</v>
      </c>
      <c r="M104" s="64">
        <v>127.8</v>
      </c>
      <c r="N104" s="64">
        <v>126.5</v>
      </c>
      <c r="O104" s="64">
        <v>126.5</v>
      </c>
      <c r="P104" s="64">
        <v>125.3</v>
      </c>
      <c r="Q104" s="64">
        <v>129.19999999999999</v>
      </c>
      <c r="R104" s="64">
        <v>129.1</v>
      </c>
      <c r="S104" s="64">
        <v>127.3</v>
      </c>
      <c r="T104" s="64">
        <v>128.19999999999999</v>
      </c>
      <c r="U104" s="64">
        <v>129.6</v>
      </c>
      <c r="V104" s="64">
        <v>130</v>
      </c>
      <c r="W104" s="64">
        <v>130.19999999999999</v>
      </c>
      <c r="X104" s="64">
        <v>129.5</v>
      </c>
      <c r="Y104" s="64">
        <v>129.5</v>
      </c>
      <c r="Z104" s="64">
        <v>128.30000000000001</v>
      </c>
      <c r="AA104" s="64">
        <v>127.5</v>
      </c>
      <c r="AB104" s="64">
        <v>128.1</v>
      </c>
      <c r="AC104" s="64">
        <v>123</v>
      </c>
      <c r="AD104" s="64">
        <v>127.1</v>
      </c>
      <c r="AE104" s="64">
        <v>127.1</v>
      </c>
      <c r="AF104" s="64">
        <v>127.1</v>
      </c>
      <c r="AG104" s="104"/>
      <c r="AH104" s="47">
        <f t="shared" si="21"/>
        <v>131.4</v>
      </c>
      <c r="AI104" s="48">
        <f t="shared" si="22"/>
        <v>123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21"/>
        <v>0</v>
      </c>
      <c r="AI105" s="48">
        <f t="shared" si="22"/>
        <v>0</v>
      </c>
    </row>
    <row r="106" spans="1:37" x14ac:dyDescent="0.25">
      <c r="A106" s="105" t="s">
        <v>122</v>
      </c>
      <c r="B106" s="106">
        <v>135.19999999999999</v>
      </c>
      <c r="C106" s="106">
        <v>133.19999999999999</v>
      </c>
      <c r="D106" s="106">
        <v>132.30000000000001</v>
      </c>
      <c r="E106" s="106">
        <v>134.5</v>
      </c>
      <c r="F106" s="106">
        <v>132.6</v>
      </c>
      <c r="G106" s="106">
        <v>133.19999999999999</v>
      </c>
      <c r="H106" s="106">
        <v>132.6</v>
      </c>
      <c r="I106" s="106">
        <v>132.80000000000001</v>
      </c>
      <c r="J106" s="106">
        <v>131.6</v>
      </c>
      <c r="K106" s="106">
        <v>131.1</v>
      </c>
      <c r="L106" s="106">
        <v>128.4</v>
      </c>
      <c r="M106" s="106">
        <v>131.1</v>
      </c>
      <c r="N106" s="106">
        <v>132.9</v>
      </c>
      <c r="O106" s="106">
        <v>132.9</v>
      </c>
      <c r="P106" s="106">
        <v>132.4</v>
      </c>
      <c r="Q106" s="106">
        <v>131.6</v>
      </c>
      <c r="R106" s="106">
        <v>131.1</v>
      </c>
      <c r="S106" s="106">
        <v>131.69999999999999</v>
      </c>
      <c r="T106" s="106">
        <v>134</v>
      </c>
      <c r="U106" s="106">
        <v>131.19999999999999</v>
      </c>
      <c r="V106" s="106">
        <v>132.80000000000001</v>
      </c>
      <c r="W106" s="106">
        <v>128</v>
      </c>
      <c r="X106" s="106">
        <v>134.5</v>
      </c>
      <c r="Y106" s="106">
        <v>134.5</v>
      </c>
      <c r="Z106" s="106">
        <v>160.30000000000001</v>
      </c>
      <c r="AA106" s="106">
        <v>132.5</v>
      </c>
      <c r="AB106" s="106">
        <v>132.6</v>
      </c>
      <c r="AC106" s="106">
        <v>132.4</v>
      </c>
      <c r="AD106" s="106">
        <v>133.1</v>
      </c>
      <c r="AE106" s="106">
        <v>133.1</v>
      </c>
      <c r="AF106" s="106">
        <v>133.1</v>
      </c>
      <c r="AG106" s="107"/>
      <c r="AH106" s="47">
        <f t="shared" si="21"/>
        <v>160.30000000000001</v>
      </c>
      <c r="AI106" s="48">
        <f t="shared" si="22"/>
        <v>128</v>
      </c>
    </row>
    <row r="107" spans="1:37" x14ac:dyDescent="0.25">
      <c r="A107" s="103" t="s">
        <v>123</v>
      </c>
      <c r="B107" s="64">
        <v>128</v>
      </c>
      <c r="C107" s="64">
        <v>135.19999999999999</v>
      </c>
      <c r="D107" s="64">
        <v>131.80000000000001</v>
      </c>
      <c r="E107" s="64">
        <v>136.80000000000001</v>
      </c>
      <c r="F107" s="64">
        <v>132.6</v>
      </c>
      <c r="G107" s="64">
        <v>134.19999999999999</v>
      </c>
      <c r="H107" s="64">
        <v>133.19999999999999</v>
      </c>
      <c r="I107" s="64">
        <v>131.6</v>
      </c>
      <c r="J107" s="64">
        <v>130.1</v>
      </c>
      <c r="K107" s="64">
        <v>133.1</v>
      </c>
      <c r="L107" s="64">
        <v>129</v>
      </c>
      <c r="M107" s="64">
        <v>127.3</v>
      </c>
      <c r="N107" s="64"/>
      <c r="O107" s="64"/>
      <c r="P107" s="64">
        <v>126.2</v>
      </c>
      <c r="Q107" s="64">
        <v>130.4</v>
      </c>
      <c r="R107" s="64">
        <v>126.5</v>
      </c>
      <c r="S107" s="64">
        <v>127.2</v>
      </c>
      <c r="T107" s="64">
        <v>128</v>
      </c>
      <c r="U107" s="64">
        <v>129.1</v>
      </c>
      <c r="V107" s="64">
        <v>129.4</v>
      </c>
      <c r="W107" s="64">
        <v>134.19999999999999</v>
      </c>
      <c r="X107" s="64">
        <v>128</v>
      </c>
      <c r="Y107" s="64">
        <v>128</v>
      </c>
      <c r="Z107" s="64">
        <v>134.4</v>
      </c>
      <c r="AA107" s="64">
        <v>131.30000000000001</v>
      </c>
      <c r="AB107" s="64">
        <v>126.4</v>
      </c>
      <c r="AC107" s="64">
        <v>126.3</v>
      </c>
      <c r="AD107" s="64">
        <v>122</v>
      </c>
      <c r="AE107" s="64">
        <v>122</v>
      </c>
      <c r="AF107" s="64">
        <v>122</v>
      </c>
      <c r="AG107" s="104"/>
      <c r="AH107" s="47">
        <f t="shared" si="21"/>
        <v>136.80000000000001</v>
      </c>
      <c r="AI107" s="48">
        <f t="shared" si="22"/>
        <v>122</v>
      </c>
    </row>
    <row r="108" spans="1:37" ht="15.75" thickBot="1" x14ac:dyDescent="0.3">
      <c r="A108" s="103" t="s">
        <v>124</v>
      </c>
      <c r="B108" s="92">
        <v>66.099999999999994</v>
      </c>
      <c r="C108" s="92">
        <v>65.7</v>
      </c>
      <c r="D108" s="92">
        <v>65.5</v>
      </c>
      <c r="E108" s="92">
        <v>65.599999999999994</v>
      </c>
      <c r="F108" s="92">
        <v>65.3</v>
      </c>
      <c r="G108" s="92">
        <v>65.2</v>
      </c>
      <c r="H108" s="92">
        <v>64.7</v>
      </c>
      <c r="I108" s="92">
        <v>65.099999999999994</v>
      </c>
      <c r="J108" s="92">
        <v>64.8</v>
      </c>
      <c r="K108" s="92">
        <v>63.7</v>
      </c>
      <c r="L108" s="92">
        <v>63</v>
      </c>
      <c r="M108" s="92">
        <v>63.8</v>
      </c>
      <c r="N108" s="92">
        <v>62.9</v>
      </c>
      <c r="O108" s="92">
        <v>62.9</v>
      </c>
      <c r="P108" s="92">
        <v>62.8</v>
      </c>
      <c r="Q108" s="92">
        <v>62.8</v>
      </c>
      <c r="R108" s="92">
        <v>63</v>
      </c>
      <c r="S108" s="92">
        <v>62.1</v>
      </c>
      <c r="T108" s="92">
        <v>63.4</v>
      </c>
      <c r="U108" s="92">
        <v>63.2</v>
      </c>
      <c r="V108" s="92">
        <v>63.7</v>
      </c>
      <c r="W108" s="92">
        <v>64.3</v>
      </c>
      <c r="X108" s="92">
        <v>64.599999999999994</v>
      </c>
      <c r="Y108" s="92">
        <v>64.599999999999994</v>
      </c>
      <c r="Z108" s="92">
        <v>64.5</v>
      </c>
      <c r="AA108" s="92">
        <v>65.400000000000006</v>
      </c>
      <c r="AB108" s="92">
        <v>64.5</v>
      </c>
      <c r="AC108" s="92">
        <v>64.2</v>
      </c>
      <c r="AD108" s="92">
        <v>64.900000000000006</v>
      </c>
      <c r="AE108" s="92">
        <v>64.900000000000006</v>
      </c>
      <c r="AF108" s="92">
        <v>64.900000000000006</v>
      </c>
      <c r="AG108" s="108"/>
      <c r="AH108" s="47">
        <f t="shared" si="21"/>
        <v>66.099999999999994</v>
      </c>
      <c r="AI108" s="48">
        <f t="shared" si="22"/>
        <v>62.1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 t="s">
        <v>125</v>
      </c>
      <c r="AB109" s="92"/>
      <c r="AC109" s="92"/>
      <c r="AD109" s="92"/>
      <c r="AE109" s="92"/>
      <c r="AF109" s="92"/>
      <c r="AG109" s="108"/>
      <c r="AH109" s="47">
        <f t="shared" si="21"/>
        <v>0</v>
      </c>
      <c r="AI109" s="48">
        <f t="shared" si="22"/>
        <v>0</v>
      </c>
    </row>
    <row r="110" spans="1:37" ht="15.75" thickBot="1" x14ac:dyDescent="0.3">
      <c r="A110" s="110" t="s">
        <v>126</v>
      </c>
      <c r="B110" s="111">
        <f t="shared" ref="B110" si="43">SUM(B20,B26,B29:B30,B58,B60:B61,B63,B65,B111:B115,B138,B144,B150,B159,B161,B173,B180,B183:B184,B191,B193,B195,B199:B201,B203:B205,B210,B216:B217,B219:B221,B229,B234)</f>
        <v>33.60000000000003</v>
      </c>
      <c r="C110" s="111">
        <f t="shared" ref="C110:O110" si="44">SUM(C20,C26,C29:C30,C58,C60:C61,C63,C65,C111:C115,C138,C144,C150,C159,C161,C173,C180,C183:C184,C191,C193,C195,C199:C201,C203:C205,C210,C216:C217,C219:C221,C229,C234)</f>
        <v>30.540000000000003</v>
      </c>
      <c r="D110" s="111">
        <f t="shared" ref="D110" si="45">SUM(D20,D26,D29:D30,D58,D60:D61,D63,D65,D111:D115,D138,D144,D150,D159,D161,D173,D180,D183:D184,D191,D193,D195,D199:D201,D203:D205,D210,D216:D217,D219:D221,D229,D234)</f>
        <v>72.64</v>
      </c>
      <c r="E110" s="111">
        <f t="shared" si="44"/>
        <v>65.040000000000006</v>
      </c>
      <c r="F110" s="111">
        <f t="shared" si="44"/>
        <v>17.640000000000018</v>
      </c>
      <c r="G110" s="111">
        <f t="shared" si="44"/>
        <v>40.240000000000023</v>
      </c>
      <c r="H110" s="111">
        <f t="shared" si="44"/>
        <v>51.54000000000002</v>
      </c>
      <c r="I110" s="111">
        <f t="shared" si="44"/>
        <v>69.040000000000035</v>
      </c>
      <c r="J110" s="111">
        <f t="shared" si="44"/>
        <v>110.14000000000003</v>
      </c>
      <c r="K110" s="111">
        <f t="shared" si="44"/>
        <v>147.84</v>
      </c>
      <c r="L110" s="111">
        <f t="shared" si="44"/>
        <v>181.33999999999997</v>
      </c>
      <c r="M110" s="111">
        <f t="shared" si="44"/>
        <v>191.33999999999997</v>
      </c>
      <c r="N110" s="111">
        <f t="shared" si="44"/>
        <v>216.64000000000001</v>
      </c>
      <c r="O110" s="111">
        <f t="shared" si="44"/>
        <v>221.64000000000001</v>
      </c>
      <c r="P110" s="111">
        <v>42</v>
      </c>
      <c r="Q110" s="111">
        <f t="shared" ref="Q110:AF110" si="46">SUM(Q20,Q26,Q29:Q30,Q58,Q60:Q61,Q63,Q65,Q111:Q115,Q138,Q144,Q150,Q159,Q161,Q173,Q180,Q183:Q184,Q191,Q193,Q195,Q199:Q201,Q203:Q205,Q210,Q216:Q217,Q219:Q221,Q229,Q234)</f>
        <v>204.4</v>
      </c>
      <c r="R110" s="111">
        <f t="shared" si="46"/>
        <v>221.50000000000003</v>
      </c>
      <c r="S110" s="111">
        <f t="shared" si="46"/>
        <v>190.50000000000006</v>
      </c>
      <c r="T110" s="111">
        <f t="shared" si="46"/>
        <v>194.8</v>
      </c>
      <c r="U110" s="111">
        <f t="shared" si="46"/>
        <v>224.90000000000003</v>
      </c>
      <c r="V110" s="111">
        <f t="shared" si="46"/>
        <v>180.10000000000002</v>
      </c>
      <c r="W110" s="111">
        <f t="shared" si="46"/>
        <v>198.6</v>
      </c>
      <c r="X110" s="111">
        <f t="shared" si="46"/>
        <v>207.60000000000002</v>
      </c>
      <c r="Y110" s="111">
        <f t="shared" si="46"/>
        <v>207.60000000000002</v>
      </c>
      <c r="Z110" s="111">
        <f t="shared" si="46"/>
        <v>434.40000000000003</v>
      </c>
      <c r="AA110" s="111">
        <v>241.84</v>
      </c>
      <c r="AB110" s="111">
        <f t="shared" si="46"/>
        <v>202.89999999999998</v>
      </c>
      <c r="AC110" s="111">
        <f t="shared" si="46"/>
        <v>192.1</v>
      </c>
      <c r="AD110" s="111"/>
      <c r="AE110" s="111">
        <f t="shared" si="46"/>
        <v>89.799999999999983</v>
      </c>
      <c r="AF110" s="111">
        <f t="shared" si="46"/>
        <v>48.399999999999977</v>
      </c>
      <c r="AG110" s="112"/>
      <c r="AH110" s="47">
        <f t="shared" si="21"/>
        <v>434.40000000000003</v>
      </c>
      <c r="AI110" s="48">
        <f t="shared" si="22"/>
        <v>17.640000000000018</v>
      </c>
    </row>
    <row r="111" spans="1:37" x14ac:dyDescent="0.25">
      <c r="A111" s="100" t="s">
        <v>127</v>
      </c>
      <c r="B111" s="113">
        <v>16.399999999999999</v>
      </c>
      <c r="C111" s="113">
        <v>15</v>
      </c>
      <c r="D111" s="113">
        <v>22.7</v>
      </c>
      <c r="E111" s="113">
        <v>19.600000000000001</v>
      </c>
      <c r="F111" s="113">
        <v>11.6</v>
      </c>
      <c r="G111" s="113">
        <v>13.4</v>
      </c>
      <c r="H111" s="113">
        <v>17.3</v>
      </c>
      <c r="I111" s="113">
        <v>20.3</v>
      </c>
      <c r="J111" s="113">
        <v>25.4</v>
      </c>
      <c r="K111" s="113">
        <v>34.6</v>
      </c>
      <c r="L111" s="113">
        <v>39</v>
      </c>
      <c r="M111" s="113">
        <v>36.799999999999997</v>
      </c>
      <c r="N111" s="113">
        <v>51.5</v>
      </c>
      <c r="O111" s="113">
        <v>51.5</v>
      </c>
      <c r="P111" s="113">
        <v>57.3</v>
      </c>
      <c r="Q111" s="113">
        <v>60.9</v>
      </c>
      <c r="R111" s="113">
        <v>58.2</v>
      </c>
      <c r="S111" s="113">
        <v>56</v>
      </c>
      <c r="T111" s="113">
        <v>59.3</v>
      </c>
      <c r="U111" s="113">
        <v>54.4</v>
      </c>
      <c r="V111" s="113">
        <v>55.6</v>
      </c>
      <c r="W111" s="113">
        <v>57.8</v>
      </c>
      <c r="X111" s="113">
        <v>57.7</v>
      </c>
      <c r="Y111" s="113">
        <v>57.7</v>
      </c>
      <c r="Z111" s="113">
        <v>41.7</v>
      </c>
      <c r="AA111" s="113">
        <v>51.8</v>
      </c>
      <c r="AB111" s="113">
        <v>52.8</v>
      </c>
      <c r="AC111" s="113">
        <v>46.8</v>
      </c>
      <c r="AD111" s="113">
        <v>46.2</v>
      </c>
      <c r="AE111" s="113">
        <v>42</v>
      </c>
      <c r="AF111" s="113">
        <v>26.7</v>
      </c>
      <c r="AG111" s="114">
        <v>75</v>
      </c>
      <c r="AH111" s="47">
        <f t="shared" si="21"/>
        <v>60.9</v>
      </c>
      <c r="AI111" s="48">
        <f t="shared" si="22"/>
        <v>11.6</v>
      </c>
    </row>
    <row r="112" spans="1:37" x14ac:dyDescent="0.25">
      <c r="A112" s="103" t="s">
        <v>128</v>
      </c>
      <c r="B112" s="115">
        <v>28.7</v>
      </c>
      <c r="C112" s="115">
        <v>25.6</v>
      </c>
      <c r="D112" s="115">
        <v>37.799999999999997</v>
      </c>
      <c r="E112" s="115">
        <v>33.799999999999997</v>
      </c>
      <c r="F112" s="115">
        <v>23.3</v>
      </c>
      <c r="G112" s="115">
        <v>22.3</v>
      </c>
      <c r="H112" s="115">
        <v>27</v>
      </c>
      <c r="I112" s="115">
        <v>30.8</v>
      </c>
      <c r="J112" s="115">
        <v>38.200000000000003</v>
      </c>
      <c r="K112" s="115">
        <v>54.8</v>
      </c>
      <c r="L112" s="115">
        <v>60</v>
      </c>
      <c r="M112" s="115">
        <v>57.7</v>
      </c>
      <c r="N112" s="115">
        <v>77.2</v>
      </c>
      <c r="O112" s="115">
        <v>77.2</v>
      </c>
      <c r="P112" s="115">
        <v>85.8</v>
      </c>
      <c r="Q112" s="115">
        <v>95.3</v>
      </c>
      <c r="R112" s="115">
        <v>87.5</v>
      </c>
      <c r="S112" s="115">
        <v>83.9</v>
      </c>
      <c r="T112" s="115">
        <v>89.7</v>
      </c>
      <c r="U112" s="115">
        <v>82</v>
      </c>
      <c r="V112" s="115">
        <v>83.4</v>
      </c>
      <c r="W112" s="115">
        <v>84.5</v>
      </c>
      <c r="X112" s="115">
        <v>84.8</v>
      </c>
      <c r="Y112" s="115">
        <v>84.8</v>
      </c>
      <c r="Z112" s="115">
        <v>63.6</v>
      </c>
      <c r="AA112" s="115">
        <v>78.400000000000006</v>
      </c>
      <c r="AB112" s="115">
        <v>79.2</v>
      </c>
      <c r="AC112" s="115">
        <v>70.2</v>
      </c>
      <c r="AD112" s="115">
        <v>64.3</v>
      </c>
      <c r="AE112" s="115">
        <v>65.5</v>
      </c>
      <c r="AF112" s="115">
        <v>43</v>
      </c>
      <c r="AG112" s="114">
        <v>240</v>
      </c>
      <c r="AH112" s="47">
        <f t="shared" si="21"/>
        <v>95.3</v>
      </c>
      <c r="AI112" s="48">
        <f t="shared" si="22"/>
        <v>22.3</v>
      </c>
    </row>
    <row r="113" spans="1:37" x14ac:dyDescent="0.25">
      <c r="A113" s="103" t="s">
        <v>129</v>
      </c>
      <c r="B113" s="115">
        <f>-73.1-77.6</f>
        <v>-150.69999999999999</v>
      </c>
      <c r="C113" s="115">
        <f>-71.8-77.5</f>
        <v>-149.30000000000001</v>
      </c>
      <c r="D113" s="115">
        <f>-65.5-69.8</f>
        <v>-135.30000000000001</v>
      </c>
      <c r="E113" s="115">
        <v>-148</v>
      </c>
      <c r="F113" s="115">
        <v>-155</v>
      </c>
      <c r="G113" s="115">
        <v>-138</v>
      </c>
      <c r="H113" s="115">
        <v>-141</v>
      </c>
      <c r="I113" s="115">
        <v>-131</v>
      </c>
      <c r="J113" s="115">
        <v>-118</v>
      </c>
      <c r="K113" s="115">
        <v>-117</v>
      </c>
      <c r="L113" s="115">
        <v>-118</v>
      </c>
      <c r="M113" s="115">
        <v>-106</v>
      </c>
      <c r="N113" s="115">
        <v>-130</v>
      </c>
      <c r="O113" s="115">
        <v>-130</v>
      </c>
      <c r="P113" s="115">
        <v>-149.19999999999999</v>
      </c>
      <c r="Q113" s="115">
        <v>-166</v>
      </c>
      <c r="R113" s="115">
        <v>-166</v>
      </c>
      <c r="S113" s="115">
        <f>-91.8-90.2</f>
        <v>-182</v>
      </c>
      <c r="T113" s="115">
        <v>-155.9</v>
      </c>
      <c r="U113" s="115">
        <v>-146.69999999999999</v>
      </c>
      <c r="V113" s="115">
        <v>-178.6</v>
      </c>
      <c r="W113" s="115">
        <f>-76.2-82</f>
        <v>-158.19999999999999</v>
      </c>
      <c r="X113" s="115">
        <f>-72.7-78.3</f>
        <v>-151</v>
      </c>
      <c r="Y113" s="115">
        <f t="shared" ref="Y113" si="47">-72.7-78.3</f>
        <v>-151</v>
      </c>
      <c r="Z113" s="115">
        <f>45+48.7</f>
        <v>93.7</v>
      </c>
      <c r="AA113" s="115">
        <v>-147.80000000000001</v>
      </c>
      <c r="AB113" s="115">
        <v>-171.6</v>
      </c>
      <c r="AC113" s="115">
        <v>-167</v>
      </c>
      <c r="AD113" s="115">
        <v>-176.2</v>
      </c>
      <c r="AE113" s="115">
        <v>-185</v>
      </c>
      <c r="AF113" s="115">
        <v>-176</v>
      </c>
      <c r="AG113" s="114">
        <v>240</v>
      </c>
      <c r="AH113" s="47">
        <f t="shared" si="21"/>
        <v>93.7</v>
      </c>
      <c r="AI113" s="48">
        <f t="shared" si="22"/>
        <v>-185</v>
      </c>
    </row>
    <row r="114" spans="1:37" x14ac:dyDescent="0.25">
      <c r="A114" s="103" t="s">
        <v>130</v>
      </c>
      <c r="B114" s="115">
        <v>-9.1999999999999993</v>
      </c>
      <c r="C114" s="115">
        <v>-10.199999999999999</v>
      </c>
      <c r="D114" s="115">
        <v>-8.6</v>
      </c>
      <c r="E114" s="115">
        <v>-8</v>
      </c>
      <c r="F114" s="115">
        <v>-12</v>
      </c>
      <c r="G114" s="115">
        <v>-7</v>
      </c>
      <c r="H114" s="115">
        <v>-7</v>
      </c>
      <c r="I114" s="115">
        <v>-6.3</v>
      </c>
      <c r="J114" s="115">
        <v>-3</v>
      </c>
      <c r="K114" s="115">
        <v>2.4</v>
      </c>
      <c r="L114" s="115">
        <v>2</v>
      </c>
      <c r="M114" s="115">
        <v>4.5</v>
      </c>
      <c r="N114" s="115">
        <v>21.5</v>
      </c>
      <c r="O114" s="115">
        <v>21.5</v>
      </c>
      <c r="P114" s="115">
        <v>24.8</v>
      </c>
      <c r="Q114" s="115">
        <v>19.5</v>
      </c>
      <c r="R114" s="115">
        <v>15</v>
      </c>
      <c r="S114" s="115">
        <v>7.9</v>
      </c>
      <c r="T114" s="115">
        <v>17.8</v>
      </c>
      <c r="U114" s="115">
        <v>12.6</v>
      </c>
      <c r="V114" s="115">
        <v>2.9</v>
      </c>
      <c r="W114" s="115">
        <v>0.4</v>
      </c>
      <c r="X114" s="115">
        <v>1.1000000000000001</v>
      </c>
      <c r="Y114" s="115">
        <v>1.1000000000000001</v>
      </c>
      <c r="Z114" s="115">
        <v>8.6999999999999993</v>
      </c>
      <c r="AA114" s="115">
        <v>23.3</v>
      </c>
      <c r="AB114" s="115">
        <v>9.1999999999999993</v>
      </c>
      <c r="AC114" s="115">
        <v>8.1</v>
      </c>
      <c r="AD114" s="115">
        <v>11.9</v>
      </c>
      <c r="AE114" s="115">
        <v>-7.5</v>
      </c>
      <c r="AF114" s="115">
        <v>-10.8</v>
      </c>
      <c r="AG114" s="114">
        <v>60</v>
      </c>
      <c r="AH114" s="47">
        <f t="shared" si="21"/>
        <v>24.8</v>
      </c>
      <c r="AI114" s="48">
        <f t="shared" si="22"/>
        <v>-12</v>
      </c>
    </row>
    <row r="115" spans="1:37" x14ac:dyDescent="0.25">
      <c r="A115" s="116" t="s">
        <v>131</v>
      </c>
      <c r="B115" s="117">
        <v>2.2999999999999998</v>
      </c>
      <c r="C115" s="117">
        <v>2.2999999999999998</v>
      </c>
      <c r="D115" s="117">
        <v>2.2999999999999998</v>
      </c>
      <c r="E115" s="117">
        <v>4.8</v>
      </c>
      <c r="F115" s="117">
        <v>2.5</v>
      </c>
      <c r="G115" s="117">
        <v>2.2999999999999998</v>
      </c>
      <c r="H115" s="117">
        <v>8</v>
      </c>
      <c r="I115" s="117">
        <v>7.5</v>
      </c>
      <c r="J115" s="117">
        <v>14.3</v>
      </c>
      <c r="K115" s="117">
        <v>17</v>
      </c>
      <c r="L115" s="117">
        <v>23</v>
      </c>
      <c r="M115" s="117">
        <v>23</v>
      </c>
      <c r="N115" s="117">
        <v>26.1</v>
      </c>
      <c r="O115" s="117">
        <v>26.1</v>
      </c>
      <c r="P115" s="117">
        <v>26.2</v>
      </c>
      <c r="Q115" s="117">
        <v>26.1</v>
      </c>
      <c r="R115" s="117">
        <v>63.6</v>
      </c>
      <c r="S115" s="117">
        <v>62.4</v>
      </c>
      <c r="T115" s="117">
        <v>62.2</v>
      </c>
      <c r="U115" s="117">
        <v>63.8</v>
      </c>
      <c r="V115" s="117">
        <v>63.7</v>
      </c>
      <c r="W115" s="117">
        <v>61</v>
      </c>
      <c r="X115" s="117">
        <v>61.9</v>
      </c>
      <c r="Y115" s="117">
        <v>61.9</v>
      </c>
      <c r="Z115" s="117">
        <v>59.5</v>
      </c>
      <c r="AA115" s="117">
        <v>57.4</v>
      </c>
      <c r="AB115" s="117">
        <v>61.3</v>
      </c>
      <c r="AC115" s="117">
        <v>62</v>
      </c>
      <c r="AD115" s="117">
        <v>46</v>
      </c>
      <c r="AE115" s="117">
        <v>26.1</v>
      </c>
      <c r="AF115" s="117">
        <v>16.8</v>
      </c>
      <c r="AG115" s="118">
        <v>120</v>
      </c>
      <c r="AH115" s="47">
        <f t="shared" si="21"/>
        <v>63.8</v>
      </c>
      <c r="AI115" s="48">
        <f t="shared" si="22"/>
        <v>2.2999999999999998</v>
      </c>
    </row>
    <row r="116" spans="1:37" x14ac:dyDescent="0.25">
      <c r="A116" s="116" t="s">
        <v>132</v>
      </c>
      <c r="B116" s="117">
        <v>28.3</v>
      </c>
      <c r="C116" s="117">
        <v>38.200000000000003</v>
      </c>
      <c r="D116" s="117">
        <v>45.5</v>
      </c>
      <c r="E116" s="117">
        <v>26.2</v>
      </c>
      <c r="F116" s="117">
        <v>29</v>
      </c>
      <c r="G116" s="117">
        <v>39</v>
      </c>
      <c r="H116" s="117">
        <v>29</v>
      </c>
      <c r="I116" s="117">
        <v>31</v>
      </c>
      <c r="J116" s="117">
        <v>25</v>
      </c>
      <c r="K116" s="117">
        <v>33</v>
      </c>
      <c r="L116" s="117">
        <v>27</v>
      </c>
      <c r="M116" s="117">
        <v>40</v>
      </c>
      <c r="N116" s="117">
        <v>56.1</v>
      </c>
      <c r="O116" s="117">
        <v>56.1</v>
      </c>
      <c r="P116" s="117">
        <v>39</v>
      </c>
      <c r="Q116" s="117">
        <v>25.7</v>
      </c>
      <c r="R116" s="117">
        <v>44</v>
      </c>
      <c r="S116" s="117">
        <v>36.299999999999997</v>
      </c>
      <c r="T116" s="117">
        <v>23.3</v>
      </c>
      <c r="U116" s="117">
        <v>34.700000000000003</v>
      </c>
      <c r="V116" s="117">
        <v>17.8</v>
      </c>
      <c r="W116" s="117">
        <v>23.6</v>
      </c>
      <c r="X116" s="117">
        <v>20.2</v>
      </c>
      <c r="Y116" s="117">
        <v>20.2</v>
      </c>
      <c r="Z116" s="117">
        <v>38.799999999999997</v>
      </c>
      <c r="AA116" s="117">
        <v>37</v>
      </c>
      <c r="AB116" s="117">
        <v>37.4</v>
      </c>
      <c r="AC116" s="117">
        <v>45.6</v>
      </c>
      <c r="AD116" s="117">
        <v>19.2</v>
      </c>
      <c r="AE116" s="117">
        <v>27.1</v>
      </c>
      <c r="AF116" s="117">
        <v>55.5</v>
      </c>
      <c r="AG116" s="118"/>
      <c r="AH116" s="47">
        <f t="shared" si="21"/>
        <v>56.1</v>
      </c>
      <c r="AI116" s="48">
        <f t="shared" si="22"/>
        <v>17.8</v>
      </c>
    </row>
    <row r="117" spans="1:37" x14ac:dyDescent="0.25">
      <c r="A117" s="116" t="s">
        <v>133</v>
      </c>
      <c r="B117" s="117">
        <v>-4.4000000000000004</v>
      </c>
      <c r="C117" s="117">
        <v>-8.6</v>
      </c>
      <c r="D117" s="117">
        <v>-7.2</v>
      </c>
      <c r="E117" s="117">
        <v>-5</v>
      </c>
      <c r="F117" s="117">
        <v>-3.3</v>
      </c>
      <c r="G117" s="117">
        <v>-4</v>
      </c>
      <c r="H117" s="117">
        <v>-2</v>
      </c>
      <c r="I117" s="117">
        <v>5.0999999999999996</v>
      </c>
      <c r="J117" s="117">
        <v>2</v>
      </c>
      <c r="K117" s="117">
        <v>4</v>
      </c>
      <c r="L117" s="117">
        <v>9.4</v>
      </c>
      <c r="M117" s="117">
        <v>10.5</v>
      </c>
      <c r="N117" s="117">
        <v>-1.2</v>
      </c>
      <c r="O117" s="117">
        <v>-1.2</v>
      </c>
      <c r="P117" s="117">
        <v>4.3</v>
      </c>
      <c r="Q117" s="117">
        <v>6.1</v>
      </c>
      <c r="R117" s="117">
        <v>1.4</v>
      </c>
      <c r="S117" s="117">
        <v>-0.9</v>
      </c>
      <c r="T117" s="117">
        <v>-4.5</v>
      </c>
      <c r="U117" s="117">
        <v>1</v>
      </c>
      <c r="V117" s="117">
        <v>1.2</v>
      </c>
      <c r="W117" s="117">
        <v>5</v>
      </c>
      <c r="X117" s="117">
        <v>5.8</v>
      </c>
      <c r="Y117" s="117">
        <v>5.8</v>
      </c>
      <c r="Z117" s="117">
        <v>3.9</v>
      </c>
      <c r="AA117" s="117">
        <v>-11.1</v>
      </c>
      <c r="AB117" s="117">
        <v>-10.3</v>
      </c>
      <c r="AC117" s="117">
        <v>-19.600000000000001</v>
      </c>
      <c r="AD117" s="117">
        <v>-15</v>
      </c>
      <c r="AE117" s="117">
        <v>-12.1</v>
      </c>
      <c r="AF117" s="117">
        <v>-27.3</v>
      </c>
      <c r="AG117" s="119"/>
      <c r="AH117" s="47">
        <f t="shared" si="21"/>
        <v>10.5</v>
      </c>
      <c r="AI117" s="48">
        <f t="shared" si="22"/>
        <v>-27.3</v>
      </c>
    </row>
    <row r="118" spans="1:37" x14ac:dyDescent="0.25">
      <c r="A118" s="120" t="s">
        <v>134</v>
      </c>
      <c r="B118" s="106">
        <v>41.9</v>
      </c>
      <c r="C118" s="106">
        <v>43.8</v>
      </c>
      <c r="D118" s="106">
        <v>34.9</v>
      </c>
      <c r="E118" s="106">
        <v>35.700000000000003</v>
      </c>
      <c r="F118" s="106">
        <v>38</v>
      </c>
      <c r="G118" s="106">
        <v>41</v>
      </c>
      <c r="H118" s="106">
        <v>40</v>
      </c>
      <c r="I118" s="106">
        <v>40</v>
      </c>
      <c r="J118" s="106">
        <v>38</v>
      </c>
      <c r="K118" s="106">
        <v>37</v>
      </c>
      <c r="L118" s="106">
        <v>21</v>
      </c>
      <c r="M118" s="106">
        <v>36.1</v>
      </c>
      <c r="N118" s="106">
        <v>30</v>
      </c>
      <c r="O118" s="106">
        <v>30</v>
      </c>
      <c r="P118" s="106">
        <v>27.5</v>
      </c>
      <c r="Q118" s="106">
        <v>23.6</v>
      </c>
      <c r="R118" s="106">
        <v>19.600000000000001</v>
      </c>
      <c r="S118" s="106">
        <v>19.7</v>
      </c>
      <c r="T118" s="106">
        <v>17</v>
      </c>
      <c r="U118" s="106">
        <v>33.200000000000003</v>
      </c>
      <c r="V118" s="106">
        <v>34.299999999999997</v>
      </c>
      <c r="W118" s="106">
        <v>32</v>
      </c>
      <c r="X118" s="106">
        <v>31.3</v>
      </c>
      <c r="Y118" s="106">
        <v>31.3</v>
      </c>
      <c r="Z118" s="106">
        <v>22</v>
      </c>
      <c r="AA118" s="106">
        <v>16.7</v>
      </c>
      <c r="AB118" s="106">
        <v>18.899999999999999</v>
      </c>
      <c r="AC118" s="106">
        <v>16.899999999999999</v>
      </c>
      <c r="AD118" s="106">
        <v>18.2</v>
      </c>
      <c r="AE118" s="106">
        <v>27.8</v>
      </c>
      <c r="AF118" s="106">
        <v>30.9</v>
      </c>
      <c r="AG118" s="119"/>
      <c r="AH118" s="47">
        <f t="shared" si="21"/>
        <v>43.8</v>
      </c>
      <c r="AI118" s="48">
        <f t="shared" si="22"/>
        <v>16.7</v>
      </c>
    </row>
    <row r="119" spans="1:37" x14ac:dyDescent="0.25">
      <c r="A119" s="121" t="s">
        <v>135</v>
      </c>
      <c r="B119" s="106">
        <v>100</v>
      </c>
      <c r="C119" s="106">
        <v>100.5</v>
      </c>
      <c r="D119" s="106">
        <v>96.7</v>
      </c>
      <c r="E119" s="106">
        <v>100.7</v>
      </c>
      <c r="F119" s="106">
        <v>104</v>
      </c>
      <c r="G119" s="106">
        <v>92</v>
      </c>
      <c r="H119" s="106">
        <v>98</v>
      </c>
      <c r="I119" s="106">
        <v>96</v>
      </c>
      <c r="J119" s="106">
        <v>88</v>
      </c>
      <c r="K119" s="106">
        <v>86</v>
      </c>
      <c r="L119" s="106">
        <v>96</v>
      </c>
      <c r="M119" s="106">
        <v>78.5</v>
      </c>
      <c r="N119" s="106">
        <v>73</v>
      </c>
      <c r="O119" s="106">
        <v>73</v>
      </c>
      <c r="P119" s="106">
        <v>89.6</v>
      </c>
      <c r="Q119" s="106">
        <v>92.5</v>
      </c>
      <c r="R119" s="106">
        <v>92.3</v>
      </c>
      <c r="S119" s="106">
        <v>89.8</v>
      </c>
      <c r="T119" s="106">
        <v>83.8</v>
      </c>
      <c r="U119" s="106">
        <v>85.6</v>
      </c>
      <c r="V119" s="106">
        <v>84</v>
      </c>
      <c r="W119" s="106">
        <v>75.5</v>
      </c>
      <c r="X119" s="106">
        <v>72.900000000000006</v>
      </c>
      <c r="Y119" s="106">
        <v>72.900000000000006</v>
      </c>
      <c r="Z119" s="106">
        <v>74</v>
      </c>
      <c r="AA119" s="106">
        <v>73</v>
      </c>
      <c r="AB119" s="106">
        <v>84.1</v>
      </c>
      <c r="AC119" s="106">
        <v>81.8</v>
      </c>
      <c r="AD119" s="106">
        <v>80</v>
      </c>
      <c r="AE119" s="106">
        <v>98.3</v>
      </c>
      <c r="AF119" s="106">
        <v>91.9</v>
      </c>
      <c r="AG119" s="119"/>
      <c r="AH119" s="47">
        <f t="shared" si="21"/>
        <v>104</v>
      </c>
      <c r="AI119" s="48">
        <f t="shared" si="22"/>
        <v>72.900000000000006</v>
      </c>
    </row>
    <row r="120" spans="1:37" ht="15.75" thickBot="1" x14ac:dyDescent="0.3">
      <c r="A120" s="120" t="s">
        <v>136</v>
      </c>
      <c r="B120" s="106">
        <v>11.5</v>
      </c>
      <c r="C120" s="106">
        <v>9.3000000000000007</v>
      </c>
      <c r="D120" s="106">
        <v>11</v>
      </c>
      <c r="E120" s="106">
        <v>5</v>
      </c>
      <c r="F120" s="106">
        <v>4</v>
      </c>
      <c r="G120" s="106">
        <v>3</v>
      </c>
      <c r="H120" s="106">
        <v>-8</v>
      </c>
      <c r="I120" s="106">
        <v>-3</v>
      </c>
      <c r="J120" s="106">
        <v>-4.4000000000000004</v>
      </c>
      <c r="K120" s="106">
        <v>-2</v>
      </c>
      <c r="L120" s="106">
        <v>15</v>
      </c>
      <c r="M120" s="106">
        <v>3.5</v>
      </c>
      <c r="N120" s="106">
        <v>25.8</v>
      </c>
      <c r="O120" s="106">
        <v>25.8</v>
      </c>
      <c r="P120" s="106">
        <v>23</v>
      </c>
      <c r="Q120" s="106">
        <v>23.6</v>
      </c>
      <c r="R120" s="106">
        <v>23.6</v>
      </c>
      <c r="S120" s="106">
        <v>20.100000000000001</v>
      </c>
      <c r="T120" s="106">
        <v>24.1</v>
      </c>
      <c r="U120" s="106">
        <v>14.7</v>
      </c>
      <c r="V120" s="106">
        <v>8.9</v>
      </c>
      <c r="W120" s="106">
        <v>4.0999999999999996</v>
      </c>
      <c r="X120" s="106">
        <v>7.4</v>
      </c>
      <c r="Y120" s="106">
        <v>7.4</v>
      </c>
      <c r="Z120" s="106">
        <v>25.7</v>
      </c>
      <c r="AA120" s="106">
        <v>39.700000000000003</v>
      </c>
      <c r="AB120" s="106">
        <v>40.700000000000003</v>
      </c>
      <c r="AC120" s="106">
        <v>41.3</v>
      </c>
      <c r="AD120" s="106">
        <v>45.9</v>
      </c>
      <c r="AE120" s="106">
        <v>39.200000000000003</v>
      </c>
      <c r="AF120" s="106">
        <v>33.6</v>
      </c>
      <c r="AG120" s="119"/>
      <c r="AH120" s="47">
        <f t="shared" si="21"/>
        <v>45.9</v>
      </c>
      <c r="AI120" s="48">
        <f t="shared" si="22"/>
        <v>-8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48">SUM(B122:B226)</f>
        <v>0</v>
      </c>
      <c r="C227" s="137">
        <f t="shared" si="48"/>
        <v>0</v>
      </c>
      <c r="D227" s="137">
        <f t="shared" si="48"/>
        <v>0</v>
      </c>
      <c r="E227" s="137">
        <f t="shared" si="48"/>
        <v>0</v>
      </c>
      <c r="F227" s="137">
        <f t="shared" si="48"/>
        <v>0</v>
      </c>
      <c r="G227" s="137">
        <f t="shared" si="48"/>
        <v>0</v>
      </c>
      <c r="H227" s="137">
        <f t="shared" si="48"/>
        <v>0</v>
      </c>
      <c r="I227" s="137">
        <f t="shared" si="48"/>
        <v>0</v>
      </c>
      <c r="J227" s="137">
        <f t="shared" si="48"/>
        <v>0</v>
      </c>
      <c r="K227" s="137">
        <f t="shared" si="48"/>
        <v>0</v>
      </c>
      <c r="L227" s="137">
        <f t="shared" si="48"/>
        <v>0</v>
      </c>
      <c r="M227" s="137">
        <f t="shared" si="48"/>
        <v>0</v>
      </c>
      <c r="N227" s="137">
        <f t="shared" si="48"/>
        <v>0</v>
      </c>
      <c r="O227" s="137">
        <f t="shared" si="48"/>
        <v>0</v>
      </c>
      <c r="P227" s="137">
        <f t="shared" si="48"/>
        <v>0</v>
      </c>
      <c r="Q227" s="137">
        <f t="shared" si="48"/>
        <v>0</v>
      </c>
      <c r="R227" s="137">
        <f t="shared" si="48"/>
        <v>0</v>
      </c>
      <c r="S227" s="137">
        <f t="shared" si="48"/>
        <v>0</v>
      </c>
      <c r="T227" s="137">
        <f t="shared" si="48"/>
        <v>0</v>
      </c>
      <c r="U227" s="137">
        <f t="shared" si="48"/>
        <v>0</v>
      </c>
      <c r="V227" s="137">
        <f t="shared" si="48"/>
        <v>0</v>
      </c>
      <c r="W227" s="137">
        <f t="shared" si="48"/>
        <v>0</v>
      </c>
      <c r="X227" s="137">
        <f t="shared" si="48"/>
        <v>0</v>
      </c>
      <c r="Y227" s="137">
        <f t="shared" si="48"/>
        <v>0</v>
      </c>
      <c r="Z227" s="137">
        <f t="shared" si="48"/>
        <v>0</v>
      </c>
      <c r="AA227" s="137">
        <f t="shared" si="48"/>
        <v>0</v>
      </c>
      <c r="AB227" s="137">
        <f t="shared" si="48"/>
        <v>0</v>
      </c>
      <c r="AC227" s="137">
        <f t="shared" si="48"/>
        <v>0</v>
      </c>
      <c r="AD227" s="137">
        <f t="shared" si="48"/>
        <v>0</v>
      </c>
      <c r="AE227" s="137">
        <f t="shared" si="48"/>
        <v>0</v>
      </c>
      <c r="AF227" s="138">
        <f t="shared" si="48"/>
        <v>0</v>
      </c>
      <c r="AG227" s="139">
        <f t="shared" si="48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49">AF229</f>
        <v>0</v>
      </c>
      <c r="C229" s="141">
        <v>0.3</v>
      </c>
      <c r="D229" s="141">
        <f t="shared" ref="D229:P234" si="50">C229</f>
        <v>0.3</v>
      </c>
      <c r="E229" s="141">
        <f t="shared" si="50"/>
        <v>0.3</v>
      </c>
      <c r="F229" s="141">
        <f t="shared" si="50"/>
        <v>0.3</v>
      </c>
      <c r="G229" s="141">
        <f t="shared" si="50"/>
        <v>0.3</v>
      </c>
      <c r="H229" s="141">
        <f t="shared" si="50"/>
        <v>0.3</v>
      </c>
      <c r="I229" s="141">
        <f t="shared" si="50"/>
        <v>0.3</v>
      </c>
      <c r="J229" s="141">
        <f t="shared" si="50"/>
        <v>0.3</v>
      </c>
      <c r="K229" s="141">
        <f t="shared" si="50"/>
        <v>0.3</v>
      </c>
      <c r="L229" s="141">
        <f t="shared" si="50"/>
        <v>0.3</v>
      </c>
      <c r="M229" s="141">
        <f t="shared" si="50"/>
        <v>0.3</v>
      </c>
      <c r="N229" s="141">
        <f t="shared" si="50"/>
        <v>0.3</v>
      </c>
      <c r="O229" s="141">
        <f t="shared" si="50"/>
        <v>0.3</v>
      </c>
      <c r="P229" s="141">
        <f t="shared" si="50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49"/>
        <v>0</v>
      </c>
      <c r="C230" s="129">
        <v>0.4</v>
      </c>
      <c r="D230" s="129">
        <f t="shared" si="50"/>
        <v>0.4</v>
      </c>
      <c r="E230" s="129">
        <f t="shared" si="50"/>
        <v>0.4</v>
      </c>
      <c r="F230" s="129">
        <f t="shared" si="50"/>
        <v>0.4</v>
      </c>
      <c r="G230" s="129">
        <f t="shared" si="50"/>
        <v>0.4</v>
      </c>
      <c r="H230" s="129">
        <f t="shared" si="50"/>
        <v>0.4</v>
      </c>
      <c r="I230" s="129">
        <f t="shared" si="50"/>
        <v>0.4</v>
      </c>
      <c r="J230" s="129">
        <f t="shared" si="50"/>
        <v>0.4</v>
      </c>
      <c r="K230" s="129">
        <f t="shared" si="50"/>
        <v>0.4</v>
      </c>
      <c r="L230" s="129">
        <f t="shared" si="50"/>
        <v>0.4</v>
      </c>
      <c r="M230" s="129">
        <f t="shared" si="50"/>
        <v>0.4</v>
      </c>
      <c r="N230" s="129">
        <f t="shared" si="50"/>
        <v>0.4</v>
      </c>
      <c r="O230" s="129">
        <f t="shared" si="50"/>
        <v>0.4</v>
      </c>
      <c r="P230" s="129">
        <f t="shared" si="50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49"/>
        <v>0</v>
      </c>
      <c r="C231" s="129">
        <v>1.5</v>
      </c>
      <c r="D231" s="129">
        <f t="shared" si="50"/>
        <v>1.5</v>
      </c>
      <c r="E231" s="129">
        <f t="shared" si="50"/>
        <v>1.5</v>
      </c>
      <c r="F231" s="129">
        <f t="shared" si="50"/>
        <v>1.5</v>
      </c>
      <c r="G231" s="129">
        <f t="shared" si="50"/>
        <v>1.5</v>
      </c>
      <c r="H231" s="129">
        <f t="shared" si="50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50"/>
        <v>123.21900000000009</v>
      </c>
      <c r="K231" s="129">
        <f t="shared" ca="1" si="50"/>
        <v>123.21900000000009</v>
      </c>
      <c r="L231" s="129">
        <f t="shared" ca="1" si="50"/>
        <v>123.21900000000009</v>
      </c>
      <c r="M231" s="129">
        <f t="shared" ca="1" si="50"/>
        <v>119.19900000000008</v>
      </c>
      <c r="N231" s="129">
        <f t="shared" ca="1" si="50"/>
        <v>119.19900000000008</v>
      </c>
      <c r="O231" s="129">
        <f t="shared" ca="1" si="50"/>
        <v>119.19900000000008</v>
      </c>
      <c r="P231" s="129">
        <f t="shared" ca="1" si="50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49"/>
        <v>0</v>
      </c>
      <c r="C232" s="129">
        <v>0.3</v>
      </c>
      <c r="D232" s="129">
        <f t="shared" si="50"/>
        <v>0.3</v>
      </c>
      <c r="E232" s="129">
        <f t="shared" si="50"/>
        <v>0.3</v>
      </c>
      <c r="F232" s="129">
        <f t="shared" si="50"/>
        <v>0.3</v>
      </c>
      <c r="G232" s="129">
        <f t="shared" si="50"/>
        <v>0.3</v>
      </c>
      <c r="H232" s="129">
        <f t="shared" si="50"/>
        <v>0.3</v>
      </c>
      <c r="I232" s="129">
        <f t="shared" si="50"/>
        <v>0.3</v>
      </c>
      <c r="J232" s="129">
        <f t="shared" si="50"/>
        <v>0.3</v>
      </c>
      <c r="K232" s="129">
        <f t="shared" si="50"/>
        <v>0.3</v>
      </c>
      <c r="L232" s="129">
        <f t="shared" si="50"/>
        <v>0.3</v>
      </c>
      <c r="M232" s="129">
        <f t="shared" si="50"/>
        <v>0.3</v>
      </c>
      <c r="N232" s="129">
        <f t="shared" si="50"/>
        <v>0.3</v>
      </c>
      <c r="O232" s="129">
        <f t="shared" si="50"/>
        <v>0.3</v>
      </c>
      <c r="P232" s="129">
        <f t="shared" si="50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49"/>
        <v>0</v>
      </c>
      <c r="C233" s="129">
        <v>0.4</v>
      </c>
      <c r="D233" s="129">
        <f t="shared" si="50"/>
        <v>0.4</v>
      </c>
      <c r="E233" s="129">
        <f t="shared" si="50"/>
        <v>0.4</v>
      </c>
      <c r="F233" s="129">
        <f t="shared" si="50"/>
        <v>0.4</v>
      </c>
      <c r="G233" s="129">
        <f t="shared" si="50"/>
        <v>0.4</v>
      </c>
      <c r="H233" s="129">
        <f t="shared" si="50"/>
        <v>0.4</v>
      </c>
      <c r="I233" s="129">
        <f t="shared" si="50"/>
        <v>0.4</v>
      </c>
      <c r="J233" s="129">
        <f t="shared" si="50"/>
        <v>0.4</v>
      </c>
      <c r="K233" s="129">
        <f t="shared" si="50"/>
        <v>0.4</v>
      </c>
      <c r="L233" s="129">
        <f t="shared" si="50"/>
        <v>0.4</v>
      </c>
      <c r="M233" s="129">
        <f t="shared" si="50"/>
        <v>0.4</v>
      </c>
      <c r="N233" s="129">
        <f t="shared" si="50"/>
        <v>0.4</v>
      </c>
      <c r="O233" s="129">
        <f t="shared" si="50"/>
        <v>0.4</v>
      </c>
      <c r="P233" s="129">
        <f t="shared" si="50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49"/>
        <v>0</v>
      </c>
      <c r="C234" s="133">
        <v>0.64</v>
      </c>
      <c r="D234" s="133">
        <f t="shared" si="50"/>
        <v>0.64</v>
      </c>
      <c r="E234" s="133">
        <f t="shared" si="50"/>
        <v>0.64</v>
      </c>
      <c r="F234" s="133">
        <f t="shared" si="50"/>
        <v>0.64</v>
      </c>
      <c r="G234" s="133">
        <f t="shared" si="50"/>
        <v>0.64</v>
      </c>
      <c r="H234" s="133">
        <f t="shared" si="50"/>
        <v>0.64</v>
      </c>
      <c r="I234" s="133">
        <f t="shared" si="50"/>
        <v>0.64</v>
      </c>
      <c r="J234" s="133">
        <f t="shared" si="50"/>
        <v>0.64</v>
      </c>
      <c r="K234" s="133">
        <f t="shared" si="50"/>
        <v>0.64</v>
      </c>
      <c r="L234" s="133">
        <f t="shared" si="50"/>
        <v>0.64</v>
      </c>
      <c r="M234" s="133">
        <f t="shared" si="50"/>
        <v>0.64</v>
      </c>
      <c r="N234" s="133">
        <f t="shared" si="50"/>
        <v>0.64</v>
      </c>
      <c r="O234" s="133">
        <f t="shared" si="50"/>
        <v>0.64</v>
      </c>
      <c r="P234" s="133">
        <f t="shared" si="50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51">SUM(B229:B234)</f>
        <v>0</v>
      </c>
      <c r="C235" s="137">
        <f t="shared" si="51"/>
        <v>3.54</v>
      </c>
      <c r="D235" s="137">
        <f t="shared" si="51"/>
        <v>3.54</v>
      </c>
      <c r="E235" s="137">
        <f t="shared" si="51"/>
        <v>3.54</v>
      </c>
      <c r="F235" s="137">
        <f t="shared" si="51"/>
        <v>3.54</v>
      </c>
      <c r="G235" s="137">
        <f t="shared" si="51"/>
        <v>3.54</v>
      </c>
      <c r="H235" s="137">
        <f t="shared" si="51"/>
        <v>3.54</v>
      </c>
      <c r="I235" s="137">
        <f t="shared" ca="1" si="51"/>
        <v>121.23900000000009</v>
      </c>
      <c r="J235" s="137">
        <f t="shared" ca="1" si="51"/>
        <v>121.23900000000009</v>
      </c>
      <c r="K235" s="137">
        <f t="shared" ca="1" si="51"/>
        <v>121.23900000000009</v>
      </c>
      <c r="L235" s="137">
        <f t="shared" ca="1" si="51"/>
        <v>125.2590000000001</v>
      </c>
      <c r="M235" s="137">
        <f t="shared" ca="1" si="51"/>
        <v>121.23900000000009</v>
      </c>
      <c r="N235" s="137">
        <f t="shared" ca="1" si="51"/>
        <v>121.23900000000009</v>
      </c>
      <c r="O235" s="137">
        <f t="shared" ca="1" si="51"/>
        <v>121.23900000000009</v>
      </c>
      <c r="P235" s="137">
        <f t="shared" ca="1" si="51"/>
        <v>121.23900000000009</v>
      </c>
      <c r="Q235" s="137">
        <f t="shared" si="51"/>
        <v>0</v>
      </c>
      <c r="R235" s="137">
        <f t="shared" si="51"/>
        <v>0</v>
      </c>
      <c r="S235" s="137">
        <f t="shared" si="51"/>
        <v>0</v>
      </c>
      <c r="T235" s="137">
        <f t="shared" si="51"/>
        <v>0</v>
      </c>
      <c r="U235" s="137">
        <f t="shared" si="51"/>
        <v>0</v>
      </c>
      <c r="V235" s="137">
        <f t="shared" si="51"/>
        <v>0</v>
      </c>
      <c r="W235" s="137">
        <f t="shared" si="51"/>
        <v>0</v>
      </c>
      <c r="X235" s="137">
        <f t="shared" si="51"/>
        <v>0</v>
      </c>
      <c r="Y235" s="137">
        <f t="shared" si="51"/>
        <v>0</v>
      </c>
      <c r="Z235" s="137">
        <f t="shared" si="51"/>
        <v>0</v>
      </c>
      <c r="AA235" s="137">
        <f t="shared" si="51"/>
        <v>0</v>
      </c>
      <c r="AB235" s="137">
        <f t="shared" si="51"/>
        <v>0</v>
      </c>
      <c r="AC235" s="137">
        <f t="shared" si="51"/>
        <v>0</v>
      </c>
      <c r="AD235" s="137">
        <f t="shared" si="51"/>
        <v>0</v>
      </c>
      <c r="AE235" s="137">
        <f t="shared" si="51"/>
        <v>0</v>
      </c>
      <c r="AF235" s="137">
        <f t="shared" si="51"/>
        <v>0</v>
      </c>
      <c r="AG235" s="146">
        <f t="shared" si="51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1991.94</v>
      </c>
      <c r="C244" s="162">
        <f>INDEX(G9:N9,1,MATCH(MAX(G91:N91),G91:N91,0))</f>
        <v>0.3125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31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str">
        <f ca="1">"Pie Chart of Daily Peak Demand(Inclusive of Export) of Nepal ("&amp;A4&amp;" "&amp;B4&amp;")"</f>
        <v>Pie Chart of Daily Peak Demand(Inclusive of Export) of Nepal (Nepali Date: 2080/03/31)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str">
        <f ca="1">"Daily Load Curve(Excluding of Export) of Nepal ("&amp;A4&amp;" "&amp;B4&amp;")"</f>
        <v>Daily Load Curve(Excluding of Export) of Nepal (Nepali Date: 2080/03/31)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52">B91</f>
        <v>1944.8400000000001</v>
      </c>
      <c r="U249" s="171">
        <f t="shared" si="52"/>
        <v>1947.94</v>
      </c>
      <c r="V249" s="171">
        <f t="shared" si="52"/>
        <v>1939.1399999999999</v>
      </c>
      <c r="W249" s="171">
        <f t="shared" si="52"/>
        <v>1933.44</v>
      </c>
      <c r="X249" s="171">
        <f t="shared" si="52"/>
        <v>1915.84</v>
      </c>
      <c r="Y249" s="171">
        <f t="shared" si="52"/>
        <v>1933.34</v>
      </c>
      <c r="Z249" s="171">
        <f t="shared" si="52"/>
        <v>1920.9399999999998</v>
      </c>
      <c r="AA249" s="171">
        <f t="shared" si="52"/>
        <v>1927.4399999999998</v>
      </c>
      <c r="AB249" s="171">
        <f t="shared" si="52"/>
        <v>1940.9399999999998</v>
      </c>
      <c r="AC249" s="171">
        <f t="shared" si="52"/>
        <v>1937.7399999999998</v>
      </c>
      <c r="AD249" s="171">
        <f t="shared" si="52"/>
        <v>1991.94</v>
      </c>
      <c r="AE249" s="171">
        <f t="shared" si="52"/>
        <v>1972.34</v>
      </c>
      <c r="AF249" s="171">
        <f t="shared" si="52"/>
        <v>1987.34</v>
      </c>
      <c r="AG249" s="171">
        <f t="shared" si="52"/>
        <v>2059.4399999999996</v>
      </c>
      <c r="AH249" s="171">
        <f t="shared" si="52"/>
        <v>2099.14</v>
      </c>
      <c r="AI249" s="171">
        <f t="shared" si="52"/>
        <v>2081.7399999999998</v>
      </c>
      <c r="AJ249" s="171">
        <f t="shared" si="52"/>
        <v>2063.54</v>
      </c>
      <c r="AK249" s="171">
        <f t="shared" si="52"/>
        <v>2015.9399999999998</v>
      </c>
      <c r="AL249" s="171">
        <f t="shared" si="52"/>
        <v>2003.04</v>
      </c>
      <c r="AM249" s="171">
        <f t="shared" si="52"/>
        <v>2035.44</v>
      </c>
      <c r="AN249" s="171">
        <f t="shared" si="52"/>
        <v>1982.2399999999998</v>
      </c>
      <c r="AO249" s="171">
        <f t="shared" si="52"/>
        <v>1981.2399999999998</v>
      </c>
      <c r="AP249" s="171">
        <f t="shared" si="52"/>
        <v>1981.2399999999998</v>
      </c>
      <c r="AQ249" s="171">
        <f t="shared" si="52"/>
        <v>1981.2399999999998</v>
      </c>
      <c r="AR249" s="171">
        <f t="shared" si="52"/>
        <v>2026.34</v>
      </c>
      <c r="AS249" s="171">
        <f t="shared" si="52"/>
        <v>2029.539</v>
      </c>
      <c r="AT249" s="171">
        <f t="shared" si="52"/>
        <v>2112.84</v>
      </c>
      <c r="AU249" s="171">
        <f t="shared" si="52"/>
        <v>2103.14</v>
      </c>
      <c r="AV249" s="171">
        <f t="shared" si="52"/>
        <v>2120.84</v>
      </c>
      <c r="AW249" s="171">
        <f t="shared" si="52"/>
        <v>2073.14</v>
      </c>
      <c r="AX249" s="171">
        <f t="shared" si="52"/>
        <v>2005.1399999999999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53">C234</f>
        <v>0.64</v>
      </c>
      <c r="C270" s="174">
        <f t="shared" si="53"/>
        <v>0.64</v>
      </c>
      <c r="D270" s="174">
        <f t="shared" si="53"/>
        <v>0.64</v>
      </c>
      <c r="E270" s="174">
        <f t="shared" si="53"/>
        <v>0.64</v>
      </c>
      <c r="F270" s="174">
        <f t="shared" si="53"/>
        <v>0.64</v>
      </c>
      <c r="G270" s="174">
        <f t="shared" si="53"/>
        <v>0.64</v>
      </c>
      <c r="H270" s="174">
        <f t="shared" si="53"/>
        <v>0.64</v>
      </c>
      <c r="I270" s="174">
        <f t="shared" si="53"/>
        <v>0.64</v>
      </c>
      <c r="J270" s="174">
        <f t="shared" si="53"/>
        <v>0.64</v>
      </c>
      <c r="K270" s="174">
        <f t="shared" si="53"/>
        <v>0.64</v>
      </c>
      <c r="L270" s="174">
        <f t="shared" si="53"/>
        <v>0.64</v>
      </c>
      <c r="M270" s="174">
        <f t="shared" si="53"/>
        <v>0.64</v>
      </c>
      <c r="N270" s="174">
        <f t="shared" si="53"/>
        <v>0.64</v>
      </c>
      <c r="O270" s="174">
        <f t="shared" si="53"/>
        <v>0.64</v>
      </c>
      <c r="P270" s="174">
        <f t="shared" si="53"/>
        <v>0</v>
      </c>
      <c r="Q270" s="174">
        <f t="shared" si="53"/>
        <v>0</v>
      </c>
      <c r="R270" s="174">
        <f t="shared" si="53"/>
        <v>0</v>
      </c>
      <c r="S270" s="174">
        <f t="shared" si="53"/>
        <v>0</v>
      </c>
      <c r="T270" s="174">
        <f t="shared" si="53"/>
        <v>0</v>
      </c>
      <c r="U270" s="174">
        <f t="shared" si="53"/>
        <v>0</v>
      </c>
      <c r="V270" s="174">
        <f t="shared" si="53"/>
        <v>0</v>
      </c>
      <c r="W270" s="174">
        <f t="shared" si="53"/>
        <v>0</v>
      </c>
      <c r="X270" s="174">
        <f t="shared" si="53"/>
        <v>0</v>
      </c>
      <c r="Y270" s="174">
        <f t="shared" si="53"/>
        <v>0</v>
      </c>
      <c r="Z270" s="174">
        <f t="shared" si="53"/>
        <v>0</v>
      </c>
      <c r="AA270" s="174">
        <f t="shared" si="53"/>
        <v>0</v>
      </c>
      <c r="AB270" s="174">
        <f t="shared" si="53"/>
        <v>0</v>
      </c>
      <c r="AC270" s="174">
        <f t="shared" si="53"/>
        <v>0</v>
      </c>
      <c r="AD270" s="174">
        <f t="shared" si="53"/>
        <v>0</v>
      </c>
      <c r="AE270" s="174">
        <f t="shared" si="53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54">IF(B238&lt;100,"",B238-520)</f>
        <v/>
      </c>
      <c r="C271" s="175" t="str">
        <f t="shared" si="54"/>
        <v/>
      </c>
      <c r="D271" s="175" t="str">
        <f t="shared" si="54"/>
        <v/>
      </c>
      <c r="E271" s="175" t="str">
        <f t="shared" si="54"/>
        <v/>
      </c>
      <c r="F271" s="175" t="str">
        <f t="shared" si="54"/>
        <v/>
      </c>
      <c r="G271" s="175" t="str">
        <f t="shared" si="54"/>
        <v/>
      </c>
      <c r="H271" s="175" t="str">
        <f t="shared" si="54"/>
        <v/>
      </c>
      <c r="I271" s="175" t="str">
        <f t="shared" si="54"/>
        <v/>
      </c>
      <c r="J271" s="175" t="str">
        <f t="shared" si="54"/>
        <v/>
      </c>
      <c r="K271" s="175" t="str">
        <f t="shared" si="54"/>
        <v/>
      </c>
      <c r="L271" s="175" t="str">
        <f t="shared" si="54"/>
        <v/>
      </c>
      <c r="M271" s="175" t="str">
        <f t="shared" si="54"/>
        <v/>
      </c>
      <c r="N271" s="175" t="str">
        <f t="shared" si="54"/>
        <v/>
      </c>
      <c r="O271" s="175" t="str">
        <f t="shared" si="54"/>
        <v/>
      </c>
      <c r="P271" s="175" t="str">
        <f t="shared" si="54"/>
        <v/>
      </c>
      <c r="Q271" s="175" t="str">
        <f t="shared" si="54"/>
        <v/>
      </c>
      <c r="R271" s="175" t="str">
        <f t="shared" si="54"/>
        <v/>
      </c>
      <c r="S271" s="175" t="str">
        <f t="shared" si="54"/>
        <v/>
      </c>
      <c r="T271" s="175" t="str">
        <f t="shared" si="54"/>
        <v/>
      </c>
      <c r="U271" s="175" t="str">
        <f t="shared" si="54"/>
        <v/>
      </c>
      <c r="V271" s="175" t="str">
        <f t="shared" si="54"/>
        <v/>
      </c>
      <c r="W271" s="175" t="str">
        <f t="shared" si="54"/>
        <v/>
      </c>
      <c r="X271" s="175" t="str">
        <f t="shared" si="54"/>
        <v/>
      </c>
      <c r="Y271" s="175" t="str">
        <f t="shared" si="54"/>
        <v/>
      </c>
      <c r="Z271" s="175" t="str">
        <f t="shared" si="54"/>
        <v/>
      </c>
      <c r="AA271" s="175" t="str">
        <f t="shared" si="54"/>
        <v/>
      </c>
      <c r="AB271" s="175" t="str">
        <f t="shared" si="54"/>
        <v/>
      </c>
      <c r="AC271" s="175" t="str">
        <f t="shared" si="54"/>
        <v/>
      </c>
      <c r="AD271" s="175" t="str">
        <f t="shared" si="54"/>
        <v/>
      </c>
      <c r="AE271" s="175" t="str">
        <f t="shared" si="54"/>
        <v/>
      </c>
      <c r="AF271" s="175" t="str">
        <f t="shared" si="54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55">IF(B239&lt;100,"",B239-620)</f>
        <v/>
      </c>
      <c r="C272" s="175" t="str">
        <f t="shared" si="55"/>
        <v/>
      </c>
      <c r="D272" s="175" t="str">
        <f t="shared" si="55"/>
        <v/>
      </c>
      <c r="E272" s="175" t="str">
        <f t="shared" si="55"/>
        <v/>
      </c>
      <c r="F272" s="175" t="str">
        <f t="shared" si="55"/>
        <v/>
      </c>
      <c r="G272" s="175" t="str">
        <f t="shared" si="55"/>
        <v/>
      </c>
      <c r="H272" s="175" t="str">
        <f t="shared" si="55"/>
        <v/>
      </c>
      <c r="I272" s="175" t="str">
        <f t="shared" si="55"/>
        <v/>
      </c>
      <c r="J272" s="175" t="str">
        <f t="shared" si="55"/>
        <v/>
      </c>
      <c r="K272" s="175" t="str">
        <f t="shared" si="55"/>
        <v/>
      </c>
      <c r="L272" s="175" t="str">
        <f t="shared" si="55"/>
        <v/>
      </c>
      <c r="M272" s="175" t="str">
        <f t="shared" si="55"/>
        <v/>
      </c>
      <c r="N272" s="175" t="str">
        <f t="shared" si="55"/>
        <v/>
      </c>
      <c r="O272" s="175" t="str">
        <f t="shared" si="55"/>
        <v/>
      </c>
      <c r="P272" s="175" t="str">
        <f t="shared" si="55"/>
        <v/>
      </c>
      <c r="Q272" s="175" t="str">
        <f t="shared" si="55"/>
        <v/>
      </c>
      <c r="R272" s="175" t="str">
        <f t="shared" si="55"/>
        <v/>
      </c>
      <c r="S272" s="175" t="str">
        <f t="shared" si="55"/>
        <v/>
      </c>
      <c r="T272" s="175" t="str">
        <f t="shared" si="55"/>
        <v/>
      </c>
      <c r="U272" s="175" t="str">
        <f t="shared" si="55"/>
        <v/>
      </c>
      <c r="V272" s="175" t="str">
        <f t="shared" si="55"/>
        <v/>
      </c>
      <c r="W272" s="175" t="str">
        <f t="shared" si="55"/>
        <v/>
      </c>
      <c r="X272" s="175" t="str">
        <f t="shared" si="55"/>
        <v/>
      </c>
      <c r="Y272" s="175" t="str">
        <f t="shared" si="55"/>
        <v/>
      </c>
      <c r="Z272" s="175" t="str">
        <f t="shared" si="55"/>
        <v/>
      </c>
      <c r="AA272" s="175" t="str">
        <f t="shared" si="55"/>
        <v/>
      </c>
      <c r="AB272" s="175" t="str">
        <f t="shared" si="55"/>
        <v/>
      </c>
      <c r="AC272" s="175" t="str">
        <f t="shared" si="55"/>
        <v/>
      </c>
      <c r="AD272" s="175" t="str">
        <f t="shared" si="55"/>
        <v/>
      </c>
      <c r="AE272" s="175" t="str">
        <f t="shared" si="55"/>
        <v/>
      </c>
      <c r="AF272" s="175" t="str">
        <f t="shared" si="55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56">IF(B240&lt;100,"",B240-330)</f>
        <v/>
      </c>
      <c r="C273" s="175" t="str">
        <f t="shared" si="56"/>
        <v/>
      </c>
      <c r="D273" s="175" t="str">
        <f t="shared" si="56"/>
        <v/>
      </c>
      <c r="E273" s="175" t="str">
        <f t="shared" si="56"/>
        <v/>
      </c>
      <c r="F273" s="175" t="str">
        <f t="shared" si="56"/>
        <v/>
      </c>
      <c r="G273" s="175" t="str">
        <f t="shared" si="56"/>
        <v/>
      </c>
      <c r="H273" s="175" t="str">
        <f t="shared" si="56"/>
        <v/>
      </c>
      <c r="I273" s="175" t="str">
        <f t="shared" si="56"/>
        <v/>
      </c>
      <c r="J273" s="175" t="str">
        <f t="shared" si="56"/>
        <v/>
      </c>
      <c r="K273" s="175" t="str">
        <f t="shared" si="56"/>
        <v/>
      </c>
      <c r="L273" s="175" t="str">
        <f t="shared" si="56"/>
        <v/>
      </c>
      <c r="M273" s="175" t="str">
        <f t="shared" si="56"/>
        <v/>
      </c>
      <c r="N273" s="175" t="str">
        <f t="shared" si="56"/>
        <v/>
      </c>
      <c r="O273" s="175" t="str">
        <f t="shared" si="56"/>
        <v/>
      </c>
      <c r="P273" s="175" t="str">
        <f t="shared" si="56"/>
        <v/>
      </c>
      <c r="Q273" s="175" t="str">
        <f t="shared" si="56"/>
        <v/>
      </c>
      <c r="R273" s="175" t="str">
        <f t="shared" si="56"/>
        <v/>
      </c>
      <c r="S273" s="175" t="str">
        <f t="shared" si="56"/>
        <v/>
      </c>
      <c r="T273" s="175" t="str">
        <f t="shared" si="56"/>
        <v/>
      </c>
      <c r="U273" s="175" t="str">
        <f t="shared" si="56"/>
        <v/>
      </c>
      <c r="V273" s="175" t="str">
        <f t="shared" si="56"/>
        <v/>
      </c>
      <c r="W273" s="175" t="str">
        <f t="shared" si="56"/>
        <v/>
      </c>
      <c r="X273" s="175" t="str">
        <f t="shared" si="56"/>
        <v/>
      </c>
      <c r="Y273" s="175" t="str">
        <f t="shared" si="56"/>
        <v/>
      </c>
      <c r="Z273" s="175" t="str">
        <f t="shared" si="56"/>
        <v/>
      </c>
      <c r="AA273" s="175" t="str">
        <f t="shared" si="56"/>
        <v/>
      </c>
      <c r="AB273" s="175" t="str">
        <f t="shared" si="56"/>
        <v/>
      </c>
      <c r="AC273" s="175" t="str">
        <f t="shared" si="56"/>
        <v/>
      </c>
      <c r="AD273" s="175" t="str">
        <f t="shared" si="56"/>
        <v/>
      </c>
      <c r="AE273" s="175" t="str">
        <f t="shared" si="56"/>
        <v/>
      </c>
      <c r="AF273" s="175" t="str">
        <f t="shared" si="56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57">IF(B241&lt;100,"",B241-1500)</f>
        <v/>
      </c>
      <c r="C274" s="175" t="str">
        <f t="shared" si="57"/>
        <v/>
      </c>
      <c r="D274" s="175" t="str">
        <f t="shared" si="57"/>
        <v/>
      </c>
      <c r="E274" s="175" t="str">
        <f t="shared" si="57"/>
        <v/>
      </c>
      <c r="F274" s="175" t="str">
        <f t="shared" si="57"/>
        <v/>
      </c>
      <c r="G274" s="175" t="str">
        <f t="shared" si="57"/>
        <v/>
      </c>
      <c r="H274" s="175" t="str">
        <f t="shared" si="57"/>
        <v/>
      </c>
      <c r="I274" s="175" t="str">
        <f t="shared" si="57"/>
        <v/>
      </c>
      <c r="J274" s="175" t="str">
        <f t="shared" si="57"/>
        <v/>
      </c>
      <c r="K274" s="175" t="str">
        <f t="shared" si="57"/>
        <v/>
      </c>
      <c r="L274" s="175" t="str">
        <f t="shared" si="57"/>
        <v/>
      </c>
      <c r="M274" s="175" t="str">
        <f t="shared" si="57"/>
        <v/>
      </c>
      <c r="N274" s="175" t="str">
        <f t="shared" si="57"/>
        <v/>
      </c>
      <c r="O274" s="175" t="str">
        <f t="shared" si="57"/>
        <v/>
      </c>
      <c r="P274" s="175" t="str">
        <f t="shared" si="57"/>
        <v/>
      </c>
      <c r="Q274" s="175" t="str">
        <f t="shared" si="57"/>
        <v/>
      </c>
      <c r="R274" s="175" t="str">
        <f t="shared" si="57"/>
        <v/>
      </c>
      <c r="S274" s="175" t="str">
        <f t="shared" si="57"/>
        <v/>
      </c>
      <c r="T274" s="175" t="str">
        <f t="shared" si="57"/>
        <v/>
      </c>
      <c r="U274" s="175" t="str">
        <f t="shared" si="57"/>
        <v/>
      </c>
      <c r="V274" s="175" t="str">
        <f t="shared" si="57"/>
        <v/>
      </c>
      <c r="W274" s="175" t="str">
        <f t="shared" si="57"/>
        <v/>
      </c>
      <c r="X274" s="175" t="str">
        <f t="shared" si="57"/>
        <v/>
      </c>
      <c r="Y274" s="175" t="str">
        <f t="shared" si="57"/>
        <v/>
      </c>
      <c r="Z274" s="175" t="str">
        <f t="shared" si="57"/>
        <v/>
      </c>
      <c r="AA274" s="175" t="str">
        <f t="shared" si="57"/>
        <v/>
      </c>
      <c r="AB274" s="175" t="str">
        <f t="shared" si="57"/>
        <v/>
      </c>
      <c r="AC274" s="175" t="str">
        <f t="shared" si="57"/>
        <v/>
      </c>
      <c r="AD274" s="175" t="str">
        <f t="shared" si="57"/>
        <v/>
      </c>
      <c r="AE274" s="175" t="str">
        <f t="shared" si="57"/>
        <v/>
      </c>
      <c r="AF274" s="175" t="str">
        <f t="shared" si="57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52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26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E111:AF111 E113:AF119 AA14:AF17 AA12:AF12">
    <cfRule type="expression" dxfId="4325" priority="522">
      <formula>B$9&gt;=20/24</formula>
    </cfRule>
    <cfRule type="expression" dxfId="4324" priority="523">
      <formula>AND(B$9&gt;=14/24,B$9&lt;20/24)</formula>
    </cfRule>
    <cfRule type="expression" dxfId="4323" priority="524">
      <formula>AND(B$9&gt;=8/24,B$9&lt;14/24)</formula>
    </cfRule>
    <cfRule type="expression" dxfId="4322" priority="525">
      <formula>B$9&lt;8/24</formula>
    </cfRule>
  </conditionalFormatting>
  <conditionalFormatting sqref="AL4:AL6">
    <cfRule type="iconSet" priority="521">
      <iconSet iconSet="3TrafficLights2" reverse="1">
        <cfvo type="percent" val="0"/>
        <cfvo type="num" val="1"/>
        <cfvo type="num" val="1"/>
      </iconSet>
    </cfRule>
  </conditionalFormatting>
  <conditionalFormatting sqref="AG67 AA14:AF17 AA12:AF12">
    <cfRule type="expression" dxfId="4321" priority="520">
      <formula>AA12&gt;$AG12</formula>
    </cfRule>
  </conditionalFormatting>
  <conditionalFormatting sqref="A101:A111 A61:A88 A97:A99 A205:A235 A48:A59 A121:A192 A43:A44 A93:A95 A90:A91 A113:A115 A40:A41 A21:A22 A24:A34 A19 A36:A38 A12:A17">
    <cfRule type="expression" dxfId="4320" priority="519">
      <formula>$AH12=0</formula>
    </cfRule>
  </conditionalFormatting>
  <conditionalFormatting sqref="A116">
    <cfRule type="expression" dxfId="4319" priority="518">
      <formula>$AH116=0</formula>
    </cfRule>
  </conditionalFormatting>
  <conditionalFormatting sqref="AL44">
    <cfRule type="iconSet" priority="517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4318" priority="516">
      <formula>$AH47=0</formula>
    </cfRule>
  </conditionalFormatting>
  <conditionalFormatting sqref="A100">
    <cfRule type="expression" dxfId="4317" priority="515">
      <formula>$AH100=0</formula>
    </cfRule>
  </conditionalFormatting>
  <conditionalFormatting sqref="A20">
    <cfRule type="expression" dxfId="4316" priority="514">
      <formula>$AH20=0</formula>
    </cfRule>
  </conditionalFormatting>
  <conditionalFormatting sqref="A199:A204">
    <cfRule type="expression" dxfId="4315" priority="513">
      <formula>$AH199=0</formula>
    </cfRule>
  </conditionalFormatting>
  <conditionalFormatting sqref="A193:A198">
    <cfRule type="expression" dxfId="4314" priority="512">
      <formula>$AH193=0</formula>
    </cfRule>
  </conditionalFormatting>
  <conditionalFormatting sqref="A60">
    <cfRule type="expression" dxfId="4313" priority="511">
      <formula>$AH60=0</formula>
    </cfRule>
  </conditionalFormatting>
  <conditionalFormatting sqref="A96">
    <cfRule type="expression" dxfId="4312" priority="510">
      <formula>$AH96=0</formula>
    </cfRule>
  </conditionalFormatting>
  <conditionalFormatting sqref="AD101:AF101 E101:Z101">
    <cfRule type="expression" dxfId="4311" priority="506">
      <formula>E$9&gt;=20/24</formula>
    </cfRule>
    <cfRule type="expression" dxfId="4310" priority="507">
      <formula>AND(E$9&gt;=14/24,E$9&lt;20/24)</formula>
    </cfRule>
    <cfRule type="expression" dxfId="4309" priority="508">
      <formula>AND(E$9&gt;=8/24,E$9&lt;14/24)</formula>
    </cfRule>
    <cfRule type="expression" dxfId="4308" priority="509">
      <formula>E$9&lt;8/24</formula>
    </cfRule>
  </conditionalFormatting>
  <conditionalFormatting sqref="AL45">
    <cfRule type="iconSet" priority="50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307" priority="528">
      <formula>C$9&gt;=20/24</formula>
    </cfRule>
    <cfRule type="expression" dxfId="4306" priority="529">
      <formula>AND(C$9&gt;=14/24,C$9&lt;20/24)</formula>
    </cfRule>
    <cfRule type="expression" dxfId="4305" priority="530">
      <formula>AND(C$9&gt;=8/24,C$9&lt;14/24)</formula>
    </cfRule>
    <cfRule type="expression" dxfId="4304" priority="531">
      <formula>C$9&lt;8/24</formula>
    </cfRule>
  </conditionalFormatting>
  <conditionalFormatting sqref="A236">
    <cfRule type="expression" dxfId="4303" priority="532">
      <formula>$AH236=0</formula>
    </cfRule>
  </conditionalFormatting>
  <conditionalFormatting sqref="AG248">
    <cfRule type="expression" dxfId="4302" priority="533">
      <formula>B$9&gt;=20/24</formula>
    </cfRule>
    <cfRule type="expression" dxfId="4301" priority="534">
      <formula>AND(B$9&gt;=14/24,B$9&lt;20/24)</formula>
    </cfRule>
    <cfRule type="expression" dxfId="4300" priority="535">
      <formula>AND(B$9&gt;=8/24,B$9&lt;14/24)</formula>
    </cfRule>
    <cfRule type="expression" dxfId="4299" priority="536">
      <formula>B$9&lt;8/24</formula>
    </cfRule>
  </conditionalFormatting>
  <conditionalFormatting sqref="S8">
    <cfRule type="expression" dxfId="4298" priority="501">
      <formula>U$9&gt;=20/24</formula>
    </cfRule>
    <cfRule type="expression" dxfId="4297" priority="502">
      <formula>AND(U$9&gt;=14/24,U$9&lt;20/24)</formula>
    </cfRule>
    <cfRule type="expression" dxfId="4296" priority="503">
      <formula>AND(U$9&gt;=8/24,U$9&lt;14/24)</formula>
    </cfRule>
    <cfRule type="expression" dxfId="4295" priority="504">
      <formula>U$9&lt;8/24</formula>
    </cfRule>
  </conditionalFormatting>
  <conditionalFormatting sqref="AB8">
    <cfRule type="expression" dxfId="4294" priority="497">
      <formula>AD$9&gt;=20/24</formula>
    </cfRule>
    <cfRule type="expression" dxfId="4293" priority="498">
      <formula>AND(AD$9&gt;=14/24,AD$9&lt;20/24)</formula>
    </cfRule>
    <cfRule type="expression" dxfId="4292" priority="499">
      <formula>AND(AD$9&gt;=8/24,AD$9&lt;14/24)</formula>
    </cfRule>
    <cfRule type="expression" dxfId="4291" priority="500">
      <formula>AD$9&lt;8/24</formula>
    </cfRule>
  </conditionalFormatting>
  <conditionalFormatting sqref="AH248:AX248">
    <cfRule type="expression" dxfId="4290" priority="537">
      <formula>AG$9&gt;=20/24</formula>
    </cfRule>
    <cfRule type="expression" dxfId="4289" priority="538">
      <formula>AND(AG$9&gt;=14/24,AG$9&lt;20/24)</formula>
    </cfRule>
    <cfRule type="expression" dxfId="4288" priority="539">
      <formula>AND(AG$9&gt;=8/24,AG$9&lt;14/24)</formula>
    </cfRule>
    <cfRule type="expression" dxfId="4287" priority="540">
      <formula>AG$9&lt;8/24</formula>
    </cfRule>
  </conditionalFormatting>
  <conditionalFormatting sqref="T248">
    <cfRule type="expression" dxfId="4286" priority="541">
      <formula>AX$9&gt;=20/24</formula>
    </cfRule>
    <cfRule type="expression" dxfId="4285" priority="542">
      <formula>AND(AX$9&gt;=14/24,AX$9&lt;20/24)</formula>
    </cfRule>
    <cfRule type="expression" dxfId="4284" priority="543">
      <formula>AND(AX$9&gt;=8/24,AX$9&lt;14/24)</formula>
    </cfRule>
    <cfRule type="expression" dxfId="4283" priority="544">
      <formula>AX$9&lt;8/24</formula>
    </cfRule>
  </conditionalFormatting>
  <conditionalFormatting sqref="A117:A119">
    <cfRule type="expression" dxfId="4282" priority="496">
      <formula>$AH117=0</formula>
    </cfRule>
  </conditionalFormatting>
  <conditionalFormatting sqref="AF73 P56:Z59 P73:AD73">
    <cfRule type="expression" dxfId="4281" priority="492">
      <formula>P$9&gt;=20/24</formula>
    </cfRule>
    <cfRule type="expression" dxfId="4280" priority="493">
      <formula>AND(P$9&gt;=14/24,P$9&lt;20/24)</formula>
    </cfRule>
    <cfRule type="expression" dxfId="4279" priority="494">
      <formula>AND(P$9&gt;=8/24,P$9&lt;14/24)</formula>
    </cfRule>
    <cfRule type="expression" dxfId="4278" priority="495">
      <formula>P$9&lt;8/24</formula>
    </cfRule>
  </conditionalFormatting>
  <conditionalFormatting sqref="P55:Z55">
    <cfRule type="expression" dxfId="4277" priority="488">
      <formula>P$9&gt;=20/24</formula>
    </cfRule>
    <cfRule type="expression" dxfId="4276" priority="489">
      <formula>AND(P$9&gt;=14/24,P$9&lt;20/24)</formula>
    </cfRule>
    <cfRule type="expression" dxfId="4275" priority="490">
      <formula>AND(P$9&gt;=8/24,P$9&lt;14/24)</formula>
    </cfRule>
    <cfRule type="expression" dxfId="4274" priority="491">
      <formula>P$9&lt;8/24</formula>
    </cfRule>
  </conditionalFormatting>
  <conditionalFormatting sqref="P55:Z59">
    <cfRule type="expression" dxfId="4273" priority="487">
      <formula>P55&gt;$AG55</formula>
    </cfRule>
  </conditionalFormatting>
  <conditionalFormatting sqref="X98:AF98 AE102:AF102 AF74:AF75 E88:AF88 P74:AD75 M102:Z108 X49:AF49 AA69:AF71">
    <cfRule type="expression" dxfId="4272" priority="483">
      <formula>E$9&gt;=20/24</formula>
    </cfRule>
    <cfRule type="expression" dxfId="4271" priority="484">
      <formula>AND(E$9&gt;=14/24,E$9&lt;20/24)</formula>
    </cfRule>
    <cfRule type="expression" dxfId="4270" priority="485">
      <formula>AND(E$9&gt;=8/24,E$9&lt;14/24)</formula>
    </cfRule>
    <cfRule type="expression" dxfId="4269" priority="486">
      <formula>E$9&lt;8/24</formula>
    </cfRule>
  </conditionalFormatting>
  <conditionalFormatting sqref="X49:AF49 AA69:AF71">
    <cfRule type="expression" dxfId="4268" priority="482">
      <formula>X49&gt;$AG49</formula>
    </cfRule>
  </conditionalFormatting>
  <conditionalFormatting sqref="AA55:AE60 AF56:AF60">
    <cfRule type="expression" dxfId="4267" priority="478">
      <formula>AA$9&gt;=20/24</formula>
    </cfRule>
    <cfRule type="expression" dxfId="4266" priority="479">
      <formula>AND(AA$9&gt;=14/24,AA$9&lt;20/24)</formula>
    </cfRule>
    <cfRule type="expression" dxfId="4265" priority="480">
      <formula>AND(AA$9&gt;=8/24,AA$9&lt;14/24)</formula>
    </cfRule>
    <cfRule type="expression" dxfId="4264" priority="481">
      <formula>AA$9&lt;8/24</formula>
    </cfRule>
  </conditionalFormatting>
  <conditionalFormatting sqref="AA55:AE60 AF56:AF60">
    <cfRule type="expression" dxfId="4263" priority="477">
      <formula>AA55&gt;$AG55</formula>
    </cfRule>
  </conditionalFormatting>
  <conditionalFormatting sqref="E99:AF99 E90:AF90">
    <cfRule type="expression" dxfId="4262" priority="473">
      <formula>E$9&gt;=20/24</formula>
    </cfRule>
    <cfRule type="expression" dxfId="4261" priority="474">
      <formula>AND(E$9&gt;=14/24,E$9&lt;20/24)</formula>
    </cfRule>
    <cfRule type="expression" dxfId="4260" priority="475">
      <formula>AND(E$9&gt;=8/24,E$9&lt;14/24)</formula>
    </cfRule>
    <cfRule type="expression" dxfId="4259" priority="476">
      <formula>E$9&lt;8/24</formula>
    </cfRule>
  </conditionalFormatting>
  <conditionalFormatting sqref="T49:W49">
    <cfRule type="expression" dxfId="4258" priority="469">
      <formula>T$9&gt;=20/24</formula>
    </cfRule>
    <cfRule type="expression" dxfId="4257" priority="470">
      <formula>AND(T$9&gt;=14/24,T$9&lt;20/24)</formula>
    </cfRule>
    <cfRule type="expression" dxfId="4256" priority="471">
      <formula>AND(T$9&gt;=8/24,T$9&lt;14/24)</formula>
    </cfRule>
    <cfRule type="expression" dxfId="4255" priority="472">
      <formula>T$9&lt;8/24</formula>
    </cfRule>
  </conditionalFormatting>
  <conditionalFormatting sqref="T49:W49">
    <cfRule type="expression" dxfId="4254" priority="468">
      <formula>T49&gt;$AG49</formula>
    </cfRule>
  </conditionalFormatting>
  <conditionalFormatting sqref="AG72 AG89 E102:L108">
    <cfRule type="expression" dxfId="4253" priority="455">
      <formula>E$9&gt;=20/24</formula>
    </cfRule>
    <cfRule type="expression" dxfId="4252" priority="456">
      <formula>AND(E$9&gt;=14/24,E$9&lt;20/24)</formula>
    </cfRule>
    <cfRule type="expression" dxfId="4251" priority="457">
      <formula>AND(E$9&gt;=8/24,E$9&lt;14/24)</formula>
    </cfRule>
    <cfRule type="expression" dxfId="4250" priority="458">
      <formula>E$9&lt;8/24</formula>
    </cfRule>
  </conditionalFormatting>
  <conditionalFormatting sqref="AG50 AG68 AG72">
    <cfRule type="expression" dxfId="4249" priority="454">
      <formula>AG50&gt;$AG50</formula>
    </cfRule>
  </conditionalFormatting>
  <conditionalFormatting sqref="A45">
    <cfRule type="expression" dxfId="4248" priority="448">
      <formula>$AH45=0</formula>
    </cfRule>
  </conditionalFormatting>
  <conditionalFormatting sqref="X93:AF97">
    <cfRule type="expression" dxfId="4247" priority="444">
      <formula>X$9&gt;=20/24</formula>
    </cfRule>
    <cfRule type="expression" dxfId="4246" priority="445">
      <formula>AND(X$9&gt;=14/24,X$9&lt;20/24)</formula>
    </cfRule>
    <cfRule type="expression" dxfId="4245" priority="446">
      <formula>AND(X$9&gt;=8/24,X$9&lt;14/24)</formula>
    </cfRule>
    <cfRule type="expression" dxfId="4244" priority="447">
      <formula>X$9&lt;8/24</formula>
    </cfRule>
  </conditionalFormatting>
  <conditionalFormatting sqref="AL47 AL43 AL24:AL34 AL40:AL41 AL19:AL22 AL36:AL38 AL7:AL17">
    <cfRule type="iconSet" priority="545">
      <iconSet iconSet="3TrafficLights2" reverse="1">
        <cfvo type="percent" val="0"/>
        <cfvo type="num" val="1"/>
        <cfvo type="num" val="1"/>
      </iconSet>
    </cfRule>
  </conditionalFormatting>
  <conditionalFormatting sqref="AA51:AF53">
    <cfRule type="expression" dxfId="4243" priority="440">
      <formula>AA$9&gt;=20/24</formula>
    </cfRule>
    <cfRule type="expression" dxfId="4242" priority="441">
      <formula>AND(AA$9&gt;=14/24,AA$9&lt;20/24)</formula>
    </cfRule>
    <cfRule type="expression" dxfId="4241" priority="442">
      <formula>AND(AA$9&gt;=8/24,AA$9&lt;14/24)</formula>
    </cfRule>
    <cfRule type="expression" dxfId="4240" priority="443">
      <formula>AA$9&lt;8/24</formula>
    </cfRule>
  </conditionalFormatting>
  <conditionalFormatting sqref="AA51:AF53">
    <cfRule type="expression" dxfId="4239" priority="439">
      <formula>AA51&gt;$AG51</formula>
    </cfRule>
  </conditionalFormatting>
  <conditionalFormatting sqref="AG54">
    <cfRule type="expression" dxfId="4238" priority="435">
      <formula>AG$9&gt;=20/24</formula>
    </cfRule>
    <cfRule type="expression" dxfId="4237" priority="436">
      <formula>AND(AG$9&gt;=14/24,AG$9&lt;20/24)</formula>
    </cfRule>
    <cfRule type="expression" dxfId="4236" priority="437">
      <formula>AND(AG$9&gt;=8/24,AG$9&lt;14/24)</formula>
    </cfRule>
    <cfRule type="expression" dxfId="4235" priority="438">
      <formula>AG$9&lt;8/24</formula>
    </cfRule>
  </conditionalFormatting>
  <conditionalFormatting sqref="AG54">
    <cfRule type="expression" dxfId="4234" priority="434">
      <formula>AG54&gt;$AG54</formula>
    </cfRule>
  </conditionalFormatting>
  <conditionalFormatting sqref="C109:AF109">
    <cfRule type="expression" dxfId="4233" priority="430">
      <formula>C$9&gt;=20/24</formula>
    </cfRule>
    <cfRule type="expression" dxfId="4232" priority="431">
      <formula>AND(C$9&gt;=14/24,C$9&lt;20/24)</formula>
    </cfRule>
    <cfRule type="expression" dxfId="4231" priority="432">
      <formula>AND(C$9&gt;=8/24,C$9&lt;14/24)</formula>
    </cfRule>
    <cfRule type="expression" dxfId="4230" priority="433">
      <formula>C$9&lt;8/24</formula>
    </cfRule>
  </conditionalFormatting>
  <conditionalFormatting sqref="AL42">
    <cfRule type="iconSet" priority="429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4229" priority="428">
      <formula>$AH42=0</formula>
    </cfRule>
  </conditionalFormatting>
  <conditionalFormatting sqref="A92">
    <cfRule type="expression" dxfId="4228" priority="426">
      <formula>$AH92=0</formula>
    </cfRule>
  </conditionalFormatting>
  <conditionalFormatting sqref="A89">
    <cfRule type="expression" dxfId="4227" priority="427">
      <formula>$AH89=0</formula>
    </cfRule>
  </conditionalFormatting>
  <conditionalFormatting sqref="E112:AF112">
    <cfRule type="expression" dxfId="4226" priority="422">
      <formula>E$9&gt;=20/24</formula>
    </cfRule>
    <cfRule type="expression" dxfId="4225" priority="423">
      <formula>AND(E$9&gt;=14/24,E$9&lt;20/24)</formula>
    </cfRule>
    <cfRule type="expression" dxfId="4224" priority="424">
      <formula>AND(E$9&gt;=8/24,E$9&lt;14/24)</formula>
    </cfRule>
    <cfRule type="expression" dxfId="4223" priority="425">
      <formula>E$9&lt;8/24</formula>
    </cfRule>
  </conditionalFormatting>
  <conditionalFormatting sqref="A112">
    <cfRule type="expression" dxfId="4222" priority="421">
      <formula>$AH112=0</formula>
    </cfRule>
  </conditionalFormatting>
  <conditionalFormatting sqref="A23">
    <cfRule type="expression" dxfId="4221" priority="419">
      <formula>$AH23=0</formula>
    </cfRule>
  </conditionalFormatting>
  <conditionalFormatting sqref="AL23">
    <cfRule type="iconSet" priority="420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4220" priority="417">
      <formula>$AH39=0</formula>
    </cfRule>
  </conditionalFormatting>
  <conditionalFormatting sqref="AL39">
    <cfRule type="iconSet" priority="418">
      <iconSet iconSet="3TrafficLights2" reverse="1">
        <cfvo type="percent" val="0"/>
        <cfvo type="num" val="1"/>
        <cfvo type="num" val="1"/>
      </iconSet>
    </cfRule>
  </conditionalFormatting>
  <conditionalFormatting sqref="AA101:AC101">
    <cfRule type="expression" dxfId="4219" priority="413">
      <formula>AA$9&gt;=20/24</formula>
    </cfRule>
    <cfRule type="expression" dxfId="4218" priority="414">
      <formula>AND(AA$9&gt;=14/24,AA$9&lt;20/24)</formula>
    </cfRule>
    <cfRule type="expression" dxfId="4217" priority="415">
      <formula>AND(AA$9&gt;=8/24,AA$9&lt;14/24)</formula>
    </cfRule>
    <cfRule type="expression" dxfId="4216" priority="416">
      <formula>AA$9&lt;8/24</formula>
    </cfRule>
  </conditionalFormatting>
  <conditionalFormatting sqref="AA102:AD108 AE103:AF108">
    <cfRule type="expression" dxfId="4215" priority="409">
      <formula>AA$9&gt;=20/24</formula>
    </cfRule>
    <cfRule type="expression" dxfId="4214" priority="410">
      <formula>AND(AA$9&gt;=14/24,AA$9&lt;20/24)</formula>
    </cfRule>
    <cfRule type="expression" dxfId="4213" priority="411">
      <formula>AND(AA$9&gt;=8/24,AA$9&lt;14/24)</formula>
    </cfRule>
    <cfRule type="expression" dxfId="4212" priority="412">
      <formula>AA$9&lt;8/24</formula>
    </cfRule>
  </conditionalFormatting>
  <conditionalFormatting sqref="C111:D111 C113:D119 AA19:AF30 AA32:AF34 AA36:AF45">
    <cfRule type="expression" dxfId="4211" priority="405">
      <formula>C$9&gt;=20/24</formula>
    </cfRule>
    <cfRule type="expression" dxfId="4210" priority="406">
      <formula>AND(C$9&gt;=14/24,C$9&lt;20/24)</formula>
    </cfRule>
    <cfRule type="expression" dxfId="4209" priority="407">
      <formula>AND(C$9&gt;=8/24,C$9&lt;14/24)</formula>
    </cfRule>
    <cfRule type="expression" dxfId="4208" priority="408">
      <formula>C$9&lt;8/24</formula>
    </cfRule>
  </conditionalFormatting>
  <conditionalFormatting sqref="E49:S49">
    <cfRule type="expression" dxfId="4207" priority="401">
      <formula>E$9&gt;=20/24</formula>
    </cfRule>
    <cfRule type="expression" dxfId="4206" priority="402">
      <formula>AND(E$9&gt;=14/24,E$9&lt;20/24)</formula>
    </cfRule>
    <cfRule type="expression" dxfId="4205" priority="403">
      <formula>AND(E$9&gt;=8/24,E$9&lt;14/24)</formula>
    </cfRule>
    <cfRule type="expression" dxfId="4204" priority="404">
      <formula>E$9&lt;8/24</formula>
    </cfRule>
  </conditionalFormatting>
  <conditionalFormatting sqref="E49:S49 AA19:AF30 AA32:AF34 AA36:AF45">
    <cfRule type="expression" dxfId="4203" priority="400">
      <formula>E19&gt;$AG19</formula>
    </cfRule>
  </conditionalFormatting>
  <conditionalFormatting sqref="E98:W98 E85:AF87 L69:Z71 P76:AF78">
    <cfRule type="expression" dxfId="4202" priority="392">
      <formula>E$9&gt;=20/24</formula>
    </cfRule>
    <cfRule type="expression" dxfId="4201" priority="393">
      <formula>AND(E$9&gt;=14/24,E$9&lt;20/24)</formula>
    </cfRule>
    <cfRule type="expression" dxfId="4200" priority="394">
      <formula>AND(E$9&gt;=8/24,E$9&lt;14/24)</formula>
    </cfRule>
    <cfRule type="expression" dxfId="4199" priority="395">
      <formula>E$9&lt;8/24</formula>
    </cfRule>
  </conditionalFormatting>
  <conditionalFormatting sqref="L69:Z71">
    <cfRule type="expression" dxfId="4198" priority="391">
      <formula>L69&gt;$AG69</formula>
    </cfRule>
  </conditionalFormatting>
  <conditionalFormatting sqref="E89:AF89 E91:AF91 E72:AF72 E100:AF100">
    <cfRule type="expression" dxfId="4197" priority="387">
      <formula>E$9&gt;=20/24</formula>
    </cfRule>
    <cfRule type="expression" dxfId="4196" priority="388">
      <formula>AND(E$9&gt;=14/24,E$9&lt;20/24)</formula>
    </cfRule>
    <cfRule type="expression" dxfId="4195" priority="389">
      <formula>AND(E$9&gt;=8/24,E$9&lt;14/24)</formula>
    </cfRule>
    <cfRule type="expression" dxfId="4194" priority="390">
      <formula>E$9&lt;8/24</formula>
    </cfRule>
  </conditionalFormatting>
  <conditionalFormatting sqref="E72:AF72 E67:AF68">
    <cfRule type="expression" dxfId="4193" priority="386">
      <formula>E67&gt;$AG67</formula>
    </cfRule>
  </conditionalFormatting>
  <conditionalFormatting sqref="E84:AF84">
    <cfRule type="expression" dxfId="4192" priority="382">
      <formula>E$9&gt;=20/24</formula>
    </cfRule>
    <cfRule type="expression" dxfId="4191" priority="383">
      <formula>AND(E$9&gt;=14/24,E$9&lt;20/24)</formula>
    </cfRule>
    <cfRule type="expression" dxfId="4190" priority="384">
      <formula>AND(E$9&gt;=8/24,E$9&lt;14/24)</formula>
    </cfRule>
    <cfRule type="expression" dxfId="4189" priority="385">
      <formula>E$9&lt;8/24</formula>
    </cfRule>
  </conditionalFormatting>
  <conditionalFormatting sqref="E93:W97">
    <cfRule type="expression" dxfId="4188" priority="378">
      <formula>E$9&gt;=20/24</formula>
    </cfRule>
    <cfRule type="expression" dxfId="4187" priority="379">
      <formula>AND(E$9&gt;=14/24,E$9&lt;20/24)</formula>
    </cfRule>
    <cfRule type="expression" dxfId="4186" priority="380">
      <formula>AND(E$9&gt;=8/24,E$9&lt;14/24)</formula>
    </cfRule>
    <cfRule type="expression" dxfId="4185" priority="381">
      <formula>E$9&lt;8/24</formula>
    </cfRule>
  </conditionalFormatting>
  <conditionalFormatting sqref="E54:AF54">
    <cfRule type="expression" dxfId="4184" priority="374">
      <formula>E$9&gt;=20/24</formula>
    </cfRule>
    <cfRule type="expression" dxfId="4183" priority="375">
      <formula>AND(E$9&gt;=14/24,E$9&lt;20/24)</formula>
    </cfRule>
    <cfRule type="expression" dxfId="4182" priority="376">
      <formula>AND(E$9&gt;=8/24,E$9&lt;14/24)</formula>
    </cfRule>
    <cfRule type="expression" dxfId="4181" priority="377">
      <formula>E$9&lt;8/24</formula>
    </cfRule>
  </conditionalFormatting>
  <conditionalFormatting sqref="E54:AF54">
    <cfRule type="expression" dxfId="4180" priority="373">
      <formula>E54&gt;$AG54</formula>
    </cfRule>
  </conditionalFormatting>
  <conditionalFormatting sqref="C112:D112">
    <cfRule type="expression" dxfId="4179" priority="369">
      <formula>C$9&gt;=20/24</formula>
    </cfRule>
    <cfRule type="expression" dxfId="4178" priority="370">
      <formula>AND(C$9&gt;=14/24,C$9&lt;20/24)</formula>
    </cfRule>
    <cfRule type="expression" dxfId="4177" priority="371">
      <formula>AND(C$9&gt;=8/24,C$9&lt;14/24)</formula>
    </cfRule>
    <cfRule type="expression" dxfId="4176" priority="372">
      <formula>C$9&lt;8/24</formula>
    </cfRule>
  </conditionalFormatting>
  <conditionalFormatting sqref="AA61:AF66">
    <cfRule type="expression" dxfId="4175" priority="365">
      <formula>AA$9&gt;=20/24</formula>
    </cfRule>
    <cfRule type="expression" dxfId="4174" priority="366">
      <formula>AND(AA$9&gt;=14/24,AA$9&lt;20/24)</formula>
    </cfRule>
    <cfRule type="expression" dxfId="4173" priority="367">
      <formula>AND(AA$9&gt;=8/24,AA$9&lt;14/24)</formula>
    </cfRule>
    <cfRule type="expression" dxfId="4172" priority="368">
      <formula>AA$9&lt;8/24</formula>
    </cfRule>
  </conditionalFormatting>
  <conditionalFormatting sqref="AA61:AF66">
    <cfRule type="expression" dxfId="4171" priority="364">
      <formula>AA61&gt;$AG61</formula>
    </cfRule>
  </conditionalFormatting>
  <conditionalFormatting sqref="AA47:AF47">
    <cfRule type="expression" dxfId="4170" priority="363">
      <formula>AA47&gt;$AG47</formula>
    </cfRule>
  </conditionalFormatting>
  <conditionalFormatting sqref="AA13:AF13">
    <cfRule type="expression" dxfId="4169" priority="359">
      <formula>AA$9&gt;=20/24</formula>
    </cfRule>
    <cfRule type="expression" dxfId="4168" priority="360">
      <formula>AND(AA$9&gt;=14/24,AA$9&lt;20/24)</formula>
    </cfRule>
    <cfRule type="expression" dxfId="4167" priority="361">
      <formula>AND(AA$9&gt;=8/24,AA$9&lt;14/24)</formula>
    </cfRule>
    <cfRule type="expression" dxfId="4166" priority="362">
      <formula>AA$9&lt;8/24</formula>
    </cfRule>
  </conditionalFormatting>
  <conditionalFormatting sqref="AA13:AF13">
    <cfRule type="expression" dxfId="4165" priority="358">
      <formula>AA13&gt;$AG13</formula>
    </cfRule>
  </conditionalFormatting>
  <conditionalFormatting sqref="AA47:AF47">
    <cfRule type="expression" dxfId="4164" priority="354">
      <formula>AA$9&gt;=20/24</formula>
    </cfRule>
    <cfRule type="expression" dxfId="4163" priority="355">
      <formula>AND(AA$9&gt;=14/24,AA$9&lt;20/24)</formula>
    </cfRule>
    <cfRule type="expression" dxfId="4162" priority="356">
      <formula>AND(AA$9&gt;=8/24,AA$9&lt;14/24)</formula>
    </cfRule>
    <cfRule type="expression" dxfId="4161" priority="357">
      <formula>AA$9&lt;8/24</formula>
    </cfRule>
  </conditionalFormatting>
  <conditionalFormatting sqref="P79:AF83">
    <cfRule type="expression" dxfId="4160" priority="350">
      <formula>P$9&gt;=20/24</formula>
    </cfRule>
    <cfRule type="expression" dxfId="4159" priority="351">
      <formula>AND(P$9&gt;=14/24,P$9&lt;20/24)</formula>
    </cfRule>
    <cfRule type="expression" dxfId="4158" priority="352">
      <formula>AND(P$9&gt;=8/24,P$9&lt;14/24)</formula>
    </cfRule>
    <cfRule type="expression" dxfId="4157" priority="353">
      <formula>P$9&lt;8/24</formula>
    </cfRule>
  </conditionalFormatting>
  <conditionalFormatting sqref="AL80:AN80 AL86:AN86 AN81:AN82">
    <cfRule type="expression" dxfId="4156" priority="346">
      <formula>AL$9&gt;=20/24</formula>
    </cfRule>
    <cfRule type="expression" dxfId="4155" priority="347">
      <formula>AND(AL$9&gt;=14/24,AL$9&lt;20/24)</formula>
    </cfRule>
    <cfRule type="expression" dxfId="4154" priority="348">
      <formula>AND(AL$9&gt;=8/24,AL$9&lt;14/24)</formula>
    </cfRule>
    <cfRule type="expression" dxfId="4153" priority="349">
      <formula>AL$9&lt;8/24</formula>
    </cfRule>
  </conditionalFormatting>
  <conditionalFormatting sqref="AN83:AN84">
    <cfRule type="expression" dxfId="4152" priority="342">
      <formula>AN$9&gt;=20/24</formula>
    </cfRule>
    <cfRule type="expression" dxfId="4151" priority="343">
      <formula>AND(AN$9&gt;=14/24,AN$9&lt;20/24)</formula>
    </cfRule>
    <cfRule type="expression" dxfId="4150" priority="344">
      <formula>AND(AN$9&gt;=8/24,AN$9&lt;14/24)</formula>
    </cfRule>
    <cfRule type="expression" dxfId="4149" priority="345">
      <formula>AN$9&lt;8/24</formula>
    </cfRule>
  </conditionalFormatting>
  <conditionalFormatting sqref="AL81:AM85">
    <cfRule type="expression" dxfId="4148" priority="546">
      <formula>AJ$9&gt;=20/24</formula>
    </cfRule>
    <cfRule type="expression" dxfId="4147" priority="547">
      <formula>AND(AJ$9&gt;=14/24,AJ$9&lt;20/24)</formula>
    </cfRule>
    <cfRule type="expression" dxfId="4146" priority="548">
      <formula>AND(AJ$9&gt;=8/24,AJ$9&lt;14/24)</formula>
    </cfRule>
    <cfRule type="expression" dxfId="4145" priority="549">
      <formula>AJ$9&lt;8/24</formula>
    </cfRule>
  </conditionalFormatting>
  <conditionalFormatting sqref="A120">
    <cfRule type="expression" dxfId="4144" priority="341">
      <formula>$AH120=0</formula>
    </cfRule>
  </conditionalFormatting>
  <conditionalFormatting sqref="AA48:AF48">
    <cfRule type="expression" dxfId="4143" priority="319">
      <formula>AA$9&gt;=20/24</formula>
    </cfRule>
    <cfRule type="expression" dxfId="4142" priority="320">
      <formula>AND(AA$9&gt;=14/24,AA$9&lt;20/24)</formula>
    </cfRule>
    <cfRule type="expression" dxfId="4141" priority="321">
      <formula>AND(AA$9&gt;=8/24,AA$9&lt;14/24)</formula>
    </cfRule>
    <cfRule type="expression" dxfId="4140" priority="322">
      <formula>AA$9&lt;8/24</formula>
    </cfRule>
  </conditionalFormatting>
  <conditionalFormatting sqref="AA48:AF48">
    <cfRule type="expression" dxfId="4139" priority="318">
      <formula>AA48&gt;$AG48</formula>
    </cfRule>
  </conditionalFormatting>
  <conditionalFormatting sqref="P60:Z60">
    <cfRule type="expression" dxfId="4138" priority="314">
      <formula>P$9&gt;=20/24</formula>
    </cfRule>
    <cfRule type="expression" dxfId="4137" priority="315">
      <formula>AND(P$9&gt;=14/24,P$9&lt;20/24)</formula>
    </cfRule>
    <cfRule type="expression" dxfId="4136" priority="316">
      <formula>AND(P$9&gt;=8/24,P$9&lt;14/24)</formula>
    </cfRule>
    <cfRule type="expression" dxfId="4135" priority="317">
      <formula>P$9&lt;8/24</formula>
    </cfRule>
  </conditionalFormatting>
  <conditionalFormatting sqref="P60:Z60">
    <cfRule type="expression" dxfId="4134" priority="313">
      <formula>P60&gt;$AG60</formula>
    </cfRule>
  </conditionalFormatting>
  <conditionalFormatting sqref="E50:AF50">
    <cfRule type="expression" dxfId="4133" priority="308">
      <formula>E50&gt;$AG50</formula>
    </cfRule>
  </conditionalFormatting>
  <conditionalFormatting sqref="A11">
    <cfRule type="expression" dxfId="4132" priority="298">
      <formula>$AH11=0</formula>
    </cfRule>
  </conditionalFormatting>
  <conditionalFormatting sqref="AA11:AF11">
    <cfRule type="expression" dxfId="4131" priority="294">
      <formula>AA$9&gt;=20/24</formula>
    </cfRule>
    <cfRule type="expression" dxfId="4130" priority="295">
      <formula>AND(AA$9&gt;=14/24,AA$9&lt;20/24)</formula>
    </cfRule>
    <cfRule type="expression" dxfId="4129" priority="296">
      <formula>AND(AA$9&gt;=8/24,AA$9&lt;14/24)</formula>
    </cfRule>
    <cfRule type="expression" dxfId="4128" priority="297">
      <formula>AA$9&lt;8/24</formula>
    </cfRule>
  </conditionalFormatting>
  <conditionalFormatting sqref="AA11:AF11">
    <cfRule type="expression" dxfId="4127" priority="293">
      <formula>AA11&gt;$AG11</formula>
    </cfRule>
  </conditionalFormatting>
  <conditionalFormatting sqref="A18">
    <cfRule type="expression" dxfId="4126" priority="291">
      <formula>$AH18=0</formula>
    </cfRule>
  </conditionalFormatting>
  <conditionalFormatting sqref="AL18">
    <cfRule type="iconSet" priority="292">
      <iconSet iconSet="3TrafficLights2" reverse="1">
        <cfvo type="percent" val="0"/>
        <cfvo type="num" val="1"/>
        <cfvo type="num" val="1"/>
      </iconSet>
    </cfRule>
  </conditionalFormatting>
  <conditionalFormatting sqref="AA18:AF18">
    <cfRule type="expression" dxfId="4125" priority="287">
      <formula>AA$9&gt;=20/24</formula>
    </cfRule>
    <cfRule type="expression" dxfId="4124" priority="288">
      <formula>AND(AA$9&gt;=14/24,AA$9&lt;20/24)</formula>
    </cfRule>
    <cfRule type="expression" dxfId="4123" priority="289">
      <formula>AND(AA$9&gt;=8/24,AA$9&lt;14/24)</formula>
    </cfRule>
    <cfRule type="expression" dxfId="4122" priority="290">
      <formula>AA$9&lt;8/24</formula>
    </cfRule>
  </conditionalFormatting>
  <conditionalFormatting sqref="AA18:AF18">
    <cfRule type="expression" dxfId="4121" priority="286">
      <formula>AA18&gt;$AG18</formula>
    </cfRule>
  </conditionalFormatting>
  <conditionalFormatting sqref="A35">
    <cfRule type="expression" dxfId="4120" priority="284">
      <formula>$AH35=0</formula>
    </cfRule>
  </conditionalFormatting>
  <conditionalFormatting sqref="AL35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4119" priority="280">
      <formula>AA$9&gt;=20/24</formula>
    </cfRule>
    <cfRule type="expression" dxfId="4118" priority="281">
      <formula>AND(AA$9&gt;=14/24,AA$9&lt;20/24)</formula>
    </cfRule>
    <cfRule type="expression" dxfId="4117" priority="282">
      <formula>AND(AA$9&gt;=8/24,AA$9&lt;14/24)</formula>
    </cfRule>
    <cfRule type="expression" dxfId="4116" priority="283">
      <formula>AA$9&lt;8/24</formula>
    </cfRule>
  </conditionalFormatting>
  <conditionalFormatting sqref="AA35:AF35">
    <cfRule type="expression" dxfId="4115" priority="279">
      <formula>AA35&gt;$AG35</formula>
    </cfRule>
  </conditionalFormatting>
  <conditionalFormatting sqref="A46">
    <cfRule type="expression" dxfId="4114" priority="277">
      <formula>$AH46=0</formula>
    </cfRule>
  </conditionalFormatting>
  <conditionalFormatting sqref="AL46">
    <cfRule type="iconSet" priority="278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4113" priority="276">
      <formula>AA46&gt;$AG46</formula>
    </cfRule>
  </conditionalFormatting>
  <conditionalFormatting sqref="AA46:AF46">
    <cfRule type="expression" dxfId="4112" priority="272">
      <formula>AA$9&gt;=20/24</formula>
    </cfRule>
    <cfRule type="expression" dxfId="4111" priority="273">
      <formula>AND(AA$9&gt;=14/24,AA$9&lt;20/24)</formula>
    </cfRule>
    <cfRule type="expression" dxfId="4110" priority="274">
      <formula>AND(AA$9&gt;=8/24,AA$9&lt;14/24)</formula>
    </cfRule>
    <cfRule type="expression" dxfId="4109" priority="275">
      <formula>AA$9&lt;8/24</formula>
    </cfRule>
  </conditionalFormatting>
  <conditionalFormatting sqref="E120:AF120">
    <cfRule type="expression" dxfId="4108" priority="268">
      <formula>E$9&gt;=20/24</formula>
    </cfRule>
    <cfRule type="expression" dxfId="4107" priority="269">
      <formula>AND(E$9&gt;=14/24,E$9&lt;20/24)</formula>
    </cfRule>
    <cfRule type="expression" dxfId="4106" priority="270">
      <formula>AND(E$9&gt;=8/24,E$9&lt;14/24)</formula>
    </cfRule>
    <cfRule type="expression" dxfId="4105" priority="271">
      <formula>E$9&lt;8/24</formula>
    </cfRule>
  </conditionalFormatting>
  <conditionalFormatting sqref="C120:D120">
    <cfRule type="expression" dxfId="4104" priority="264">
      <formula>C$9&gt;=20/24</formula>
    </cfRule>
    <cfRule type="expression" dxfId="4103" priority="265">
      <formula>AND(C$9&gt;=14/24,C$9&lt;20/24)</formula>
    </cfRule>
    <cfRule type="expression" dxfId="4102" priority="266">
      <formula>AND(C$9&gt;=8/24,C$9&lt;14/24)</formula>
    </cfRule>
    <cfRule type="expression" dxfId="4101" priority="267">
      <formula>C$9&lt;8/24</formula>
    </cfRule>
  </conditionalFormatting>
  <conditionalFormatting sqref="AA31:AF31">
    <cfRule type="expression" dxfId="4100" priority="212">
      <formula>AA$9&gt;=20/24</formula>
    </cfRule>
    <cfRule type="expression" dxfId="4099" priority="213">
      <formula>AND(AA$9&gt;=14/24,AA$9&lt;20/24)</formula>
    </cfRule>
    <cfRule type="expression" dxfId="4098" priority="214">
      <formula>AND(AA$9&gt;=8/24,AA$9&lt;14/24)</formula>
    </cfRule>
    <cfRule type="expression" dxfId="4097" priority="215">
      <formula>AA$9&lt;8/24</formula>
    </cfRule>
  </conditionalFormatting>
  <conditionalFormatting sqref="AA31:AF31">
    <cfRule type="expression" dxfId="4096" priority="211">
      <formula>AA31&gt;$AG31</formula>
    </cfRule>
  </conditionalFormatting>
  <conditionalFormatting sqref="AF55">
    <cfRule type="expression" dxfId="4095" priority="144">
      <formula>AF$9&gt;=20/24</formula>
    </cfRule>
    <cfRule type="expression" dxfId="4094" priority="145">
      <formula>AND(AF$9&gt;=14/24,AF$9&lt;20/24)</formula>
    </cfRule>
    <cfRule type="expression" dxfId="4093" priority="146">
      <formula>AND(AF$9&gt;=8/24,AF$9&lt;14/24)</formula>
    </cfRule>
    <cfRule type="expression" dxfId="4092" priority="147">
      <formula>AF$9&lt;8/24</formula>
    </cfRule>
  </conditionalFormatting>
  <conditionalFormatting sqref="AF55">
    <cfRule type="expression" dxfId="4091" priority="143">
      <formula>AF55&gt;$AG55</formula>
    </cfRule>
  </conditionalFormatting>
  <conditionalFormatting sqref="AE73">
    <cfRule type="expression" dxfId="4090" priority="134">
      <formula>AE$9&gt;=20/24</formula>
    </cfRule>
    <cfRule type="expression" dxfId="4089" priority="135">
      <formula>AND(AE$9&gt;=14/24,AE$9&lt;20/24)</formula>
    </cfRule>
    <cfRule type="expression" dxfId="4088" priority="136">
      <formula>AND(AE$9&gt;=8/24,AE$9&lt;14/24)</formula>
    </cfRule>
    <cfRule type="expression" dxfId="4087" priority="137">
      <formula>AE$9&lt;8/24</formula>
    </cfRule>
  </conditionalFormatting>
  <conditionalFormatting sqref="AE74:AE75">
    <cfRule type="expression" dxfId="4086" priority="130">
      <formula>AE$9&gt;=20/24</formula>
    </cfRule>
    <cfRule type="expression" dxfId="4085" priority="131">
      <formula>AND(AE$9&gt;=14/24,AE$9&lt;20/24)</formula>
    </cfRule>
    <cfRule type="expression" dxfId="4084" priority="132">
      <formula>AND(AE$9&gt;=8/24,AE$9&lt;14/24)</formula>
    </cfRule>
    <cfRule type="expression" dxfId="4083" priority="133">
      <formula>AE$9&lt;8/24</formula>
    </cfRule>
  </conditionalFormatting>
  <conditionalFormatting sqref="B113:B119 B111 B14:Z17 B12:Z12">
    <cfRule type="expression" dxfId="4082" priority="118">
      <formula>B$9&gt;=20/24</formula>
    </cfRule>
    <cfRule type="expression" dxfId="4081" priority="119">
      <formula>AND(B$9&gt;=14/24,B$9&lt;20/24)</formula>
    </cfRule>
    <cfRule type="expression" dxfId="4080" priority="120">
      <formula>AND(B$9&gt;=8/24,B$9&lt;14/24)</formula>
    </cfRule>
    <cfRule type="expression" dxfId="4079" priority="121">
      <formula>B$9&lt;8/24</formula>
    </cfRule>
  </conditionalFormatting>
  <conditionalFormatting sqref="B14:Z17 B12:Z12">
    <cfRule type="expression" dxfId="4078" priority="117">
      <formula>B12&gt;$AG12</formula>
    </cfRule>
  </conditionalFormatting>
  <conditionalFormatting sqref="B101:D101">
    <cfRule type="expression" dxfId="4077" priority="113">
      <formula>B$9&gt;=20/24</formula>
    </cfRule>
    <cfRule type="expression" dxfId="4076" priority="114">
      <formula>AND(B$9&gt;=14/24,B$9&lt;20/24)</formula>
    </cfRule>
    <cfRule type="expression" dxfId="4075" priority="115">
      <formula>AND(B$9&gt;=8/24,B$9&lt;14/24)</formula>
    </cfRule>
    <cfRule type="expression" dxfId="4074" priority="116">
      <formula>B$9&lt;8/24</formula>
    </cfRule>
  </conditionalFormatting>
  <conditionalFormatting sqref="B73:O73">
    <cfRule type="expression" dxfId="4073" priority="109">
      <formula>B$9&gt;=20/24</formula>
    </cfRule>
    <cfRule type="expression" dxfId="4072" priority="110">
      <formula>AND(B$9&gt;=14/24,B$9&lt;20/24)</formula>
    </cfRule>
    <cfRule type="expression" dxfId="4071" priority="111">
      <formula>AND(B$9&gt;=8/24,B$9&lt;14/24)</formula>
    </cfRule>
    <cfRule type="expression" dxfId="4070" priority="112">
      <formula>B$9&lt;8/24</formula>
    </cfRule>
  </conditionalFormatting>
  <conditionalFormatting sqref="B98:D98 B102:D108 B88:D88 B49:D49 B69:K71 B74:O75">
    <cfRule type="expression" dxfId="4069" priority="105">
      <formula>B$9&gt;=20/24</formula>
    </cfRule>
    <cfRule type="expression" dxfId="4068" priority="106">
      <formula>AND(B$9&gt;=14/24,B$9&lt;20/24)</formula>
    </cfRule>
    <cfRule type="expression" dxfId="4067" priority="107">
      <formula>AND(B$9&gt;=8/24,B$9&lt;14/24)</formula>
    </cfRule>
    <cfRule type="expression" dxfId="4066" priority="108">
      <formula>B$9&lt;8/24</formula>
    </cfRule>
  </conditionalFormatting>
  <conditionalFormatting sqref="B49:D49 B69:K71">
    <cfRule type="expression" dxfId="4065" priority="104">
      <formula>B49&gt;$AG49</formula>
    </cfRule>
  </conditionalFormatting>
  <conditionalFormatting sqref="B55:O60">
    <cfRule type="expression" dxfId="4064" priority="100">
      <formula>B$9&gt;=20/24</formula>
    </cfRule>
    <cfRule type="expression" dxfId="4063" priority="101">
      <formula>AND(B$9&gt;=14/24,B$9&lt;20/24)</formula>
    </cfRule>
    <cfRule type="expression" dxfId="4062" priority="102">
      <formula>AND(B$9&gt;=8/24,B$9&lt;14/24)</formula>
    </cfRule>
    <cfRule type="expression" dxfId="4061" priority="103">
      <formula>B$9&lt;8/24</formula>
    </cfRule>
  </conditionalFormatting>
  <conditionalFormatting sqref="B55:O60">
    <cfRule type="expression" dxfId="4060" priority="99">
      <formula>B55&gt;$AG55</formula>
    </cfRule>
  </conditionalFormatting>
  <conditionalFormatting sqref="B99:D99 B90:D90">
    <cfRule type="expression" dxfId="4059" priority="95">
      <formula>B$9&gt;=20/24</formula>
    </cfRule>
    <cfRule type="expression" dxfId="4058" priority="96">
      <formula>AND(B$9&gt;=14/24,B$9&lt;20/24)</formula>
    </cfRule>
    <cfRule type="expression" dxfId="4057" priority="97">
      <formula>AND(B$9&gt;=8/24,B$9&lt;14/24)</formula>
    </cfRule>
    <cfRule type="expression" dxfId="4056" priority="98">
      <formula>B$9&lt;8/24</formula>
    </cfRule>
  </conditionalFormatting>
  <conditionalFormatting sqref="B93:D97">
    <cfRule type="expression" dxfId="4055" priority="91">
      <formula>B$9&gt;=20/24</formula>
    </cfRule>
    <cfRule type="expression" dxfId="4054" priority="92">
      <formula>AND(B$9&gt;=14/24,B$9&lt;20/24)</formula>
    </cfRule>
    <cfRule type="expression" dxfId="4053" priority="93">
      <formula>AND(B$9&gt;=8/24,B$9&lt;14/24)</formula>
    </cfRule>
    <cfRule type="expression" dxfId="4052" priority="94">
      <formula>B$9&lt;8/24</formula>
    </cfRule>
  </conditionalFormatting>
  <conditionalFormatting sqref="B51:Z53">
    <cfRule type="expression" dxfId="4051" priority="87">
      <formula>B$9&gt;=20/24</formula>
    </cfRule>
    <cfRule type="expression" dxfId="4050" priority="88">
      <formula>AND(B$9&gt;=14/24,B$9&lt;20/24)</formula>
    </cfRule>
    <cfRule type="expression" dxfId="4049" priority="89">
      <formula>AND(B$9&gt;=8/24,B$9&lt;14/24)</formula>
    </cfRule>
    <cfRule type="expression" dxfId="4048" priority="90">
      <formula>B$9&lt;8/24</formula>
    </cfRule>
  </conditionalFormatting>
  <conditionalFormatting sqref="B51:Z53">
    <cfRule type="expression" dxfId="4047" priority="86">
      <formula>B51&gt;$AG51</formula>
    </cfRule>
  </conditionalFormatting>
  <conditionalFormatting sqref="B109">
    <cfRule type="expression" dxfId="4046" priority="82">
      <formula>B$9&gt;=20/24</formula>
    </cfRule>
    <cfRule type="expression" dxfId="4045" priority="83">
      <formula>AND(B$9&gt;=14/24,B$9&lt;20/24)</formula>
    </cfRule>
    <cfRule type="expression" dxfId="4044" priority="84">
      <formula>AND(B$9&gt;=8/24,B$9&lt;14/24)</formula>
    </cfRule>
    <cfRule type="expression" dxfId="4043" priority="85">
      <formula>B$9&lt;8/24</formula>
    </cfRule>
  </conditionalFormatting>
  <conditionalFormatting sqref="B112">
    <cfRule type="expression" dxfId="4042" priority="78">
      <formula>B$9&gt;=20/24</formula>
    </cfRule>
    <cfRule type="expression" dxfId="4041" priority="79">
      <formula>AND(B$9&gt;=14/24,B$9&lt;20/24)</formula>
    </cfRule>
    <cfRule type="expression" dxfId="4040" priority="80">
      <formula>AND(B$9&gt;=8/24,B$9&lt;14/24)</formula>
    </cfRule>
    <cfRule type="expression" dxfId="4039" priority="81">
      <formula>B$9&lt;8/24</formula>
    </cfRule>
  </conditionalFormatting>
  <conditionalFormatting sqref="B32:Z34 B19:Z30 B36:Z45">
    <cfRule type="expression" dxfId="4038" priority="74">
      <formula>B$9&gt;=20/24</formula>
    </cfRule>
    <cfRule type="expression" dxfId="4037" priority="75">
      <formula>AND(B$9&gt;=14/24,B$9&lt;20/24)</formula>
    </cfRule>
    <cfRule type="expression" dxfId="4036" priority="76">
      <formula>AND(B$9&gt;=8/24,B$9&lt;14/24)</formula>
    </cfRule>
    <cfRule type="expression" dxfId="4035" priority="77">
      <formula>B$9&lt;8/24</formula>
    </cfRule>
  </conditionalFormatting>
  <conditionalFormatting sqref="B32:Z34 B19:Z30 B36:Z45">
    <cfRule type="expression" dxfId="4034" priority="73">
      <formula>B19&gt;$AG19</formula>
    </cfRule>
  </conditionalFormatting>
  <conditionalFormatting sqref="B85:D87 B76:O78">
    <cfRule type="expression" dxfId="4033" priority="69">
      <formula>B$9&gt;=20/24</formula>
    </cfRule>
    <cfRule type="expression" dxfId="4032" priority="70">
      <formula>AND(B$9&gt;=14/24,B$9&lt;20/24)</formula>
    </cfRule>
    <cfRule type="expression" dxfId="4031" priority="71">
      <formula>AND(B$9&gt;=8/24,B$9&lt;14/24)</formula>
    </cfRule>
    <cfRule type="expression" dxfId="4030" priority="72">
      <formula>B$9&lt;8/24</formula>
    </cfRule>
  </conditionalFormatting>
  <conditionalFormatting sqref="B89:D89 B91:D91 B100:D100 B72:D72">
    <cfRule type="expression" dxfId="4029" priority="65">
      <formula>B$9&gt;=20/24</formula>
    </cfRule>
    <cfRule type="expression" dxfId="4028" priority="66">
      <formula>AND(B$9&gt;=14/24,B$9&lt;20/24)</formula>
    </cfRule>
    <cfRule type="expression" dxfId="4027" priority="67">
      <formula>AND(B$9&gt;=8/24,B$9&lt;14/24)</formula>
    </cfRule>
    <cfRule type="expression" dxfId="4026" priority="68">
      <formula>B$9&lt;8/24</formula>
    </cfRule>
  </conditionalFormatting>
  <conditionalFormatting sqref="B67:D68 B72:D72">
    <cfRule type="expression" dxfId="4025" priority="64">
      <formula>B67&gt;$AG67</formula>
    </cfRule>
  </conditionalFormatting>
  <conditionalFormatting sqref="B84:D84">
    <cfRule type="expression" dxfId="4024" priority="60">
      <formula>B$9&gt;=20/24</formula>
    </cfRule>
    <cfRule type="expression" dxfId="4023" priority="61">
      <formula>AND(B$9&gt;=14/24,B$9&lt;20/24)</formula>
    </cfRule>
    <cfRule type="expression" dxfId="4022" priority="62">
      <formula>AND(B$9&gt;=8/24,B$9&lt;14/24)</formula>
    </cfRule>
    <cfRule type="expression" dxfId="4021" priority="63">
      <formula>B$9&lt;8/24</formula>
    </cfRule>
  </conditionalFormatting>
  <conditionalFormatting sqref="B54:D54">
    <cfRule type="expression" dxfId="4020" priority="56">
      <formula>B$9&gt;=20/24</formula>
    </cfRule>
    <cfRule type="expression" dxfId="4019" priority="57">
      <formula>AND(B$9&gt;=14/24,B$9&lt;20/24)</formula>
    </cfRule>
    <cfRule type="expression" dxfId="4018" priority="58">
      <formula>AND(B$9&gt;=8/24,B$9&lt;14/24)</formula>
    </cfRule>
    <cfRule type="expression" dxfId="4017" priority="59">
      <formula>B$9&lt;8/24</formula>
    </cfRule>
  </conditionalFormatting>
  <conditionalFormatting sqref="B54:D54">
    <cfRule type="expression" dxfId="4016" priority="55">
      <formula>B54&gt;$AG54</formula>
    </cfRule>
  </conditionalFormatting>
  <conditionalFormatting sqref="B61:Z66">
    <cfRule type="expression" dxfId="4015" priority="51">
      <formula>B$9&gt;=20/24</formula>
    </cfRule>
    <cfRule type="expression" dxfId="4014" priority="52">
      <formula>AND(B$9&gt;=14/24,B$9&lt;20/24)</formula>
    </cfRule>
    <cfRule type="expression" dxfId="4013" priority="53">
      <formula>AND(B$9&gt;=8/24,B$9&lt;14/24)</formula>
    </cfRule>
    <cfRule type="expression" dxfId="4012" priority="54">
      <formula>B$9&lt;8/24</formula>
    </cfRule>
  </conditionalFormatting>
  <conditionalFormatting sqref="B61:Z66">
    <cfRule type="expression" dxfId="4011" priority="50">
      <formula>B61&gt;$AG61</formula>
    </cfRule>
  </conditionalFormatting>
  <conditionalFormatting sqref="B47:Z47">
    <cfRule type="expression" dxfId="4010" priority="49">
      <formula>B47&gt;$AG47</formula>
    </cfRule>
  </conditionalFormatting>
  <conditionalFormatting sqref="B13:Z13">
    <cfRule type="expression" dxfId="4009" priority="45">
      <formula>B$9&gt;=20/24</formula>
    </cfRule>
    <cfRule type="expression" dxfId="4008" priority="46">
      <formula>AND(B$9&gt;=14/24,B$9&lt;20/24)</formula>
    </cfRule>
    <cfRule type="expression" dxfId="4007" priority="47">
      <formula>AND(B$9&gt;=8/24,B$9&lt;14/24)</formula>
    </cfRule>
    <cfRule type="expression" dxfId="4006" priority="48">
      <formula>B$9&lt;8/24</formula>
    </cfRule>
  </conditionalFormatting>
  <conditionalFormatting sqref="B13:Z13">
    <cfRule type="expression" dxfId="4005" priority="44">
      <formula>B13&gt;$AG13</formula>
    </cfRule>
  </conditionalFormatting>
  <conditionalFormatting sqref="B47:Z47">
    <cfRule type="expression" dxfId="4004" priority="40">
      <formula>B$9&gt;=20/24</formula>
    </cfRule>
    <cfRule type="expression" dxfId="4003" priority="41">
      <formula>AND(B$9&gt;=14/24,B$9&lt;20/24)</formula>
    </cfRule>
    <cfRule type="expression" dxfId="4002" priority="42">
      <formula>AND(B$9&gt;=8/24,B$9&lt;14/24)</formula>
    </cfRule>
    <cfRule type="expression" dxfId="4001" priority="43">
      <formula>B$9&lt;8/24</formula>
    </cfRule>
  </conditionalFormatting>
  <conditionalFormatting sqref="B79:O83">
    <cfRule type="expression" dxfId="4000" priority="36">
      <formula>B$9&gt;=20/24</formula>
    </cfRule>
    <cfRule type="expression" dxfId="3999" priority="37">
      <formula>AND(B$9&gt;=14/24,B$9&lt;20/24)</formula>
    </cfRule>
    <cfRule type="expression" dxfId="3998" priority="38">
      <formula>AND(B$9&gt;=8/24,B$9&lt;14/24)</formula>
    </cfRule>
    <cfRule type="expression" dxfId="3997" priority="39">
      <formula>B$9&lt;8/24</formula>
    </cfRule>
  </conditionalFormatting>
  <conditionalFormatting sqref="B48:Z48">
    <cfRule type="expression" dxfId="3996" priority="32">
      <formula>B$9&gt;=20/24</formula>
    </cfRule>
    <cfRule type="expression" dxfId="3995" priority="33">
      <formula>AND(B$9&gt;=14/24,B$9&lt;20/24)</formula>
    </cfRule>
    <cfRule type="expression" dxfId="3994" priority="34">
      <formula>AND(B$9&gt;=8/24,B$9&lt;14/24)</formula>
    </cfRule>
    <cfRule type="expression" dxfId="3993" priority="35">
      <formula>B$9&lt;8/24</formula>
    </cfRule>
  </conditionalFormatting>
  <conditionalFormatting sqref="B48:Z48">
    <cfRule type="expression" dxfId="3992" priority="31">
      <formula>B48&gt;$AG48</formula>
    </cfRule>
  </conditionalFormatting>
  <conditionalFormatting sqref="B50:D50">
    <cfRule type="expression" dxfId="3991" priority="30">
      <formula>B50&gt;$AG50</formula>
    </cfRule>
  </conditionalFormatting>
  <conditionalFormatting sqref="B11:Z11">
    <cfRule type="expression" dxfId="3990" priority="26">
      <formula>B$9&gt;=20/24</formula>
    </cfRule>
    <cfRule type="expression" dxfId="3989" priority="27">
      <formula>AND(B$9&gt;=14/24,B$9&lt;20/24)</formula>
    </cfRule>
    <cfRule type="expression" dxfId="3988" priority="28">
      <formula>AND(B$9&gt;=8/24,B$9&lt;14/24)</formula>
    </cfRule>
    <cfRule type="expression" dxfId="3987" priority="29">
      <formula>B$9&lt;8/24</formula>
    </cfRule>
  </conditionalFormatting>
  <conditionalFormatting sqref="B11:Z11">
    <cfRule type="expression" dxfId="3986" priority="25">
      <formula>B11&gt;$AG11</formula>
    </cfRule>
  </conditionalFormatting>
  <conditionalFormatting sqref="B18:Z18">
    <cfRule type="expression" dxfId="3985" priority="21">
      <formula>B$9&gt;=20/24</formula>
    </cfRule>
    <cfRule type="expression" dxfId="3984" priority="22">
      <formula>AND(B$9&gt;=14/24,B$9&lt;20/24)</formula>
    </cfRule>
    <cfRule type="expression" dxfId="3983" priority="23">
      <formula>AND(B$9&gt;=8/24,B$9&lt;14/24)</formula>
    </cfRule>
    <cfRule type="expression" dxfId="3982" priority="24">
      <formula>B$9&lt;8/24</formula>
    </cfRule>
  </conditionalFormatting>
  <conditionalFormatting sqref="B18:Z18">
    <cfRule type="expression" dxfId="3981" priority="20">
      <formula>B18&gt;$AG18</formula>
    </cfRule>
  </conditionalFormatting>
  <conditionalFormatting sqref="B35:Z35">
    <cfRule type="expression" dxfId="3980" priority="16">
      <formula>B$9&gt;=20/24</formula>
    </cfRule>
    <cfRule type="expression" dxfId="3979" priority="17">
      <formula>AND(B$9&gt;=14/24,B$9&lt;20/24)</formula>
    </cfRule>
    <cfRule type="expression" dxfId="3978" priority="18">
      <formula>AND(B$9&gt;=8/24,B$9&lt;14/24)</formula>
    </cfRule>
    <cfRule type="expression" dxfId="3977" priority="19">
      <formula>B$9&lt;8/24</formula>
    </cfRule>
  </conditionalFormatting>
  <conditionalFormatting sqref="B35:Z35">
    <cfRule type="expression" dxfId="3976" priority="15">
      <formula>B35&gt;$AG35</formula>
    </cfRule>
  </conditionalFormatting>
  <conditionalFormatting sqref="B46:Z46">
    <cfRule type="expression" dxfId="3975" priority="14">
      <formula>B46&gt;$AG46</formula>
    </cfRule>
  </conditionalFormatting>
  <conditionalFormatting sqref="B46:Z46">
    <cfRule type="expression" dxfId="3974" priority="10">
      <formula>B$9&gt;=20/24</formula>
    </cfRule>
    <cfRule type="expression" dxfId="3973" priority="11">
      <formula>AND(B$9&gt;=14/24,B$9&lt;20/24)</formula>
    </cfRule>
    <cfRule type="expression" dxfId="3972" priority="12">
      <formula>AND(B$9&gt;=8/24,B$9&lt;14/24)</formula>
    </cfRule>
    <cfRule type="expression" dxfId="3971" priority="13">
      <formula>B$9&lt;8/24</formula>
    </cfRule>
  </conditionalFormatting>
  <conditionalFormatting sqref="B120">
    <cfRule type="expression" dxfId="3970" priority="6">
      <formula>B$9&gt;=20/24</formula>
    </cfRule>
    <cfRule type="expression" dxfId="3969" priority="7">
      <formula>AND(B$9&gt;=14/24,B$9&lt;20/24)</formula>
    </cfRule>
    <cfRule type="expression" dxfId="3968" priority="8">
      <formula>AND(B$9&gt;=8/24,B$9&lt;14/24)</formula>
    </cfRule>
    <cfRule type="expression" dxfId="3967" priority="9">
      <formula>B$9&lt;8/24</formula>
    </cfRule>
  </conditionalFormatting>
  <conditionalFormatting sqref="B31:Z31">
    <cfRule type="expression" dxfId="3966" priority="2">
      <formula>B$9&gt;=20/24</formula>
    </cfRule>
    <cfRule type="expression" dxfId="3965" priority="3">
      <formula>AND(B$9&gt;=14/24,B$9&lt;20/24)</formula>
    </cfRule>
    <cfRule type="expression" dxfId="3964" priority="4">
      <formula>AND(B$9&gt;=8/24,B$9&lt;14/24)</formula>
    </cfRule>
    <cfRule type="expression" dxfId="3963" priority="5">
      <formula>B$9&lt;8/24</formula>
    </cfRule>
  </conditionalFormatting>
  <conditionalFormatting sqref="B31:Z31">
    <cfRule type="expression" dxfId="3962" priority="1">
      <formula>B31&gt;$AG31</formula>
    </cfRule>
  </conditionalFormatting>
  <pageMargins left="0.7" right="0.7" top="0.75" bottom="0.75" header="0.3" footer="0.3"/>
  <drawing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0FB7-1139-48AF-B41C-8E6869E4DDA3}">
  <dimension ref="A1:C8"/>
  <sheetViews>
    <sheetView workbookViewId="0">
      <selection activeCell="L25" activeCellId="1" sqref="D6 L25"/>
    </sheetView>
  </sheetViews>
  <sheetFormatPr defaultRowHeight="15" x14ac:dyDescent="0.25"/>
  <sheetData>
    <row r="1" spans="1:3" x14ac:dyDescent="0.25">
      <c r="A1">
        <v>163283</v>
      </c>
      <c r="B1">
        <v>166502.29999999999</v>
      </c>
      <c r="C1">
        <f>B1-A1</f>
        <v>3219.2999999999884</v>
      </c>
    </row>
    <row r="2" spans="1:3" x14ac:dyDescent="0.25">
      <c r="A2">
        <v>131557.70000000001</v>
      </c>
      <c r="B2">
        <v>134774.1</v>
      </c>
      <c r="C2">
        <f>B2-A2</f>
        <v>3216.3999999999942</v>
      </c>
    </row>
    <row r="3" spans="1:3" x14ac:dyDescent="0.25">
      <c r="C3">
        <f>SUM(C1:C2)</f>
        <v>6435.6999999999825</v>
      </c>
    </row>
    <row r="6" spans="1:3" x14ac:dyDescent="0.25">
      <c r="A6">
        <v>-4.3520000000000003</v>
      </c>
      <c r="B6">
        <f>A6*1000</f>
        <v>-4352</v>
      </c>
    </row>
    <row r="7" spans="1:3" x14ac:dyDescent="0.25">
      <c r="A7">
        <v>-4.7880000000000003</v>
      </c>
      <c r="B7">
        <f>A7*1000</f>
        <v>-4788</v>
      </c>
    </row>
    <row r="8" spans="1:3" x14ac:dyDescent="0.25">
      <c r="B8">
        <f>SUM(B6:B7)</f>
        <v>-9140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2DBA-41BD-47B7-A9D8-75C9895C9CE7}">
  <dimension ref="K10:M18"/>
  <sheetViews>
    <sheetView workbookViewId="0">
      <selection activeCell="O26" sqref="O26"/>
    </sheetView>
  </sheetViews>
  <sheetFormatPr defaultRowHeight="15" x14ac:dyDescent="0.25"/>
  <sheetData>
    <row r="10" spans="11:13" x14ac:dyDescent="0.25">
      <c r="K10" t="s">
        <v>289</v>
      </c>
      <c r="L10">
        <f>8746/24</f>
        <v>364.41666666666669</v>
      </c>
      <c r="M10">
        <f>10815/24</f>
        <v>450.625</v>
      </c>
    </row>
    <row r="11" spans="11:13" x14ac:dyDescent="0.25">
      <c r="K11" t="s">
        <v>290</v>
      </c>
      <c r="L11">
        <f>12720/24</f>
        <v>530</v>
      </c>
      <c r="M11">
        <f>12905/24</f>
        <v>537.70833333333337</v>
      </c>
    </row>
    <row r="12" spans="11:13" x14ac:dyDescent="0.25">
      <c r="K12" t="s">
        <v>7</v>
      </c>
      <c r="L12">
        <f>24003/24</f>
        <v>1000.125</v>
      </c>
      <c r="M12">
        <f>19011/24</f>
        <v>792.125</v>
      </c>
    </row>
    <row r="13" spans="11:13" x14ac:dyDescent="0.25">
      <c r="K13" t="s">
        <v>291</v>
      </c>
      <c r="L13">
        <f>1404/24</f>
        <v>58.5</v>
      </c>
      <c r="M13">
        <f>1455/24</f>
        <v>60.625</v>
      </c>
    </row>
    <row r="14" spans="11:13" x14ac:dyDescent="0.25">
      <c r="K14" t="s">
        <v>292</v>
      </c>
      <c r="L14">
        <f>7724/24</f>
        <v>321.83333333333331</v>
      </c>
      <c r="M14">
        <f>7169/24</f>
        <v>298.70833333333331</v>
      </c>
    </row>
    <row r="15" spans="11:13" x14ac:dyDescent="0.25">
      <c r="K15" t="s">
        <v>293</v>
      </c>
      <c r="L15">
        <f>100/24</f>
        <v>4.166666666666667</v>
      </c>
    </row>
    <row r="17" spans="11:12" x14ac:dyDescent="0.25">
      <c r="K17" t="s">
        <v>294</v>
      </c>
      <c r="L17">
        <f>SUM(L10:L12)</f>
        <v>1894.5416666666667</v>
      </c>
    </row>
    <row r="18" spans="11:12" x14ac:dyDescent="0.25">
      <c r="K18" t="s">
        <v>295</v>
      </c>
      <c r="L18">
        <f>39248/24</f>
        <v>1635.3333333333333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58DE-660E-4BF9-BC74-EF30B78A5AAF}">
  <dimension ref="A1:CJ281"/>
  <sheetViews>
    <sheetView workbookViewId="0">
      <pane xSplit="1" ySplit="10" topLeftCell="B87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B98" sqref="B9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e">
        <f ca="1">"2080/"&amp;"03/"&amp;INT(MID(CELL("filename",D6),FIND("]",CELL("filename",D6))+1,200))</f>
        <v>#VALUE!</v>
      </c>
      <c r="C4" s="187"/>
      <c r="D4" s="187"/>
      <c r="E4" s="188" t="e">
        <f ca="1">"2079/"&amp;"12/"&amp;INT(MID(CELL("filename",G6),FIND("]",CELL("filename",G6))+1,200))</f>
        <v>#VALUE!</v>
      </c>
      <c r="F4" s="188"/>
      <c r="G4" s="188"/>
      <c r="H4" s="188" t="e">
        <f ca="1">TEXT(E4,"dddd")</f>
        <v>#VALUE!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303.54000000000002</v>
      </c>
      <c r="C7" s="35">
        <f t="shared" si="1"/>
        <v>3.54</v>
      </c>
      <c r="D7" s="35">
        <f t="shared" si="1"/>
        <v>3.54</v>
      </c>
      <c r="E7" s="35">
        <f t="shared" si="1"/>
        <v>3.54</v>
      </c>
      <c r="F7" s="35">
        <f t="shared" si="1"/>
        <v>3.54</v>
      </c>
      <c r="G7" s="35">
        <f t="shared" si="1"/>
        <v>3.54</v>
      </c>
      <c r="H7" s="35">
        <f t="shared" si="1"/>
        <v>3.54</v>
      </c>
      <c r="I7" s="35">
        <f t="shared" si="1"/>
        <v>3.54</v>
      </c>
      <c r="J7" s="35">
        <f t="shared" si="1"/>
        <v>3.54</v>
      </c>
      <c r="K7" s="35">
        <f t="shared" si="1"/>
        <v>3.54</v>
      </c>
      <c r="L7" s="35">
        <f t="shared" si="1"/>
        <v>3.54</v>
      </c>
      <c r="M7" s="35">
        <f t="shared" si="1"/>
        <v>3.54</v>
      </c>
      <c r="N7" s="35">
        <f>N91</f>
        <v>3.54</v>
      </c>
      <c r="O7" s="35">
        <f t="shared" si="1"/>
        <v>3.54</v>
      </c>
      <c r="P7" s="35">
        <f t="shared" si="1"/>
        <v>3.54</v>
      </c>
      <c r="Q7" s="35">
        <f t="shared" si="1"/>
        <v>3.54</v>
      </c>
      <c r="R7" s="35">
        <f t="shared" si="1"/>
        <v>3.54</v>
      </c>
      <c r="S7" s="35">
        <f t="shared" si="1"/>
        <v>3.54</v>
      </c>
      <c r="T7" s="35">
        <f t="shared" si="1"/>
        <v>3.54</v>
      </c>
      <c r="U7" s="35">
        <f t="shared" si="1"/>
        <v>3.54</v>
      </c>
      <c r="V7" s="35">
        <f t="shared" si="1"/>
        <v>3.54</v>
      </c>
      <c r="W7" s="35">
        <f t="shared" si="1"/>
        <v>3.54</v>
      </c>
      <c r="X7" s="35">
        <f t="shared" si="1"/>
        <v>3.54</v>
      </c>
      <c r="Y7" s="35">
        <f t="shared" si="1"/>
        <v>3.54</v>
      </c>
      <c r="Z7" s="35">
        <f t="shared" si="1"/>
        <v>3.54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>
        <v>86</v>
      </c>
      <c r="AH11" s="47">
        <f t="shared" ref="AH11:AH76" si="2">MAX(B11:AF11)</f>
        <v>0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9">
        <v>54</v>
      </c>
      <c r="AH12" s="47">
        <f t="shared" si="2"/>
        <v>0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6">
        <v>52.4</v>
      </c>
      <c r="AH13" s="47">
        <f t="shared" si="2"/>
        <v>0</v>
      </c>
      <c r="AI13" s="48">
        <f t="shared" si="3"/>
        <v>0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45"/>
      <c r="AA14" s="45"/>
      <c r="AB14" s="45"/>
      <c r="AC14" s="45"/>
      <c r="AD14" s="45"/>
      <c r="AE14" s="45"/>
      <c r="AF14" s="45"/>
      <c r="AG14" s="49">
        <v>50</v>
      </c>
      <c r="AH14" s="47">
        <f t="shared" si="2"/>
        <v>0</v>
      </c>
      <c r="AI14" s="48">
        <f t="shared" si="3"/>
        <v>0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9">
        <v>45</v>
      </c>
      <c r="AH15" s="47">
        <f t="shared" si="2"/>
        <v>0</v>
      </c>
      <c r="AI15" s="48">
        <f t="shared" si="3"/>
        <v>0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9">
        <v>44</v>
      </c>
      <c r="AH16" s="47">
        <f>MAX(B16:AG16)</f>
        <v>44</v>
      </c>
      <c r="AI16" s="48">
        <f>MIN(B16:AG16)</f>
        <v>44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9">
        <v>42</v>
      </c>
      <c r="AH17" s="47">
        <f t="shared" si="2"/>
        <v>0</v>
      </c>
      <c r="AI17" s="48">
        <f t="shared" si="3"/>
        <v>0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9">
        <v>38.46</v>
      </c>
      <c r="AH18" s="47">
        <f t="shared" si="2"/>
        <v>0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9">
        <v>36</v>
      </c>
      <c r="AH19" s="47">
        <f t="shared" si="2"/>
        <v>0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51">
        <v>30</v>
      </c>
      <c r="AH20" s="47">
        <f t="shared" si="2"/>
        <v>0</v>
      </c>
      <c r="AI20" s="48">
        <f t="shared" si="3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9">
        <v>24.2</v>
      </c>
      <c r="AH21" s="47">
        <f t="shared" si="2"/>
        <v>0</v>
      </c>
      <c r="AI21" s="48">
        <f t="shared" si="3"/>
        <v>0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9">
        <v>28</v>
      </c>
      <c r="AH22" s="47">
        <f t="shared" si="2"/>
        <v>0</v>
      </c>
      <c r="AI22" s="48">
        <f t="shared" si="3"/>
        <v>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51">
        <v>30</v>
      </c>
      <c r="AH23" s="47">
        <f t="shared" si="2"/>
        <v>0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9">
        <v>25</v>
      </c>
      <c r="AH24" s="47">
        <f t="shared" si="2"/>
        <v>0</v>
      </c>
      <c r="AI24" s="48">
        <f t="shared" si="3"/>
        <v>0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9">
        <v>25</v>
      </c>
      <c r="AH26" s="47">
        <f t="shared" si="2"/>
        <v>0</v>
      </c>
      <c r="AI26" s="48">
        <f t="shared" si="3"/>
        <v>0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9">
        <v>25</v>
      </c>
      <c r="AH27" s="47">
        <f t="shared" si="2"/>
        <v>0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9">
        <v>23.5</v>
      </c>
      <c r="AH28" s="47">
        <f t="shared" si="2"/>
        <v>0</v>
      </c>
      <c r="AI28" s="48">
        <f t="shared" si="3"/>
        <v>0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9">
        <v>22.2</v>
      </c>
      <c r="AH29" s="47">
        <f t="shared" si="2"/>
        <v>0</v>
      </c>
      <c r="AI29" s="48">
        <f t="shared" si="3"/>
        <v>0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9">
        <v>22</v>
      </c>
      <c r="AH31" s="47">
        <f t="shared" si="2"/>
        <v>0</v>
      </c>
      <c r="AI31" s="48">
        <f t="shared" si="3"/>
        <v>0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9">
        <v>22</v>
      </c>
      <c r="AH32" s="47">
        <f t="shared" si="2"/>
        <v>0</v>
      </c>
      <c r="AI32" s="48">
        <f t="shared" si="3"/>
        <v>0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9">
        <v>20</v>
      </c>
      <c r="AH33" s="47">
        <f t="shared" si="2"/>
        <v>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9">
        <v>18</v>
      </c>
      <c r="AH34" s="47">
        <f t="shared" si="2"/>
        <v>0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9">
        <v>14.9</v>
      </c>
      <c r="AH35" s="47">
        <f t="shared" si="2"/>
        <v>0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9">
        <v>13.6</v>
      </c>
      <c r="AH37" s="47">
        <f t="shared" si="2"/>
        <v>0</v>
      </c>
      <c r="AI37" s="48">
        <f t="shared" si="3"/>
        <v>0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9">
        <v>13</v>
      </c>
      <c r="AH38" s="47">
        <f t="shared" si="2"/>
        <v>0</v>
      </c>
      <c r="AI38" s="48">
        <f t="shared" si="3"/>
        <v>0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9">
        <v>12</v>
      </c>
      <c r="AH39" s="47">
        <f t="shared" si="2"/>
        <v>0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9">
        <v>12</v>
      </c>
      <c r="AH40" s="47">
        <f t="shared" si="2"/>
        <v>0</v>
      </c>
      <c r="AI40" s="48">
        <f t="shared" si="3"/>
        <v>0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9">
        <v>12</v>
      </c>
      <c r="AH41" s="47">
        <f t="shared" si="2"/>
        <v>0</v>
      </c>
      <c r="AI41" s="48">
        <f t="shared" si="3"/>
        <v>0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52">
        <v>22</v>
      </c>
      <c r="AH42" s="47">
        <f t="shared" si="2"/>
        <v>0</v>
      </c>
      <c r="AI42" s="48">
        <f t="shared" si="3"/>
        <v>0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51">
        <v>11.88</v>
      </c>
      <c r="AH43" s="47">
        <f t="shared" si="2"/>
        <v>0</v>
      </c>
      <c r="AI43" s="48">
        <f t="shared" si="3"/>
        <v>0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54">
        <v>11</v>
      </c>
      <c r="AH44" s="47">
        <f t="shared" si="2"/>
        <v>0</v>
      </c>
      <c r="AI44" s="48">
        <f t="shared" si="3"/>
        <v>0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54">
        <v>10</v>
      </c>
      <c r="AH45" s="47">
        <f t="shared" si="2"/>
        <v>0</v>
      </c>
      <c r="AI45" s="48">
        <f t="shared" si="3"/>
        <v>0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54">
        <v>10</v>
      </c>
      <c r="AH46" s="47">
        <f t="shared" si="2"/>
        <v>0</v>
      </c>
      <c r="AI46" s="48">
        <f t="shared" si="3"/>
        <v>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4">
        <v>85</v>
      </c>
      <c r="AH48" s="47">
        <f t="shared" si="2"/>
        <v>0</v>
      </c>
      <c r="AI48" s="48">
        <f t="shared" si="3"/>
        <v>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AF50" si="4">SUM(B11:B48)</f>
        <v>0</v>
      </c>
      <c r="C50" s="59">
        <f t="shared" si="4"/>
        <v>0</v>
      </c>
      <c r="D50" s="59">
        <f t="shared" si="4"/>
        <v>0</v>
      </c>
      <c r="E50" s="59">
        <f t="shared" si="4"/>
        <v>0</v>
      </c>
      <c r="F50" s="59">
        <f t="shared" si="4"/>
        <v>0</v>
      </c>
      <c r="G50" s="59">
        <f t="shared" si="4"/>
        <v>0</v>
      </c>
      <c r="H50" s="59">
        <f t="shared" si="4"/>
        <v>0</v>
      </c>
      <c r="I50" s="59">
        <f t="shared" si="4"/>
        <v>0</v>
      </c>
      <c r="J50" s="59">
        <f t="shared" si="4"/>
        <v>0</v>
      </c>
      <c r="K50" s="59">
        <f t="shared" si="4"/>
        <v>0</v>
      </c>
      <c r="L50" s="59">
        <f t="shared" si="4"/>
        <v>0</v>
      </c>
      <c r="M50" s="59">
        <f t="shared" si="4"/>
        <v>0</v>
      </c>
      <c r="N50" s="59">
        <f t="shared" si="4"/>
        <v>0</v>
      </c>
      <c r="O50" s="59">
        <f t="shared" si="4"/>
        <v>0</v>
      </c>
      <c r="P50" s="59">
        <f t="shared" si="4"/>
        <v>0</v>
      </c>
      <c r="Q50" s="59">
        <f t="shared" si="4"/>
        <v>0</v>
      </c>
      <c r="R50" s="59">
        <f t="shared" si="4"/>
        <v>0</v>
      </c>
      <c r="S50" s="59">
        <f t="shared" si="4"/>
        <v>0</v>
      </c>
      <c r="T50" s="59">
        <f t="shared" si="4"/>
        <v>0</v>
      </c>
      <c r="U50" s="59">
        <f t="shared" si="4"/>
        <v>0</v>
      </c>
      <c r="V50" s="59">
        <f t="shared" si="4"/>
        <v>0</v>
      </c>
      <c r="W50" s="59">
        <f t="shared" si="4"/>
        <v>0</v>
      </c>
      <c r="X50" s="59">
        <f t="shared" si="4"/>
        <v>0</v>
      </c>
      <c r="Y50" s="59">
        <f t="shared" si="4"/>
        <v>0</v>
      </c>
      <c r="Z50" s="59">
        <f t="shared" si="4"/>
        <v>0</v>
      </c>
      <c r="AA50" s="59">
        <f t="shared" si="4"/>
        <v>0</v>
      </c>
      <c r="AB50" s="59">
        <f t="shared" si="4"/>
        <v>0</v>
      </c>
      <c r="AC50" s="59">
        <f t="shared" si="4"/>
        <v>0</v>
      </c>
      <c r="AD50" s="59">
        <f t="shared" si="4"/>
        <v>0</v>
      </c>
      <c r="AE50" s="59">
        <f t="shared" si="4"/>
        <v>0</v>
      </c>
      <c r="AF50" s="59">
        <f t="shared" si="4"/>
        <v>0</v>
      </c>
      <c r="AG50" s="60">
        <f>SUM(AG13:AG48)</f>
        <v>922.14</v>
      </c>
      <c r="AH50" s="47">
        <f t="shared" si="2"/>
        <v>0</v>
      </c>
      <c r="AI50" s="48">
        <f t="shared" si="3"/>
        <v>0</v>
      </c>
      <c r="AK50" s="74"/>
    </row>
    <row r="51" spans="1:41" x14ac:dyDescent="0.25">
      <c r="A51" s="61" t="s">
        <v>67</v>
      </c>
      <c r="B51" s="45">
        <v>300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62"/>
      <c r="O51" s="62"/>
      <c r="P51" s="62"/>
      <c r="Q51" s="62"/>
      <c r="R51" s="62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51">
        <v>456</v>
      </c>
      <c r="AH51" s="47">
        <f t="shared" si="2"/>
        <v>300</v>
      </c>
      <c r="AI51" s="48">
        <f t="shared" si="3"/>
        <v>300</v>
      </c>
      <c r="AK51" s="74"/>
    </row>
    <row r="52" spans="1:41" x14ac:dyDescent="0.25">
      <c r="A52" s="63" t="s">
        <v>68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54">
        <v>60</v>
      </c>
      <c r="AH52" s="47">
        <f t="shared" si="2"/>
        <v>0</v>
      </c>
      <c r="AI52" s="48">
        <f t="shared" si="3"/>
        <v>0</v>
      </c>
      <c r="AK52" s="74"/>
    </row>
    <row r="53" spans="1:41" ht="15.75" thickBot="1" x14ac:dyDescent="0.3">
      <c r="A53" s="65" t="s">
        <v>69</v>
      </c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7">
        <v>22.1</v>
      </c>
      <c r="AH53" s="47">
        <f t="shared" si="2"/>
        <v>0</v>
      </c>
      <c r="AI53" s="48">
        <f t="shared" si="3"/>
        <v>0</v>
      </c>
      <c r="AK53" s="74"/>
    </row>
    <row r="54" spans="1:41" ht="15.75" thickBot="1" x14ac:dyDescent="0.3">
      <c r="A54" s="68" t="s">
        <v>70</v>
      </c>
      <c r="B54" s="59">
        <f t="shared" ref="B54:AG54" si="5">SUM(B51:B53)</f>
        <v>300</v>
      </c>
      <c r="C54" s="59">
        <f t="shared" si="5"/>
        <v>0</v>
      </c>
      <c r="D54" s="59">
        <f t="shared" si="5"/>
        <v>0</v>
      </c>
      <c r="E54" s="59">
        <f t="shared" si="5"/>
        <v>0</v>
      </c>
      <c r="F54" s="59">
        <f t="shared" si="5"/>
        <v>0</v>
      </c>
      <c r="G54" s="59">
        <f t="shared" si="5"/>
        <v>0</v>
      </c>
      <c r="H54" s="59">
        <f t="shared" si="5"/>
        <v>0</v>
      </c>
      <c r="I54" s="59">
        <f t="shared" si="5"/>
        <v>0</v>
      </c>
      <c r="J54" s="59">
        <f t="shared" si="5"/>
        <v>0</v>
      </c>
      <c r="K54" s="59">
        <f t="shared" si="5"/>
        <v>0</v>
      </c>
      <c r="L54" s="59">
        <f t="shared" si="5"/>
        <v>0</v>
      </c>
      <c r="M54" s="59">
        <f t="shared" si="5"/>
        <v>0</v>
      </c>
      <c r="N54" s="59">
        <f t="shared" si="5"/>
        <v>0</v>
      </c>
      <c r="O54" s="59">
        <f t="shared" si="5"/>
        <v>0</v>
      </c>
      <c r="P54" s="59">
        <f t="shared" si="5"/>
        <v>0</v>
      </c>
      <c r="Q54" s="59">
        <f t="shared" si="5"/>
        <v>0</v>
      </c>
      <c r="R54" s="59">
        <f t="shared" si="5"/>
        <v>0</v>
      </c>
      <c r="S54" s="59">
        <f t="shared" si="5"/>
        <v>0</v>
      </c>
      <c r="T54" s="59">
        <f t="shared" si="5"/>
        <v>0</v>
      </c>
      <c r="U54" s="59">
        <f t="shared" si="5"/>
        <v>0</v>
      </c>
      <c r="V54" s="59">
        <f t="shared" si="5"/>
        <v>0</v>
      </c>
      <c r="W54" s="59">
        <f t="shared" si="5"/>
        <v>0</v>
      </c>
      <c r="X54" s="59">
        <f t="shared" si="5"/>
        <v>0</v>
      </c>
      <c r="Y54" s="59">
        <f t="shared" si="5"/>
        <v>0</v>
      </c>
      <c r="Z54" s="59">
        <f t="shared" si="5"/>
        <v>0</v>
      </c>
      <c r="AA54" s="59">
        <f t="shared" si="5"/>
        <v>0</v>
      </c>
      <c r="AB54" s="59">
        <f t="shared" si="5"/>
        <v>0</v>
      </c>
      <c r="AC54" s="59">
        <f t="shared" si="5"/>
        <v>0</v>
      </c>
      <c r="AD54" s="59">
        <f t="shared" si="5"/>
        <v>0</v>
      </c>
      <c r="AE54" s="59">
        <f t="shared" si="5"/>
        <v>0</v>
      </c>
      <c r="AF54" s="59">
        <f t="shared" si="5"/>
        <v>0</v>
      </c>
      <c r="AG54" s="60">
        <f t="shared" si="5"/>
        <v>538.1</v>
      </c>
      <c r="AH54" s="47">
        <f t="shared" si="2"/>
        <v>300</v>
      </c>
      <c r="AI54" s="48">
        <f t="shared" si="3"/>
        <v>0</v>
      </c>
      <c r="AK54" s="74"/>
    </row>
    <row r="55" spans="1:41" x14ac:dyDescent="0.25">
      <c r="A55" s="44" t="s">
        <v>71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51">
        <v>144</v>
      </c>
      <c r="AH55" s="47">
        <f t="shared" si="2"/>
        <v>0</v>
      </c>
      <c r="AI55" s="48">
        <f t="shared" si="3"/>
        <v>0</v>
      </c>
      <c r="AK55" s="74"/>
    </row>
    <row r="56" spans="1:41" x14ac:dyDescent="0.25">
      <c r="A56" s="53" t="s">
        <v>72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64"/>
      <c r="AE56" s="45"/>
      <c r="AF56" s="45"/>
      <c r="AG56" s="54">
        <v>70</v>
      </c>
      <c r="AH56" s="47">
        <f t="shared" si="2"/>
        <v>0</v>
      </c>
      <c r="AI56" s="48">
        <f t="shared" si="3"/>
        <v>0</v>
      </c>
      <c r="AK56" s="74"/>
    </row>
    <row r="57" spans="1:41" x14ac:dyDescent="0.25">
      <c r="A57" s="53" t="s">
        <v>73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64"/>
      <c r="AE57" s="45"/>
      <c r="AF57" s="45"/>
      <c r="AG57" s="54">
        <v>69</v>
      </c>
      <c r="AH57" s="47">
        <f t="shared" si="2"/>
        <v>0</v>
      </c>
      <c r="AI57" s="48">
        <f t="shared" si="3"/>
        <v>0</v>
      </c>
      <c r="AK57" s="74"/>
    </row>
    <row r="58" spans="1:41" x14ac:dyDescent="0.25">
      <c r="A58" s="53" t="s">
        <v>74</v>
      </c>
      <c r="B58" s="64"/>
      <c r="C58" s="64"/>
      <c r="D58" s="64"/>
      <c r="E58" s="56"/>
      <c r="F58" s="56"/>
      <c r="G58" s="56"/>
      <c r="H58" s="56"/>
      <c r="I58" s="56"/>
      <c r="J58" s="56"/>
      <c r="K58" s="56"/>
      <c r="L58" s="56"/>
      <c r="M58" s="64"/>
      <c r="N58" s="64"/>
      <c r="O58" s="64"/>
      <c r="P58" s="64"/>
      <c r="Q58" s="64"/>
      <c r="R58" s="64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64"/>
      <c r="AE58" s="45"/>
      <c r="AF58" s="45"/>
      <c r="AG58" s="54">
        <v>60</v>
      </c>
      <c r="AH58" s="47">
        <f t="shared" si="2"/>
        <v>0</v>
      </c>
      <c r="AI58" s="48">
        <f t="shared" si="3"/>
        <v>0</v>
      </c>
      <c r="AK58" s="74"/>
    </row>
    <row r="59" spans="1:41" x14ac:dyDescent="0.25">
      <c r="A59" s="53" t="s">
        <v>75</v>
      </c>
      <c r="B59" s="64"/>
      <c r="C59" s="64"/>
      <c r="D59" s="64"/>
      <c r="E59" s="56"/>
      <c r="F59" s="56"/>
      <c r="G59" s="56"/>
      <c r="H59" s="56"/>
      <c r="I59" s="56"/>
      <c r="J59" s="56"/>
      <c r="K59" s="56"/>
      <c r="L59" s="56"/>
      <c r="M59" s="64"/>
      <c r="N59" s="64"/>
      <c r="O59" s="64"/>
      <c r="P59" s="64"/>
      <c r="Q59" s="64"/>
      <c r="R59" s="64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64"/>
      <c r="AE59" s="45"/>
      <c r="AF59" s="45"/>
      <c r="AG59" s="54">
        <v>30</v>
      </c>
      <c r="AH59" s="47">
        <f t="shared" si="2"/>
        <v>0</v>
      </c>
      <c r="AI59" s="48">
        <f t="shared" si="3"/>
        <v>0</v>
      </c>
      <c r="AK59" s="74"/>
    </row>
    <row r="60" spans="1:41" x14ac:dyDescent="0.25">
      <c r="A60" s="53" t="s">
        <v>76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64"/>
      <c r="AE60" s="45"/>
      <c r="AF60" s="45"/>
      <c r="AG60" s="54">
        <v>25</v>
      </c>
      <c r="AH60" s="47">
        <f t="shared" si="2"/>
        <v>0</v>
      </c>
      <c r="AI60" s="48">
        <f t="shared" si="3"/>
        <v>0</v>
      </c>
      <c r="AK60" s="74"/>
    </row>
    <row r="61" spans="1:41" x14ac:dyDescent="0.25">
      <c r="A61" s="53" t="s">
        <v>77</v>
      </c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54">
        <v>24</v>
      </c>
      <c r="AH61" s="47">
        <f t="shared" si="2"/>
        <v>0</v>
      </c>
      <c r="AI61" s="48">
        <f t="shared" si="3"/>
        <v>0</v>
      </c>
      <c r="AK61" s="74"/>
    </row>
    <row r="62" spans="1:41" x14ac:dyDescent="0.25">
      <c r="A62" s="53" t="s">
        <v>78</v>
      </c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54">
        <v>15</v>
      </c>
      <c r="AH62" s="47">
        <f t="shared" si="2"/>
        <v>0</v>
      </c>
      <c r="AI62" s="48">
        <f t="shared" si="3"/>
        <v>0</v>
      </c>
      <c r="AK62" s="74"/>
      <c r="AL62" s="69"/>
      <c r="AO62" s="69"/>
    </row>
    <row r="63" spans="1:41" s="69" customFormat="1" x14ac:dyDescent="0.25">
      <c r="A63" s="53" t="s">
        <v>79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54">
        <v>14.1</v>
      </c>
      <c r="AH63" s="47">
        <f t="shared" si="2"/>
        <v>0</v>
      </c>
      <c r="AI63" s="48">
        <f t="shared" si="3"/>
        <v>0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54">
        <v>14</v>
      </c>
      <c r="AH64" s="47">
        <f t="shared" si="2"/>
        <v>0</v>
      </c>
      <c r="AI64" s="48">
        <f t="shared" si="3"/>
        <v>0</v>
      </c>
      <c r="AK64" s="74"/>
    </row>
    <row r="65" spans="1:40" x14ac:dyDescent="0.25">
      <c r="A65" s="53" t="s">
        <v>81</v>
      </c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54">
        <v>10.050000000000001</v>
      </c>
      <c r="AH65" s="47">
        <f t="shared" si="2"/>
        <v>0</v>
      </c>
      <c r="AI65" s="48">
        <f t="shared" si="3"/>
        <v>0</v>
      </c>
      <c r="AK65" s="74"/>
    </row>
    <row r="66" spans="1:40" x14ac:dyDescent="0.25">
      <c r="A66" s="53" t="s">
        <v>82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54">
        <v>6.2</v>
      </c>
      <c r="AH66" s="47">
        <f t="shared" si="2"/>
        <v>0</v>
      </c>
      <c r="AI66" s="48">
        <f t="shared" si="3"/>
        <v>0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AG68" si="6">SUM(B55:B67)</f>
        <v>3.54</v>
      </c>
      <c r="C68" s="59">
        <f t="shared" si="6"/>
        <v>3.54</v>
      </c>
      <c r="D68" s="59">
        <f t="shared" si="6"/>
        <v>3.54</v>
      </c>
      <c r="E68" s="59">
        <f t="shared" si="6"/>
        <v>3.54</v>
      </c>
      <c r="F68" s="59">
        <f t="shared" si="6"/>
        <v>3.54</v>
      </c>
      <c r="G68" s="59">
        <f t="shared" si="6"/>
        <v>3.54</v>
      </c>
      <c r="H68" s="59">
        <f t="shared" si="6"/>
        <v>3.54</v>
      </c>
      <c r="I68" s="59">
        <f t="shared" si="6"/>
        <v>3.54</v>
      </c>
      <c r="J68" s="59">
        <f t="shared" si="6"/>
        <v>3.54</v>
      </c>
      <c r="K68" s="59">
        <f t="shared" si="6"/>
        <v>3.54</v>
      </c>
      <c r="L68" s="59">
        <f t="shared" si="6"/>
        <v>3.54</v>
      </c>
      <c r="M68" s="59">
        <f t="shared" si="6"/>
        <v>3.54</v>
      </c>
      <c r="N68" s="59">
        <f t="shared" si="6"/>
        <v>3.54</v>
      </c>
      <c r="O68" s="59">
        <f t="shared" si="6"/>
        <v>3.54</v>
      </c>
      <c r="P68" s="59">
        <f t="shared" si="6"/>
        <v>3.54</v>
      </c>
      <c r="Q68" s="59">
        <f t="shared" si="6"/>
        <v>3.54</v>
      </c>
      <c r="R68" s="59">
        <f t="shared" si="6"/>
        <v>3.54</v>
      </c>
      <c r="S68" s="59">
        <f t="shared" si="6"/>
        <v>3.54</v>
      </c>
      <c r="T68" s="59">
        <f t="shared" si="6"/>
        <v>3.54</v>
      </c>
      <c r="U68" s="59">
        <f t="shared" si="6"/>
        <v>3.54</v>
      </c>
      <c r="V68" s="59">
        <f t="shared" si="6"/>
        <v>3.54</v>
      </c>
      <c r="W68" s="59">
        <f t="shared" si="6"/>
        <v>3.54</v>
      </c>
      <c r="X68" s="59">
        <f t="shared" si="6"/>
        <v>3.54</v>
      </c>
      <c r="Y68" s="59">
        <f t="shared" si="6"/>
        <v>3.54</v>
      </c>
      <c r="Z68" s="59">
        <f t="shared" si="6"/>
        <v>3.54</v>
      </c>
      <c r="AA68" s="59">
        <f t="shared" si="6"/>
        <v>3.54</v>
      </c>
      <c r="AB68" s="59">
        <f t="shared" si="6"/>
        <v>3.54</v>
      </c>
      <c r="AC68" s="59">
        <f t="shared" si="6"/>
        <v>3.54</v>
      </c>
      <c r="AD68" s="59">
        <f t="shared" si="6"/>
        <v>3.54</v>
      </c>
      <c r="AE68" s="59">
        <f t="shared" si="6"/>
        <v>3.54</v>
      </c>
      <c r="AF68" s="59">
        <f t="shared" si="6"/>
        <v>3.54</v>
      </c>
      <c r="AG68" s="60">
        <f t="shared" si="6"/>
        <v>489.91</v>
      </c>
      <c r="AH68" s="47">
        <f t="shared" si="2"/>
        <v>3.54</v>
      </c>
      <c r="AI68" s="48">
        <f t="shared" si="3"/>
        <v>3.54</v>
      </c>
      <c r="AK68" s="74"/>
    </row>
    <row r="69" spans="1:40" x14ac:dyDescent="0.25">
      <c r="A69" s="44" t="s">
        <v>85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51">
        <v>60</v>
      </c>
      <c r="AH69" s="47">
        <f t="shared" si="2"/>
        <v>0</v>
      </c>
      <c r="AI69" s="48">
        <f t="shared" si="3"/>
        <v>0</v>
      </c>
      <c r="AK69" s="74"/>
    </row>
    <row r="70" spans="1:40" x14ac:dyDescent="0.25">
      <c r="A70" s="53" t="s">
        <v>86</v>
      </c>
      <c r="B70" s="45"/>
      <c r="C70" s="45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54">
        <v>32</v>
      </c>
      <c r="AH70" s="47">
        <f t="shared" si="2"/>
        <v>0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/>
      <c r="C71" s="45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7">
        <v>14</v>
      </c>
      <c r="AH71" s="47">
        <f t="shared" si="2"/>
        <v>0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>B69+B70+B71</f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F72" si="7">M69+M70+M71</f>
        <v>0</v>
      </c>
      <c r="N72" s="59">
        <f t="shared" si="7"/>
        <v>0</v>
      </c>
      <c r="O72" s="59">
        <f t="shared" si="7"/>
        <v>0</v>
      </c>
      <c r="P72" s="59">
        <f t="shared" si="7"/>
        <v>0</v>
      </c>
      <c r="Q72" s="59">
        <f t="shared" si="7"/>
        <v>0</v>
      </c>
      <c r="R72" s="59">
        <f t="shared" si="7"/>
        <v>0</v>
      </c>
      <c r="S72" s="59">
        <f t="shared" si="7"/>
        <v>0</v>
      </c>
      <c r="T72" s="59">
        <f t="shared" si="7"/>
        <v>0</v>
      </c>
      <c r="U72" s="59">
        <f t="shared" si="7"/>
        <v>0</v>
      </c>
      <c r="V72" s="59">
        <f t="shared" si="7"/>
        <v>0</v>
      </c>
      <c r="W72" s="59">
        <f t="shared" si="7"/>
        <v>0</v>
      </c>
      <c r="X72" s="59">
        <f t="shared" si="7"/>
        <v>0</v>
      </c>
      <c r="Y72" s="59">
        <f t="shared" si="7"/>
        <v>0</v>
      </c>
      <c r="Z72" s="59">
        <f t="shared" si="7"/>
        <v>0</v>
      </c>
      <c r="AA72" s="59">
        <f t="shared" si="7"/>
        <v>0</v>
      </c>
      <c r="AB72" s="59">
        <f t="shared" si="7"/>
        <v>0</v>
      </c>
      <c r="AC72" s="59">
        <f t="shared" si="7"/>
        <v>0</v>
      </c>
      <c r="AD72" s="59">
        <f t="shared" si="7"/>
        <v>0</v>
      </c>
      <c r="AE72" s="59">
        <f t="shared" si="7"/>
        <v>0</v>
      </c>
      <c r="AF72" s="59">
        <f t="shared" si="7"/>
        <v>0</v>
      </c>
      <c r="AG72" s="60">
        <f>SUM(AG69:AG71)</f>
        <v>106</v>
      </c>
      <c r="AH72" s="47">
        <f t="shared" si="2"/>
        <v>0</v>
      </c>
      <c r="AI72" s="48">
        <f t="shared" si="3"/>
        <v>0</v>
      </c>
      <c r="AK72" s="74"/>
    </row>
    <row r="73" spans="1:40" x14ac:dyDescent="0.25">
      <c r="A73" s="44" t="s">
        <v>89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51"/>
      <c r="AH73" s="47">
        <f t="shared" si="2"/>
        <v>0</v>
      </c>
      <c r="AI73" s="48">
        <f t="shared" si="3"/>
        <v>0</v>
      </c>
      <c r="AK73" s="74"/>
    </row>
    <row r="74" spans="1:40" x14ac:dyDescent="0.25">
      <c r="A74" s="53" t="s">
        <v>90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75"/>
      <c r="AH75" s="47">
        <f t="shared" si="2"/>
        <v>0</v>
      </c>
      <c r="AI75" s="48">
        <f t="shared" si="3"/>
        <v>0</v>
      </c>
      <c r="AK75" s="74"/>
    </row>
    <row r="76" spans="1:40" x14ac:dyDescent="0.25">
      <c r="A76" s="53" t="s">
        <v>92</v>
      </c>
      <c r="B76" s="64"/>
      <c r="C76" s="64"/>
      <c r="D76" s="64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64"/>
      <c r="AE76" s="76"/>
      <c r="AF76" s="76"/>
      <c r="AG76" s="75"/>
      <c r="AH76" s="47">
        <f t="shared" si="2"/>
        <v>0</v>
      </c>
      <c r="AI76" s="48">
        <f t="shared" si="3"/>
        <v>0</v>
      </c>
      <c r="AK76" s="74"/>
    </row>
    <row r="77" spans="1:40" x14ac:dyDescent="0.25">
      <c r="A77" s="53" t="s">
        <v>93</v>
      </c>
      <c r="B77" s="45"/>
      <c r="C77" s="45"/>
      <c r="D77" s="64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5"/>
      <c r="AH77" s="47">
        <f t="shared" ref="AH77:AH120" si="8">MAX(B77:AF77)</f>
        <v>0</v>
      </c>
      <c r="AI77" s="48">
        <f t="shared" ref="AI77:AI120" si="9">MIN(B77:AF77)</f>
        <v>0</v>
      </c>
      <c r="AK77" s="74"/>
    </row>
    <row r="78" spans="1:40" x14ac:dyDescent="0.25">
      <c r="A78" s="53" t="s">
        <v>94</v>
      </c>
      <c r="B78" s="45"/>
      <c r="C78" s="77"/>
      <c r="D78" s="64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5"/>
      <c r="AH78" s="47">
        <f t="shared" si="8"/>
        <v>0</v>
      </c>
      <c r="AI78" s="48">
        <f t="shared" si="9"/>
        <v>0</v>
      </c>
      <c r="AK78" s="74"/>
    </row>
    <row r="79" spans="1:40" ht="15.75" thickBot="1" x14ac:dyDescent="0.3">
      <c r="A79" s="53" t="s">
        <v>95</v>
      </c>
      <c r="B79" s="45"/>
      <c r="C79" s="77"/>
      <c r="D79" s="64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5"/>
      <c r="AH79" s="47">
        <f t="shared" si="8"/>
        <v>0</v>
      </c>
      <c r="AI79" s="48">
        <f t="shared" si="9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/>
      <c r="C80" s="77"/>
      <c r="D80" s="64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/>
      <c r="C81" s="77"/>
      <c r="D81" s="64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5"/>
      <c r="AH81" s="47">
        <f t="shared" si="8"/>
        <v>0</v>
      </c>
      <c r="AI81" s="48">
        <f t="shared" si="9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/>
      <c r="C82" s="77"/>
      <c r="D82" s="64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85"/>
      <c r="AH82" s="47">
        <f t="shared" si="8"/>
        <v>0</v>
      </c>
      <c r="AI82" s="48">
        <f t="shared" si="9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/>
      <c r="C83" s="77"/>
      <c r="D83" s="64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0">SUMIF(B73:B83,"&gt;0")</f>
        <v>0</v>
      </c>
      <c r="C84" s="59">
        <f t="shared" si="10"/>
        <v>0</v>
      </c>
      <c r="D84" s="59">
        <f t="shared" si="10"/>
        <v>0</v>
      </c>
      <c r="E84" s="59">
        <f t="shared" si="10"/>
        <v>0</v>
      </c>
      <c r="F84" s="59">
        <f t="shared" si="10"/>
        <v>0</v>
      </c>
      <c r="G84" s="59">
        <f t="shared" si="10"/>
        <v>0</v>
      </c>
      <c r="H84" s="59">
        <f t="shared" si="10"/>
        <v>0</v>
      </c>
      <c r="I84" s="59">
        <f t="shared" si="10"/>
        <v>0</v>
      </c>
      <c r="J84" s="59">
        <f t="shared" si="10"/>
        <v>0</v>
      </c>
      <c r="K84" s="59">
        <f t="shared" si="10"/>
        <v>0</v>
      </c>
      <c r="L84" s="59">
        <f t="shared" si="10"/>
        <v>0</v>
      </c>
      <c r="M84" s="59">
        <f t="shared" si="10"/>
        <v>0</v>
      </c>
      <c r="N84" s="59">
        <f t="shared" si="10"/>
        <v>0</v>
      </c>
      <c r="O84" s="59">
        <f t="shared" si="10"/>
        <v>0</v>
      </c>
      <c r="P84" s="59">
        <f t="shared" si="10"/>
        <v>0</v>
      </c>
      <c r="Q84" s="59">
        <f t="shared" si="10"/>
        <v>0</v>
      </c>
      <c r="R84" s="59">
        <f t="shared" si="10"/>
        <v>0</v>
      </c>
      <c r="S84" s="59">
        <f t="shared" si="10"/>
        <v>0</v>
      </c>
      <c r="T84" s="59">
        <f t="shared" si="10"/>
        <v>0</v>
      </c>
      <c r="U84" s="59">
        <f t="shared" si="10"/>
        <v>0</v>
      </c>
      <c r="V84" s="59">
        <f t="shared" si="10"/>
        <v>0</v>
      </c>
      <c r="W84" s="59">
        <f t="shared" si="10"/>
        <v>0</v>
      </c>
      <c r="X84" s="59">
        <f t="shared" si="10"/>
        <v>0</v>
      </c>
      <c r="Y84" s="59">
        <f t="shared" si="10"/>
        <v>0</v>
      </c>
      <c r="Z84" s="59">
        <f t="shared" si="10"/>
        <v>0</v>
      </c>
      <c r="AA84" s="59">
        <f t="shared" si="10"/>
        <v>0</v>
      </c>
      <c r="AB84" s="59">
        <f t="shared" si="10"/>
        <v>0</v>
      </c>
      <c r="AC84" s="59">
        <f t="shared" si="10"/>
        <v>0</v>
      </c>
      <c r="AD84" s="59">
        <f t="shared" si="10"/>
        <v>0</v>
      </c>
      <c r="AE84" s="59">
        <f t="shared" si="10"/>
        <v>0</v>
      </c>
      <c r="AF84" s="59">
        <f t="shared" si="10"/>
        <v>0</v>
      </c>
      <c r="AG84" s="88">
        <f>SUM(AG73:AG83)</f>
        <v>0</v>
      </c>
      <c r="AH84" s="47">
        <f t="shared" si="8"/>
        <v>0</v>
      </c>
      <c r="AI84" s="48">
        <f t="shared" si="9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3" t="s">
        <v>108</v>
      </c>
      <c r="B89" s="95">
        <f t="shared" ref="B89:AG89" si="11">B50+B54+B72+B68+B84+B88</f>
        <v>303.54000000000002</v>
      </c>
      <c r="C89" s="95">
        <f t="shared" si="11"/>
        <v>3.54</v>
      </c>
      <c r="D89" s="95">
        <f t="shared" si="11"/>
        <v>3.54</v>
      </c>
      <c r="E89" s="95">
        <f t="shared" si="11"/>
        <v>3.54</v>
      </c>
      <c r="F89" s="95">
        <f t="shared" si="11"/>
        <v>3.54</v>
      </c>
      <c r="G89" s="95">
        <f t="shared" si="11"/>
        <v>3.54</v>
      </c>
      <c r="H89" s="95">
        <f t="shared" si="11"/>
        <v>3.54</v>
      </c>
      <c r="I89" s="95">
        <f t="shared" si="11"/>
        <v>3.54</v>
      </c>
      <c r="J89" s="95">
        <f t="shared" si="11"/>
        <v>3.54</v>
      </c>
      <c r="K89" s="95">
        <f t="shared" si="11"/>
        <v>3.54</v>
      </c>
      <c r="L89" s="95">
        <f t="shared" si="11"/>
        <v>3.54</v>
      </c>
      <c r="M89" s="95">
        <f t="shared" si="11"/>
        <v>3.54</v>
      </c>
      <c r="N89" s="95">
        <f t="shared" si="11"/>
        <v>3.54</v>
      </c>
      <c r="O89" s="95">
        <f t="shared" si="11"/>
        <v>3.54</v>
      </c>
      <c r="P89" s="95">
        <f t="shared" si="11"/>
        <v>3.54</v>
      </c>
      <c r="Q89" s="95">
        <f t="shared" si="11"/>
        <v>3.54</v>
      </c>
      <c r="R89" s="95">
        <f t="shared" si="11"/>
        <v>3.54</v>
      </c>
      <c r="S89" s="95">
        <f t="shared" si="11"/>
        <v>3.54</v>
      </c>
      <c r="T89" s="95">
        <f t="shared" si="11"/>
        <v>3.54</v>
      </c>
      <c r="U89" s="95">
        <f t="shared" si="11"/>
        <v>3.54</v>
      </c>
      <c r="V89" s="95">
        <f t="shared" si="11"/>
        <v>3.54</v>
      </c>
      <c r="W89" s="95">
        <f t="shared" si="11"/>
        <v>3.54</v>
      </c>
      <c r="X89" s="95">
        <f t="shared" si="11"/>
        <v>3.54</v>
      </c>
      <c r="Y89" s="95">
        <f t="shared" si="11"/>
        <v>3.54</v>
      </c>
      <c r="Z89" s="95">
        <f t="shared" si="11"/>
        <v>3.54</v>
      </c>
      <c r="AA89" s="95">
        <f t="shared" si="11"/>
        <v>3.54</v>
      </c>
      <c r="AB89" s="95">
        <f t="shared" si="11"/>
        <v>3.54</v>
      </c>
      <c r="AC89" s="95">
        <f t="shared" si="11"/>
        <v>3.54</v>
      </c>
      <c r="AD89" s="95">
        <f t="shared" si="11"/>
        <v>3.54</v>
      </c>
      <c r="AE89" s="95">
        <f t="shared" si="11"/>
        <v>3.54</v>
      </c>
      <c r="AF89" s="95">
        <f t="shared" si="11"/>
        <v>3.54</v>
      </c>
      <c r="AG89" s="60">
        <f t="shared" si="11"/>
        <v>2111.5500000000002</v>
      </c>
      <c r="AH89" s="47">
        <f t="shared" si="8"/>
        <v>303.54000000000002</v>
      </c>
      <c r="AI89" s="48">
        <f t="shared" si="9"/>
        <v>3.54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8"/>
        <v>0</v>
      </c>
      <c r="AI90" s="48">
        <f t="shared" si="9"/>
        <v>0</v>
      </c>
    </row>
    <row r="91" spans="1:40" ht="15.75" thickBot="1" x14ac:dyDescent="0.3">
      <c r="A91" s="73" t="s">
        <v>110</v>
      </c>
      <c r="B91" s="95">
        <f t="shared" ref="B91:AF91" si="12">B89+B90</f>
        <v>303.54000000000002</v>
      </c>
      <c r="C91" s="95">
        <f t="shared" si="12"/>
        <v>3.54</v>
      </c>
      <c r="D91" s="95">
        <f t="shared" si="12"/>
        <v>3.54</v>
      </c>
      <c r="E91" s="95">
        <f t="shared" si="12"/>
        <v>3.54</v>
      </c>
      <c r="F91" s="95">
        <f t="shared" si="12"/>
        <v>3.54</v>
      </c>
      <c r="G91" s="95">
        <f t="shared" si="12"/>
        <v>3.54</v>
      </c>
      <c r="H91" s="95">
        <f t="shared" si="12"/>
        <v>3.54</v>
      </c>
      <c r="I91" s="95">
        <f t="shared" si="12"/>
        <v>3.54</v>
      </c>
      <c r="J91" s="95">
        <f t="shared" si="12"/>
        <v>3.54</v>
      </c>
      <c r="K91" s="95">
        <f t="shared" si="12"/>
        <v>3.54</v>
      </c>
      <c r="L91" s="95">
        <f t="shared" si="12"/>
        <v>3.54</v>
      </c>
      <c r="M91" s="95">
        <f t="shared" si="12"/>
        <v>3.54</v>
      </c>
      <c r="N91" s="95">
        <f t="shared" si="12"/>
        <v>3.54</v>
      </c>
      <c r="O91" s="95">
        <f t="shared" si="12"/>
        <v>3.54</v>
      </c>
      <c r="P91" s="95">
        <f t="shared" si="12"/>
        <v>3.54</v>
      </c>
      <c r="Q91" s="95">
        <f t="shared" si="12"/>
        <v>3.54</v>
      </c>
      <c r="R91" s="95">
        <f t="shared" si="12"/>
        <v>3.54</v>
      </c>
      <c r="S91" s="95">
        <f t="shared" si="12"/>
        <v>3.54</v>
      </c>
      <c r="T91" s="95">
        <f t="shared" si="12"/>
        <v>3.54</v>
      </c>
      <c r="U91" s="95">
        <f t="shared" si="12"/>
        <v>3.54</v>
      </c>
      <c r="V91" s="95">
        <f t="shared" si="12"/>
        <v>3.54</v>
      </c>
      <c r="W91" s="95">
        <f t="shared" si="12"/>
        <v>3.54</v>
      </c>
      <c r="X91" s="95">
        <f t="shared" si="12"/>
        <v>3.54</v>
      </c>
      <c r="Y91" s="95">
        <f t="shared" si="12"/>
        <v>3.54</v>
      </c>
      <c r="Z91" s="95">
        <f t="shared" si="12"/>
        <v>3.54</v>
      </c>
      <c r="AA91" s="95">
        <f t="shared" si="12"/>
        <v>3.54</v>
      </c>
      <c r="AB91" s="95">
        <f t="shared" si="12"/>
        <v>3.54</v>
      </c>
      <c r="AC91" s="95">
        <f t="shared" si="12"/>
        <v>3.54</v>
      </c>
      <c r="AD91" s="95">
        <f t="shared" si="12"/>
        <v>3.54</v>
      </c>
      <c r="AE91" s="95">
        <f t="shared" si="12"/>
        <v>3.54</v>
      </c>
      <c r="AF91" s="95">
        <f t="shared" si="12"/>
        <v>3.54</v>
      </c>
      <c r="AG91" s="88">
        <f>AG88+AG84+AG72+AG68+AG50+AG90</f>
        <v>1573.45</v>
      </c>
      <c r="AH91" s="47">
        <f t="shared" si="8"/>
        <v>303.54000000000002</v>
      </c>
      <c r="AI91" s="48">
        <f t="shared" si="9"/>
        <v>3.54</v>
      </c>
    </row>
    <row r="92" spans="1:40" ht="15.75" thickBot="1" x14ac:dyDescent="0.3">
      <c r="A92" s="73" t="s">
        <v>111</v>
      </c>
      <c r="B92" s="95">
        <f t="shared" ref="B92:AF92" si="13">B91-B99</f>
        <v>303.54000000000002</v>
      </c>
      <c r="C92" s="95">
        <f t="shared" si="13"/>
        <v>3.54</v>
      </c>
      <c r="D92" s="95">
        <f t="shared" si="13"/>
        <v>3.54</v>
      </c>
      <c r="E92" s="95">
        <f t="shared" si="13"/>
        <v>3.54</v>
      </c>
      <c r="F92" s="95">
        <f t="shared" si="13"/>
        <v>3.54</v>
      </c>
      <c r="G92" s="95">
        <f t="shared" si="13"/>
        <v>3.54</v>
      </c>
      <c r="H92" s="95">
        <f t="shared" si="13"/>
        <v>3.54</v>
      </c>
      <c r="I92" s="95">
        <f t="shared" si="13"/>
        <v>3.54</v>
      </c>
      <c r="J92" s="95">
        <f t="shared" si="13"/>
        <v>3.54</v>
      </c>
      <c r="K92" s="95">
        <f t="shared" si="13"/>
        <v>3.54</v>
      </c>
      <c r="L92" s="95">
        <f t="shared" si="13"/>
        <v>3.54</v>
      </c>
      <c r="M92" s="95">
        <f t="shared" si="13"/>
        <v>3.54</v>
      </c>
      <c r="N92" s="95">
        <f t="shared" si="13"/>
        <v>3.54</v>
      </c>
      <c r="O92" s="95">
        <f t="shared" si="13"/>
        <v>3.54</v>
      </c>
      <c r="P92" s="95">
        <f t="shared" si="13"/>
        <v>3.54</v>
      </c>
      <c r="Q92" s="95">
        <f t="shared" si="13"/>
        <v>3.54</v>
      </c>
      <c r="R92" s="95">
        <f t="shared" si="13"/>
        <v>3.54</v>
      </c>
      <c r="S92" s="95">
        <f t="shared" si="13"/>
        <v>3.54</v>
      </c>
      <c r="T92" s="95">
        <f t="shared" si="13"/>
        <v>3.54</v>
      </c>
      <c r="U92" s="95">
        <f t="shared" si="13"/>
        <v>3.54</v>
      </c>
      <c r="V92" s="95">
        <f t="shared" si="13"/>
        <v>3.54</v>
      </c>
      <c r="W92" s="95">
        <f t="shared" si="13"/>
        <v>3.54</v>
      </c>
      <c r="X92" s="95">
        <f t="shared" si="13"/>
        <v>3.54</v>
      </c>
      <c r="Y92" s="95">
        <f t="shared" si="13"/>
        <v>3.54</v>
      </c>
      <c r="Z92" s="95">
        <f t="shared" si="13"/>
        <v>3.54</v>
      </c>
      <c r="AA92" s="95">
        <f t="shared" si="13"/>
        <v>3.54</v>
      </c>
      <c r="AB92" s="95">
        <f t="shared" si="13"/>
        <v>3.54</v>
      </c>
      <c r="AC92" s="95">
        <f t="shared" si="13"/>
        <v>3.54</v>
      </c>
      <c r="AD92" s="95">
        <f t="shared" si="13"/>
        <v>3.54</v>
      </c>
      <c r="AE92" s="95">
        <f t="shared" si="13"/>
        <v>3.54</v>
      </c>
      <c r="AF92" s="95">
        <f t="shared" si="13"/>
        <v>3.54</v>
      </c>
      <c r="AG92" s="88"/>
      <c r="AH92" s="47">
        <f t="shared" si="8"/>
        <v>303.54000000000002</v>
      </c>
      <c r="AI92" s="48">
        <f t="shared" si="9"/>
        <v>3.54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8"/>
        <v>0</v>
      </c>
      <c r="AI99" s="48">
        <f t="shared" si="9"/>
        <v>0</v>
      </c>
      <c r="AK99" s="74"/>
    </row>
    <row r="100" spans="1:37" ht="15.75" thickBot="1" x14ac:dyDescent="0.3">
      <c r="A100" s="73" t="s">
        <v>116</v>
      </c>
      <c r="B100" s="59">
        <f t="shared" ref="B100:AF100" si="14">B84-B99</f>
        <v>0</v>
      </c>
      <c r="C100" s="59">
        <f t="shared" si="14"/>
        <v>0</v>
      </c>
      <c r="D100" s="59">
        <f t="shared" si="14"/>
        <v>0</v>
      </c>
      <c r="E100" s="59">
        <f t="shared" si="14"/>
        <v>0</v>
      </c>
      <c r="F100" s="59">
        <f t="shared" si="14"/>
        <v>0</v>
      </c>
      <c r="G100" s="59">
        <f t="shared" si="14"/>
        <v>0</v>
      </c>
      <c r="H100" s="59">
        <f t="shared" si="14"/>
        <v>0</v>
      </c>
      <c r="I100" s="59">
        <f t="shared" si="14"/>
        <v>0</v>
      </c>
      <c r="J100" s="59">
        <f t="shared" si="14"/>
        <v>0</v>
      </c>
      <c r="K100" s="59">
        <f t="shared" si="14"/>
        <v>0</v>
      </c>
      <c r="L100" s="59">
        <f t="shared" si="14"/>
        <v>0</v>
      </c>
      <c r="M100" s="59">
        <f t="shared" si="14"/>
        <v>0</v>
      </c>
      <c r="N100" s="59">
        <f t="shared" si="14"/>
        <v>0</v>
      </c>
      <c r="O100" s="59">
        <f t="shared" si="14"/>
        <v>0</v>
      </c>
      <c r="P100" s="59">
        <f t="shared" si="14"/>
        <v>0</v>
      </c>
      <c r="Q100" s="59">
        <f t="shared" si="14"/>
        <v>0</v>
      </c>
      <c r="R100" s="59">
        <f t="shared" si="14"/>
        <v>0</v>
      </c>
      <c r="S100" s="59">
        <f t="shared" si="14"/>
        <v>0</v>
      </c>
      <c r="T100" s="59">
        <f t="shared" si="14"/>
        <v>0</v>
      </c>
      <c r="U100" s="59">
        <f t="shared" si="14"/>
        <v>0</v>
      </c>
      <c r="V100" s="59">
        <f t="shared" si="14"/>
        <v>0</v>
      </c>
      <c r="W100" s="59">
        <f t="shared" si="14"/>
        <v>0</v>
      </c>
      <c r="X100" s="59">
        <f t="shared" si="14"/>
        <v>0</v>
      </c>
      <c r="Y100" s="59">
        <f t="shared" si="14"/>
        <v>0</v>
      </c>
      <c r="Z100" s="59">
        <f t="shared" si="14"/>
        <v>0</v>
      </c>
      <c r="AA100" s="59">
        <f t="shared" si="14"/>
        <v>0</v>
      </c>
      <c r="AB100" s="59">
        <f t="shared" si="14"/>
        <v>0</v>
      </c>
      <c r="AC100" s="59">
        <f t="shared" si="14"/>
        <v>0</v>
      </c>
      <c r="AD100" s="59">
        <f t="shared" si="14"/>
        <v>0</v>
      </c>
      <c r="AE100" s="59">
        <f t="shared" si="14"/>
        <v>0</v>
      </c>
      <c r="AF100" s="59">
        <f t="shared" si="14"/>
        <v>0</v>
      </c>
      <c r="AG100" s="88"/>
      <c r="AH100" s="47">
        <f t="shared" si="8"/>
        <v>0</v>
      </c>
      <c r="AI100" s="48">
        <f t="shared" si="9"/>
        <v>0</v>
      </c>
    </row>
    <row r="101" spans="1:37" x14ac:dyDescent="0.25">
      <c r="A101" s="100" t="s">
        <v>117</v>
      </c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2"/>
      <c r="AH101" s="47">
        <f t="shared" si="8"/>
        <v>0</v>
      </c>
      <c r="AI101" s="48">
        <f t="shared" si="9"/>
        <v>0</v>
      </c>
    </row>
    <row r="102" spans="1:37" x14ac:dyDescent="0.25">
      <c r="A102" s="103" t="s">
        <v>118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4"/>
      <c r="AH102" s="47">
        <f t="shared" si="8"/>
        <v>0</v>
      </c>
      <c r="AI102" s="48">
        <f t="shared" si="9"/>
        <v>0</v>
      </c>
    </row>
    <row r="103" spans="1:37" x14ac:dyDescent="0.25">
      <c r="A103" s="103" t="s">
        <v>119</v>
      </c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104"/>
      <c r="AH103" s="47">
        <f t="shared" si="8"/>
        <v>0</v>
      </c>
      <c r="AI103" s="48">
        <f t="shared" si="9"/>
        <v>0</v>
      </c>
    </row>
    <row r="104" spans="1:37" x14ac:dyDescent="0.25">
      <c r="A104" s="103" t="s">
        <v>120</v>
      </c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104"/>
      <c r="AH104" s="47">
        <f t="shared" si="8"/>
        <v>0</v>
      </c>
      <c r="AI104" s="48">
        <f t="shared" si="9"/>
        <v>0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122</v>
      </c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7"/>
      <c r="AH106" s="47">
        <f t="shared" si="8"/>
        <v>0</v>
      </c>
      <c r="AI106" s="48">
        <f t="shared" si="9"/>
        <v>0</v>
      </c>
    </row>
    <row r="107" spans="1:37" x14ac:dyDescent="0.25">
      <c r="A107" s="103" t="s">
        <v>123</v>
      </c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104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03" t="s">
        <v>124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108"/>
      <c r="AH108" s="47">
        <f t="shared" si="8"/>
        <v>0</v>
      </c>
      <c r="AI108" s="48">
        <f t="shared" si="9"/>
        <v>0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126</v>
      </c>
      <c r="B110" s="111">
        <f t="shared" ref="B110:O110" si="15">SUM(B20,B26,B29:B30,B58,B60:B61,B63,B65,B111:B115,B138,B144,B150,B159,B161,B173,B180,B183:B184,B191,B193,B195,B199:B201,B203:B205,B210,B216:B217,B219:B221,B229,B234)</f>
        <v>0</v>
      </c>
      <c r="C110" s="111">
        <f t="shared" si="15"/>
        <v>0.94</v>
      </c>
      <c r="D110" s="111">
        <f t="shared" si="15"/>
        <v>0.94</v>
      </c>
      <c r="E110" s="111">
        <f t="shared" si="15"/>
        <v>0.94</v>
      </c>
      <c r="F110" s="111">
        <f t="shared" si="15"/>
        <v>0.94</v>
      </c>
      <c r="G110" s="111">
        <f t="shared" si="15"/>
        <v>0.94</v>
      </c>
      <c r="H110" s="111">
        <f t="shared" si="15"/>
        <v>0.94</v>
      </c>
      <c r="I110" s="111">
        <f t="shared" si="15"/>
        <v>0.94</v>
      </c>
      <c r="J110" s="111">
        <f t="shared" si="15"/>
        <v>0.94</v>
      </c>
      <c r="K110" s="111">
        <f t="shared" si="15"/>
        <v>0.94</v>
      </c>
      <c r="L110" s="111">
        <f t="shared" si="15"/>
        <v>0.94</v>
      </c>
      <c r="M110" s="111">
        <f t="shared" si="15"/>
        <v>0.94</v>
      </c>
      <c r="N110" s="111">
        <f t="shared" si="15"/>
        <v>0.94</v>
      </c>
      <c r="O110" s="111">
        <f t="shared" si="15"/>
        <v>0.94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0</v>
      </c>
      <c r="R110" s="111">
        <f t="shared" si="16"/>
        <v>0</v>
      </c>
      <c r="S110" s="111">
        <f t="shared" si="16"/>
        <v>0</v>
      </c>
      <c r="T110" s="111">
        <f t="shared" si="16"/>
        <v>0</v>
      </c>
      <c r="U110" s="111">
        <f t="shared" si="16"/>
        <v>0</v>
      </c>
      <c r="V110" s="111">
        <f t="shared" si="16"/>
        <v>0</v>
      </c>
      <c r="W110" s="111">
        <f t="shared" si="16"/>
        <v>0</v>
      </c>
      <c r="X110" s="111">
        <f t="shared" si="16"/>
        <v>0</v>
      </c>
      <c r="Y110" s="111">
        <f t="shared" si="16"/>
        <v>0</v>
      </c>
      <c r="Z110" s="111">
        <f t="shared" si="16"/>
        <v>0</v>
      </c>
      <c r="AA110" s="111">
        <f t="shared" si="16"/>
        <v>0</v>
      </c>
      <c r="AB110" s="111">
        <f t="shared" si="16"/>
        <v>0</v>
      </c>
      <c r="AC110" s="111">
        <f t="shared" si="16"/>
        <v>0</v>
      </c>
      <c r="AD110" s="111"/>
      <c r="AE110" s="111">
        <f t="shared" si="16"/>
        <v>0</v>
      </c>
      <c r="AF110" s="111">
        <f t="shared" si="16"/>
        <v>0</v>
      </c>
      <c r="AG110" s="112"/>
      <c r="AH110" s="47">
        <f t="shared" si="8"/>
        <v>42</v>
      </c>
      <c r="AI110" s="48">
        <f t="shared" si="9"/>
        <v>0</v>
      </c>
    </row>
    <row r="111" spans="1:37" x14ac:dyDescent="0.25">
      <c r="A111" s="100" t="s">
        <v>127</v>
      </c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4">
        <v>75</v>
      </c>
      <c r="AH111" s="47">
        <f t="shared" si="8"/>
        <v>0</v>
      </c>
      <c r="AI111" s="48">
        <f t="shared" si="9"/>
        <v>0</v>
      </c>
    </row>
    <row r="112" spans="1:37" x14ac:dyDescent="0.25">
      <c r="A112" s="103" t="s">
        <v>128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4">
        <v>240</v>
      </c>
      <c r="AH112" s="47">
        <f t="shared" si="8"/>
        <v>0</v>
      </c>
      <c r="AI112" s="48">
        <f t="shared" si="9"/>
        <v>0</v>
      </c>
    </row>
    <row r="113" spans="1:37" x14ac:dyDescent="0.25">
      <c r="A113" s="103" t="s">
        <v>129</v>
      </c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4">
        <v>240</v>
      </c>
      <c r="AH113" s="47">
        <f t="shared" si="8"/>
        <v>0</v>
      </c>
      <c r="AI113" s="48">
        <f t="shared" si="9"/>
        <v>0</v>
      </c>
    </row>
    <row r="114" spans="1:37" x14ac:dyDescent="0.25">
      <c r="A114" s="103" t="s">
        <v>130</v>
      </c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4">
        <v>60</v>
      </c>
      <c r="AH114" s="47">
        <f t="shared" si="8"/>
        <v>0</v>
      </c>
      <c r="AI114" s="48">
        <f t="shared" si="9"/>
        <v>0</v>
      </c>
    </row>
    <row r="115" spans="1:37" x14ac:dyDescent="0.25">
      <c r="A115" s="116" t="s">
        <v>131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8">
        <v>120</v>
      </c>
      <c r="AH115" s="47">
        <f t="shared" si="8"/>
        <v>0</v>
      </c>
      <c r="AI115" s="48">
        <f t="shared" si="9"/>
        <v>0</v>
      </c>
    </row>
    <row r="116" spans="1:37" x14ac:dyDescent="0.25">
      <c r="A116" s="116" t="s">
        <v>132</v>
      </c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8"/>
      <c r="AH116" s="47">
        <f t="shared" si="8"/>
        <v>0</v>
      </c>
      <c r="AI116" s="48">
        <f t="shared" si="9"/>
        <v>0</v>
      </c>
    </row>
    <row r="117" spans="1:37" x14ac:dyDescent="0.25">
      <c r="A117" s="116" t="s">
        <v>133</v>
      </c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9"/>
      <c r="AH117" s="47">
        <f t="shared" si="8"/>
        <v>0</v>
      </c>
      <c r="AI117" s="48">
        <f t="shared" si="9"/>
        <v>0</v>
      </c>
    </row>
    <row r="118" spans="1:37" x14ac:dyDescent="0.25">
      <c r="A118" s="120" t="s">
        <v>134</v>
      </c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19"/>
      <c r="AH118" s="47">
        <f t="shared" si="8"/>
        <v>0</v>
      </c>
      <c r="AI118" s="48">
        <f t="shared" si="9"/>
        <v>0</v>
      </c>
    </row>
    <row r="119" spans="1:37" x14ac:dyDescent="0.25">
      <c r="A119" s="121" t="s">
        <v>135</v>
      </c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19"/>
      <c r="AH119" s="47">
        <f t="shared" si="8"/>
        <v>0</v>
      </c>
      <c r="AI119" s="48">
        <f t="shared" si="9"/>
        <v>0</v>
      </c>
    </row>
    <row r="120" spans="1:37" ht="15.75" thickBot="1" x14ac:dyDescent="0.3">
      <c r="A120" s="120" t="s">
        <v>136</v>
      </c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19"/>
      <c r="AH120" s="47">
        <f t="shared" si="8"/>
        <v>0</v>
      </c>
      <c r="AI120" s="48">
        <f t="shared" si="9"/>
        <v>0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17">SUM(B122:B226)</f>
        <v>0</v>
      </c>
      <c r="C227" s="137">
        <f t="shared" si="17"/>
        <v>0</v>
      </c>
      <c r="D227" s="137">
        <f t="shared" si="17"/>
        <v>0</v>
      </c>
      <c r="E227" s="137">
        <f t="shared" si="17"/>
        <v>0</v>
      </c>
      <c r="F227" s="137">
        <f t="shared" si="17"/>
        <v>0</v>
      </c>
      <c r="G227" s="137">
        <f t="shared" si="17"/>
        <v>0</v>
      </c>
      <c r="H227" s="137">
        <f t="shared" si="17"/>
        <v>0</v>
      </c>
      <c r="I227" s="137">
        <f t="shared" si="17"/>
        <v>0</v>
      </c>
      <c r="J227" s="137">
        <f t="shared" si="17"/>
        <v>0</v>
      </c>
      <c r="K227" s="137">
        <f t="shared" si="17"/>
        <v>0</v>
      </c>
      <c r="L227" s="137">
        <f t="shared" si="17"/>
        <v>0</v>
      </c>
      <c r="M227" s="137">
        <f t="shared" si="17"/>
        <v>0</v>
      </c>
      <c r="N227" s="137">
        <f t="shared" si="17"/>
        <v>0</v>
      </c>
      <c r="O227" s="137">
        <f t="shared" si="17"/>
        <v>0</v>
      </c>
      <c r="P227" s="137">
        <f t="shared" si="17"/>
        <v>0</v>
      </c>
      <c r="Q227" s="137">
        <f t="shared" si="17"/>
        <v>0</v>
      </c>
      <c r="R227" s="137">
        <f t="shared" si="17"/>
        <v>0</v>
      </c>
      <c r="S227" s="137">
        <f t="shared" si="17"/>
        <v>0</v>
      </c>
      <c r="T227" s="137">
        <f t="shared" si="17"/>
        <v>0</v>
      </c>
      <c r="U227" s="137">
        <f t="shared" si="17"/>
        <v>0</v>
      </c>
      <c r="V227" s="137">
        <f t="shared" si="17"/>
        <v>0</v>
      </c>
      <c r="W227" s="137">
        <f t="shared" si="17"/>
        <v>0</v>
      </c>
      <c r="X227" s="137">
        <f t="shared" si="17"/>
        <v>0</v>
      </c>
      <c r="Y227" s="137">
        <f t="shared" si="17"/>
        <v>0</v>
      </c>
      <c r="Z227" s="137">
        <f t="shared" si="17"/>
        <v>0</v>
      </c>
      <c r="AA227" s="137">
        <f t="shared" si="17"/>
        <v>0</v>
      </c>
      <c r="AB227" s="137">
        <f t="shared" si="17"/>
        <v>0</v>
      </c>
      <c r="AC227" s="137">
        <f t="shared" si="17"/>
        <v>0</v>
      </c>
      <c r="AD227" s="137">
        <f t="shared" si="17"/>
        <v>0</v>
      </c>
      <c r="AE227" s="137">
        <f t="shared" si="17"/>
        <v>0</v>
      </c>
      <c r="AF227" s="138">
        <f t="shared" si="17"/>
        <v>0</v>
      </c>
      <c r="AG227" s="139">
        <f t="shared" si="17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18">AF229</f>
        <v>0</v>
      </c>
      <c r="C229" s="141">
        <v>0.3</v>
      </c>
      <c r="D229" s="141">
        <f t="shared" ref="D229:P234" si="19">C229</f>
        <v>0.3</v>
      </c>
      <c r="E229" s="141">
        <f t="shared" si="19"/>
        <v>0.3</v>
      </c>
      <c r="F229" s="141">
        <f t="shared" si="19"/>
        <v>0.3</v>
      </c>
      <c r="G229" s="141">
        <f t="shared" si="19"/>
        <v>0.3</v>
      </c>
      <c r="H229" s="141">
        <f t="shared" si="19"/>
        <v>0.3</v>
      </c>
      <c r="I229" s="141">
        <f t="shared" si="19"/>
        <v>0.3</v>
      </c>
      <c r="J229" s="141">
        <f t="shared" si="19"/>
        <v>0.3</v>
      </c>
      <c r="K229" s="141">
        <f t="shared" si="19"/>
        <v>0.3</v>
      </c>
      <c r="L229" s="141">
        <f t="shared" si="19"/>
        <v>0.3</v>
      </c>
      <c r="M229" s="141">
        <f t="shared" si="19"/>
        <v>0.3</v>
      </c>
      <c r="N229" s="141">
        <f t="shared" si="19"/>
        <v>0.3</v>
      </c>
      <c r="O229" s="141">
        <f t="shared" si="19"/>
        <v>0.3</v>
      </c>
      <c r="P229" s="141">
        <f t="shared" si="19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18"/>
        <v>0</v>
      </c>
      <c r="C230" s="129">
        <v>0.4</v>
      </c>
      <c r="D230" s="129">
        <f t="shared" si="19"/>
        <v>0.4</v>
      </c>
      <c r="E230" s="129">
        <f t="shared" si="19"/>
        <v>0.4</v>
      </c>
      <c r="F230" s="129">
        <f t="shared" si="19"/>
        <v>0.4</v>
      </c>
      <c r="G230" s="129">
        <f t="shared" si="19"/>
        <v>0.4</v>
      </c>
      <c r="H230" s="129">
        <f t="shared" si="19"/>
        <v>0.4</v>
      </c>
      <c r="I230" s="129">
        <f t="shared" si="19"/>
        <v>0.4</v>
      </c>
      <c r="J230" s="129">
        <f t="shared" si="19"/>
        <v>0.4</v>
      </c>
      <c r="K230" s="129">
        <f t="shared" si="19"/>
        <v>0.4</v>
      </c>
      <c r="L230" s="129">
        <f t="shared" si="19"/>
        <v>0.4</v>
      </c>
      <c r="M230" s="129">
        <f t="shared" si="19"/>
        <v>0.4</v>
      </c>
      <c r="N230" s="129">
        <f t="shared" si="19"/>
        <v>0.4</v>
      </c>
      <c r="O230" s="129">
        <f t="shared" si="19"/>
        <v>0.4</v>
      </c>
      <c r="P230" s="129">
        <f t="shared" si="19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18"/>
        <v>0</v>
      </c>
      <c r="C231" s="129">
        <v>1.5</v>
      </c>
      <c r="D231" s="129">
        <f t="shared" si="19"/>
        <v>1.5</v>
      </c>
      <c r="E231" s="129">
        <f t="shared" si="19"/>
        <v>1.5</v>
      </c>
      <c r="F231" s="129">
        <f t="shared" si="19"/>
        <v>1.5</v>
      </c>
      <c r="G231" s="129">
        <f t="shared" si="19"/>
        <v>1.5</v>
      </c>
      <c r="H231" s="129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19"/>
        <v>123.21900000000009</v>
      </c>
      <c r="K231" s="129">
        <f t="shared" ca="1" si="19"/>
        <v>123.21900000000009</v>
      </c>
      <c r="L231" s="129">
        <f t="shared" ca="1" si="19"/>
        <v>123.21900000000009</v>
      </c>
      <c r="M231" s="129">
        <f t="shared" ca="1" si="19"/>
        <v>119.19900000000008</v>
      </c>
      <c r="N231" s="129">
        <f t="shared" ca="1" si="19"/>
        <v>119.19900000000008</v>
      </c>
      <c r="O231" s="129">
        <f t="shared" ca="1" si="19"/>
        <v>119.19900000000008</v>
      </c>
      <c r="P231" s="129">
        <f t="shared" ca="1" si="19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18"/>
        <v>0</v>
      </c>
      <c r="C232" s="129">
        <v>0.3</v>
      </c>
      <c r="D232" s="129">
        <f t="shared" si="19"/>
        <v>0.3</v>
      </c>
      <c r="E232" s="129">
        <f t="shared" si="19"/>
        <v>0.3</v>
      </c>
      <c r="F232" s="129">
        <f t="shared" si="19"/>
        <v>0.3</v>
      </c>
      <c r="G232" s="129">
        <f t="shared" si="19"/>
        <v>0.3</v>
      </c>
      <c r="H232" s="129">
        <f t="shared" si="19"/>
        <v>0.3</v>
      </c>
      <c r="I232" s="129">
        <f t="shared" si="19"/>
        <v>0.3</v>
      </c>
      <c r="J232" s="129">
        <f t="shared" si="19"/>
        <v>0.3</v>
      </c>
      <c r="K232" s="129">
        <f t="shared" si="19"/>
        <v>0.3</v>
      </c>
      <c r="L232" s="129">
        <f t="shared" si="19"/>
        <v>0.3</v>
      </c>
      <c r="M232" s="129">
        <f t="shared" si="19"/>
        <v>0.3</v>
      </c>
      <c r="N232" s="129">
        <f t="shared" si="19"/>
        <v>0.3</v>
      </c>
      <c r="O232" s="129">
        <f t="shared" si="19"/>
        <v>0.3</v>
      </c>
      <c r="P232" s="129">
        <f t="shared" si="19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18"/>
        <v>0</v>
      </c>
      <c r="C233" s="129">
        <v>0.4</v>
      </c>
      <c r="D233" s="129">
        <f t="shared" si="19"/>
        <v>0.4</v>
      </c>
      <c r="E233" s="129">
        <f t="shared" si="19"/>
        <v>0.4</v>
      </c>
      <c r="F233" s="129">
        <f t="shared" si="19"/>
        <v>0.4</v>
      </c>
      <c r="G233" s="129">
        <f t="shared" si="19"/>
        <v>0.4</v>
      </c>
      <c r="H233" s="129">
        <f t="shared" si="19"/>
        <v>0.4</v>
      </c>
      <c r="I233" s="129">
        <f t="shared" si="19"/>
        <v>0.4</v>
      </c>
      <c r="J233" s="129">
        <f t="shared" si="19"/>
        <v>0.4</v>
      </c>
      <c r="K233" s="129">
        <f t="shared" si="19"/>
        <v>0.4</v>
      </c>
      <c r="L233" s="129">
        <f t="shared" si="19"/>
        <v>0.4</v>
      </c>
      <c r="M233" s="129">
        <f t="shared" si="19"/>
        <v>0.4</v>
      </c>
      <c r="N233" s="129">
        <f t="shared" si="19"/>
        <v>0.4</v>
      </c>
      <c r="O233" s="129">
        <f t="shared" si="19"/>
        <v>0.4</v>
      </c>
      <c r="P233" s="129">
        <f t="shared" si="19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18"/>
        <v>0</v>
      </c>
      <c r="C234" s="133">
        <v>0.64</v>
      </c>
      <c r="D234" s="133">
        <f t="shared" si="19"/>
        <v>0.64</v>
      </c>
      <c r="E234" s="133">
        <f t="shared" si="19"/>
        <v>0.64</v>
      </c>
      <c r="F234" s="133">
        <f t="shared" si="19"/>
        <v>0.64</v>
      </c>
      <c r="G234" s="133">
        <f t="shared" si="19"/>
        <v>0.64</v>
      </c>
      <c r="H234" s="133">
        <f t="shared" si="19"/>
        <v>0.64</v>
      </c>
      <c r="I234" s="133">
        <f t="shared" si="19"/>
        <v>0.64</v>
      </c>
      <c r="J234" s="133">
        <f t="shared" si="19"/>
        <v>0.64</v>
      </c>
      <c r="K234" s="133">
        <f t="shared" si="19"/>
        <v>0.64</v>
      </c>
      <c r="L234" s="133">
        <f t="shared" si="19"/>
        <v>0.64</v>
      </c>
      <c r="M234" s="133">
        <f t="shared" si="19"/>
        <v>0.64</v>
      </c>
      <c r="N234" s="133">
        <f t="shared" si="19"/>
        <v>0.64</v>
      </c>
      <c r="O234" s="133">
        <f t="shared" si="19"/>
        <v>0.64</v>
      </c>
      <c r="P234" s="133">
        <f t="shared" si="19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0">SUM(B229:B234)</f>
        <v>0</v>
      </c>
      <c r="C235" s="137">
        <f t="shared" si="20"/>
        <v>3.54</v>
      </c>
      <c r="D235" s="137">
        <f t="shared" si="20"/>
        <v>3.54</v>
      </c>
      <c r="E235" s="137">
        <f t="shared" si="20"/>
        <v>3.54</v>
      </c>
      <c r="F235" s="137">
        <f t="shared" si="20"/>
        <v>3.54</v>
      </c>
      <c r="G235" s="137">
        <f t="shared" si="20"/>
        <v>3.54</v>
      </c>
      <c r="H235" s="137">
        <f t="shared" si="20"/>
        <v>3.54</v>
      </c>
      <c r="I235" s="137">
        <f t="shared" ca="1" si="20"/>
        <v>121.23900000000009</v>
      </c>
      <c r="J235" s="137">
        <f t="shared" ca="1" si="20"/>
        <v>121.23900000000009</v>
      </c>
      <c r="K235" s="137">
        <f t="shared" ca="1" si="20"/>
        <v>121.23900000000009</v>
      </c>
      <c r="L235" s="137">
        <f t="shared" ca="1" si="20"/>
        <v>125.2590000000001</v>
      </c>
      <c r="M235" s="137">
        <f t="shared" ca="1" si="20"/>
        <v>121.23900000000009</v>
      </c>
      <c r="N235" s="137">
        <f t="shared" ca="1" si="20"/>
        <v>121.23900000000009</v>
      </c>
      <c r="O235" s="137">
        <f t="shared" ca="1" si="20"/>
        <v>121.23900000000009</v>
      </c>
      <c r="P235" s="137">
        <f t="shared" ca="1" si="20"/>
        <v>121.23900000000009</v>
      </c>
      <c r="Q235" s="137">
        <f t="shared" si="20"/>
        <v>0</v>
      </c>
      <c r="R235" s="137">
        <f t="shared" si="20"/>
        <v>0</v>
      </c>
      <c r="S235" s="137">
        <f t="shared" si="20"/>
        <v>0</v>
      </c>
      <c r="T235" s="137">
        <f t="shared" si="20"/>
        <v>0</v>
      </c>
      <c r="U235" s="137">
        <f t="shared" si="20"/>
        <v>0</v>
      </c>
      <c r="V235" s="137">
        <f t="shared" si="20"/>
        <v>0</v>
      </c>
      <c r="W235" s="137">
        <f t="shared" si="20"/>
        <v>0</v>
      </c>
      <c r="X235" s="137">
        <f t="shared" si="20"/>
        <v>0</v>
      </c>
      <c r="Y235" s="137">
        <f t="shared" si="20"/>
        <v>0</v>
      </c>
      <c r="Z235" s="137">
        <f t="shared" si="20"/>
        <v>0</v>
      </c>
      <c r="AA235" s="137">
        <f t="shared" si="20"/>
        <v>0</v>
      </c>
      <c r="AB235" s="137">
        <f t="shared" si="20"/>
        <v>0</v>
      </c>
      <c r="AC235" s="137">
        <f t="shared" si="20"/>
        <v>0</v>
      </c>
      <c r="AD235" s="137">
        <f t="shared" si="20"/>
        <v>0</v>
      </c>
      <c r="AE235" s="137">
        <f t="shared" si="20"/>
        <v>0</v>
      </c>
      <c r="AF235" s="137">
        <f t="shared" si="20"/>
        <v>0</v>
      </c>
      <c r="AG235" s="146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3.54</v>
      </c>
      <c r="C244" s="162">
        <f>INDEX(G9:N9,1,MATCH(MAX(G91:N91),G91:N91,0))</f>
        <v>0.20833333333333301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sample (2)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e">
        <f ca="1">"Pie Chart of Daily Peak Demand(Inclusive of Export) of Nepal ("&amp;A4&amp;" "&amp;B4&amp;")"</f>
        <v>#VALUE!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e">
        <f ca="1">"Daily Load Curve(Excluding of Export) of Nepal ("&amp;A4&amp;" "&amp;B4&amp;")"</f>
        <v>#VALUE!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1">B91</f>
        <v>303.54000000000002</v>
      </c>
      <c r="U249" s="171">
        <f t="shared" si="21"/>
        <v>3.54</v>
      </c>
      <c r="V249" s="171">
        <f t="shared" si="21"/>
        <v>3.54</v>
      </c>
      <c r="W249" s="171">
        <f t="shared" si="21"/>
        <v>3.54</v>
      </c>
      <c r="X249" s="171">
        <f t="shared" si="21"/>
        <v>3.54</v>
      </c>
      <c r="Y249" s="171">
        <f t="shared" si="21"/>
        <v>3.54</v>
      </c>
      <c r="Z249" s="171">
        <f t="shared" si="21"/>
        <v>3.54</v>
      </c>
      <c r="AA249" s="171">
        <f t="shared" si="21"/>
        <v>3.54</v>
      </c>
      <c r="AB249" s="171">
        <f t="shared" si="21"/>
        <v>3.54</v>
      </c>
      <c r="AC249" s="171">
        <f t="shared" si="21"/>
        <v>3.54</v>
      </c>
      <c r="AD249" s="171">
        <f t="shared" si="21"/>
        <v>3.54</v>
      </c>
      <c r="AE249" s="171">
        <f t="shared" si="21"/>
        <v>3.54</v>
      </c>
      <c r="AF249" s="171">
        <f t="shared" si="21"/>
        <v>3.54</v>
      </c>
      <c r="AG249" s="171">
        <f t="shared" si="21"/>
        <v>3.54</v>
      </c>
      <c r="AH249" s="171">
        <f t="shared" si="21"/>
        <v>3.54</v>
      </c>
      <c r="AI249" s="171">
        <f t="shared" si="21"/>
        <v>3.54</v>
      </c>
      <c r="AJ249" s="171">
        <f t="shared" si="21"/>
        <v>3.54</v>
      </c>
      <c r="AK249" s="171">
        <f t="shared" si="21"/>
        <v>3.54</v>
      </c>
      <c r="AL249" s="171">
        <f t="shared" si="21"/>
        <v>3.54</v>
      </c>
      <c r="AM249" s="171">
        <f t="shared" si="21"/>
        <v>3.54</v>
      </c>
      <c r="AN249" s="171">
        <f t="shared" si="21"/>
        <v>3.54</v>
      </c>
      <c r="AO249" s="171">
        <f t="shared" si="21"/>
        <v>3.54</v>
      </c>
      <c r="AP249" s="171">
        <f t="shared" si="21"/>
        <v>3.54</v>
      </c>
      <c r="AQ249" s="171">
        <f t="shared" si="21"/>
        <v>3.54</v>
      </c>
      <c r="AR249" s="171">
        <f t="shared" si="21"/>
        <v>3.54</v>
      </c>
      <c r="AS249" s="171">
        <f t="shared" si="21"/>
        <v>3.54</v>
      </c>
      <c r="AT249" s="171">
        <f t="shared" si="21"/>
        <v>3.54</v>
      </c>
      <c r="AU249" s="171">
        <f t="shared" si="21"/>
        <v>3.54</v>
      </c>
      <c r="AV249" s="171">
        <f t="shared" si="21"/>
        <v>3.54</v>
      </c>
      <c r="AW249" s="171">
        <f t="shared" si="21"/>
        <v>3.54</v>
      </c>
      <c r="AX249" s="171">
        <f t="shared" si="21"/>
        <v>3.54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22">C234</f>
        <v>0.64</v>
      </c>
      <c r="C270" s="174">
        <f t="shared" si="22"/>
        <v>0.64</v>
      </c>
      <c r="D270" s="174">
        <f t="shared" si="22"/>
        <v>0.64</v>
      </c>
      <c r="E270" s="174">
        <f t="shared" si="22"/>
        <v>0.64</v>
      </c>
      <c r="F270" s="174">
        <f t="shared" si="22"/>
        <v>0.64</v>
      </c>
      <c r="G270" s="174">
        <f t="shared" si="22"/>
        <v>0.64</v>
      </c>
      <c r="H270" s="174">
        <f t="shared" si="22"/>
        <v>0.64</v>
      </c>
      <c r="I270" s="174">
        <f t="shared" si="22"/>
        <v>0.64</v>
      </c>
      <c r="J270" s="174">
        <f t="shared" si="22"/>
        <v>0.64</v>
      </c>
      <c r="K270" s="174">
        <f t="shared" si="22"/>
        <v>0.64</v>
      </c>
      <c r="L270" s="174">
        <f t="shared" si="22"/>
        <v>0.64</v>
      </c>
      <c r="M270" s="174">
        <f t="shared" si="22"/>
        <v>0.64</v>
      </c>
      <c r="N270" s="174">
        <f t="shared" si="22"/>
        <v>0.64</v>
      </c>
      <c r="O270" s="174">
        <f t="shared" si="22"/>
        <v>0.64</v>
      </c>
      <c r="P270" s="174">
        <f t="shared" si="22"/>
        <v>0</v>
      </c>
      <c r="Q270" s="174">
        <f t="shared" si="22"/>
        <v>0</v>
      </c>
      <c r="R270" s="174">
        <f t="shared" si="22"/>
        <v>0</v>
      </c>
      <c r="S270" s="174">
        <f t="shared" si="22"/>
        <v>0</v>
      </c>
      <c r="T270" s="174">
        <f t="shared" si="22"/>
        <v>0</v>
      </c>
      <c r="U270" s="174">
        <f t="shared" si="22"/>
        <v>0</v>
      </c>
      <c r="V270" s="174">
        <f t="shared" si="22"/>
        <v>0</v>
      </c>
      <c r="W270" s="174">
        <f t="shared" si="22"/>
        <v>0</v>
      </c>
      <c r="X270" s="174">
        <f t="shared" si="22"/>
        <v>0</v>
      </c>
      <c r="Y270" s="174">
        <f t="shared" si="22"/>
        <v>0</v>
      </c>
      <c r="Z270" s="174">
        <f t="shared" si="22"/>
        <v>0</v>
      </c>
      <c r="AA270" s="174">
        <f t="shared" si="22"/>
        <v>0</v>
      </c>
      <c r="AB270" s="174">
        <f t="shared" si="22"/>
        <v>0</v>
      </c>
      <c r="AC270" s="174">
        <f t="shared" si="22"/>
        <v>0</v>
      </c>
      <c r="AD270" s="174">
        <f t="shared" si="22"/>
        <v>0</v>
      </c>
      <c r="AE270" s="174">
        <f t="shared" si="22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23">IF(B238&lt;100,"",B238-520)</f>
        <v/>
      </c>
      <c r="C271" s="175" t="str">
        <f t="shared" si="23"/>
        <v/>
      </c>
      <c r="D271" s="175" t="str">
        <f t="shared" si="23"/>
        <v/>
      </c>
      <c r="E271" s="175" t="str">
        <f t="shared" si="23"/>
        <v/>
      </c>
      <c r="F271" s="175" t="str">
        <f t="shared" si="23"/>
        <v/>
      </c>
      <c r="G271" s="175" t="str">
        <f t="shared" si="23"/>
        <v/>
      </c>
      <c r="H271" s="175" t="str">
        <f t="shared" si="23"/>
        <v/>
      </c>
      <c r="I271" s="175" t="str">
        <f t="shared" si="23"/>
        <v/>
      </c>
      <c r="J271" s="175" t="str">
        <f t="shared" si="23"/>
        <v/>
      </c>
      <c r="K271" s="175" t="str">
        <f t="shared" si="23"/>
        <v/>
      </c>
      <c r="L271" s="175" t="str">
        <f t="shared" si="23"/>
        <v/>
      </c>
      <c r="M271" s="175" t="str">
        <f t="shared" si="23"/>
        <v/>
      </c>
      <c r="N271" s="175" t="str">
        <f t="shared" si="23"/>
        <v/>
      </c>
      <c r="O271" s="175" t="str">
        <f t="shared" si="23"/>
        <v/>
      </c>
      <c r="P271" s="175" t="str">
        <f t="shared" si="23"/>
        <v/>
      </c>
      <c r="Q271" s="175" t="str">
        <f t="shared" si="23"/>
        <v/>
      </c>
      <c r="R271" s="175" t="str">
        <f t="shared" si="23"/>
        <v/>
      </c>
      <c r="S271" s="175" t="str">
        <f t="shared" si="23"/>
        <v/>
      </c>
      <c r="T271" s="175" t="str">
        <f t="shared" si="23"/>
        <v/>
      </c>
      <c r="U271" s="175" t="str">
        <f t="shared" si="23"/>
        <v/>
      </c>
      <c r="V271" s="175" t="str">
        <f t="shared" si="23"/>
        <v/>
      </c>
      <c r="W271" s="175" t="str">
        <f t="shared" si="23"/>
        <v/>
      </c>
      <c r="X271" s="175" t="str">
        <f t="shared" si="23"/>
        <v/>
      </c>
      <c r="Y271" s="175" t="str">
        <f t="shared" si="23"/>
        <v/>
      </c>
      <c r="Z271" s="175" t="str">
        <f t="shared" si="23"/>
        <v/>
      </c>
      <c r="AA271" s="175" t="str">
        <f t="shared" si="23"/>
        <v/>
      </c>
      <c r="AB271" s="175" t="str">
        <f t="shared" si="23"/>
        <v/>
      </c>
      <c r="AC271" s="175" t="str">
        <f t="shared" si="23"/>
        <v/>
      </c>
      <c r="AD271" s="175" t="str">
        <f t="shared" si="23"/>
        <v/>
      </c>
      <c r="AE271" s="175" t="str">
        <f t="shared" si="23"/>
        <v/>
      </c>
      <c r="AF271" s="175" t="str">
        <f t="shared" si="23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24">IF(B239&lt;100,"",B239-620)</f>
        <v/>
      </c>
      <c r="C272" s="175" t="str">
        <f t="shared" si="24"/>
        <v/>
      </c>
      <c r="D272" s="175" t="str">
        <f t="shared" si="24"/>
        <v/>
      </c>
      <c r="E272" s="175" t="str">
        <f t="shared" si="24"/>
        <v/>
      </c>
      <c r="F272" s="175" t="str">
        <f t="shared" si="24"/>
        <v/>
      </c>
      <c r="G272" s="175" t="str">
        <f t="shared" si="24"/>
        <v/>
      </c>
      <c r="H272" s="175" t="str">
        <f t="shared" si="24"/>
        <v/>
      </c>
      <c r="I272" s="175" t="str">
        <f t="shared" si="24"/>
        <v/>
      </c>
      <c r="J272" s="175" t="str">
        <f t="shared" si="24"/>
        <v/>
      </c>
      <c r="K272" s="175" t="str">
        <f t="shared" si="24"/>
        <v/>
      </c>
      <c r="L272" s="175" t="str">
        <f t="shared" si="24"/>
        <v/>
      </c>
      <c r="M272" s="175" t="str">
        <f t="shared" si="24"/>
        <v/>
      </c>
      <c r="N272" s="175" t="str">
        <f t="shared" si="24"/>
        <v/>
      </c>
      <c r="O272" s="175" t="str">
        <f t="shared" si="24"/>
        <v/>
      </c>
      <c r="P272" s="175" t="str">
        <f t="shared" si="24"/>
        <v/>
      </c>
      <c r="Q272" s="175" t="str">
        <f t="shared" si="24"/>
        <v/>
      </c>
      <c r="R272" s="175" t="str">
        <f t="shared" si="24"/>
        <v/>
      </c>
      <c r="S272" s="175" t="str">
        <f t="shared" si="24"/>
        <v/>
      </c>
      <c r="T272" s="175" t="str">
        <f t="shared" si="24"/>
        <v/>
      </c>
      <c r="U272" s="175" t="str">
        <f t="shared" si="24"/>
        <v/>
      </c>
      <c r="V272" s="175" t="str">
        <f t="shared" si="24"/>
        <v/>
      </c>
      <c r="W272" s="175" t="str">
        <f t="shared" si="24"/>
        <v/>
      </c>
      <c r="X272" s="175" t="str">
        <f t="shared" si="24"/>
        <v/>
      </c>
      <c r="Y272" s="175" t="str">
        <f t="shared" si="24"/>
        <v/>
      </c>
      <c r="Z272" s="175" t="str">
        <f t="shared" si="24"/>
        <v/>
      </c>
      <c r="AA272" s="175" t="str">
        <f t="shared" si="24"/>
        <v/>
      </c>
      <c r="AB272" s="175" t="str">
        <f t="shared" si="24"/>
        <v/>
      </c>
      <c r="AC272" s="175" t="str">
        <f t="shared" si="24"/>
        <v/>
      </c>
      <c r="AD272" s="175" t="str">
        <f t="shared" si="24"/>
        <v/>
      </c>
      <c r="AE272" s="175" t="str">
        <f t="shared" si="24"/>
        <v/>
      </c>
      <c r="AF272" s="175" t="str">
        <f t="shared" si="24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25">IF(B240&lt;100,"",B240-330)</f>
        <v/>
      </c>
      <c r="C273" s="175" t="str">
        <f t="shared" si="25"/>
        <v/>
      </c>
      <c r="D273" s="175" t="str">
        <f t="shared" si="25"/>
        <v/>
      </c>
      <c r="E273" s="175" t="str">
        <f t="shared" si="25"/>
        <v/>
      </c>
      <c r="F273" s="175" t="str">
        <f t="shared" si="25"/>
        <v/>
      </c>
      <c r="G273" s="175" t="str">
        <f t="shared" si="25"/>
        <v/>
      </c>
      <c r="H273" s="175" t="str">
        <f t="shared" si="25"/>
        <v/>
      </c>
      <c r="I273" s="175" t="str">
        <f t="shared" si="25"/>
        <v/>
      </c>
      <c r="J273" s="175" t="str">
        <f t="shared" si="25"/>
        <v/>
      </c>
      <c r="K273" s="175" t="str">
        <f t="shared" si="25"/>
        <v/>
      </c>
      <c r="L273" s="175" t="str">
        <f t="shared" si="25"/>
        <v/>
      </c>
      <c r="M273" s="175" t="str">
        <f t="shared" si="25"/>
        <v/>
      </c>
      <c r="N273" s="175" t="str">
        <f t="shared" si="25"/>
        <v/>
      </c>
      <c r="O273" s="175" t="str">
        <f t="shared" si="25"/>
        <v/>
      </c>
      <c r="P273" s="175" t="str">
        <f t="shared" si="25"/>
        <v/>
      </c>
      <c r="Q273" s="175" t="str">
        <f t="shared" si="25"/>
        <v/>
      </c>
      <c r="R273" s="175" t="str">
        <f t="shared" si="25"/>
        <v/>
      </c>
      <c r="S273" s="175" t="str">
        <f t="shared" si="25"/>
        <v/>
      </c>
      <c r="T273" s="175" t="str">
        <f t="shared" si="25"/>
        <v/>
      </c>
      <c r="U273" s="175" t="str">
        <f t="shared" si="25"/>
        <v/>
      </c>
      <c r="V273" s="175" t="str">
        <f t="shared" si="25"/>
        <v/>
      </c>
      <c r="W273" s="175" t="str">
        <f t="shared" si="25"/>
        <v/>
      </c>
      <c r="X273" s="175" t="str">
        <f t="shared" si="25"/>
        <v/>
      </c>
      <c r="Y273" s="175" t="str">
        <f t="shared" si="25"/>
        <v/>
      </c>
      <c r="Z273" s="175" t="str">
        <f t="shared" si="25"/>
        <v/>
      </c>
      <c r="AA273" s="175" t="str">
        <f t="shared" si="25"/>
        <v/>
      </c>
      <c r="AB273" s="175" t="str">
        <f t="shared" si="25"/>
        <v/>
      </c>
      <c r="AC273" s="175" t="str">
        <f t="shared" si="25"/>
        <v/>
      </c>
      <c r="AD273" s="175" t="str">
        <f t="shared" si="25"/>
        <v/>
      </c>
      <c r="AE273" s="175" t="str">
        <f t="shared" si="25"/>
        <v/>
      </c>
      <c r="AF273" s="175" t="str">
        <f t="shared" si="25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26">IF(B241&lt;100,"",B241-1500)</f>
        <v/>
      </c>
      <c r="C274" s="175" t="str">
        <f t="shared" si="26"/>
        <v/>
      </c>
      <c r="D274" s="175" t="str">
        <f t="shared" si="26"/>
        <v/>
      </c>
      <c r="E274" s="175" t="str">
        <f t="shared" si="26"/>
        <v/>
      </c>
      <c r="F274" s="175" t="str">
        <f t="shared" si="26"/>
        <v/>
      </c>
      <c r="G274" s="175" t="str">
        <f t="shared" si="26"/>
        <v/>
      </c>
      <c r="H274" s="175" t="str">
        <f t="shared" si="26"/>
        <v/>
      </c>
      <c r="I274" s="175" t="str">
        <f t="shared" si="26"/>
        <v/>
      </c>
      <c r="J274" s="175" t="str">
        <f t="shared" si="26"/>
        <v/>
      </c>
      <c r="K274" s="175" t="str">
        <f t="shared" si="26"/>
        <v/>
      </c>
      <c r="L274" s="175" t="str">
        <f t="shared" si="26"/>
        <v/>
      </c>
      <c r="M274" s="175" t="str">
        <f t="shared" si="26"/>
        <v/>
      </c>
      <c r="N274" s="175" t="str">
        <f t="shared" si="26"/>
        <v/>
      </c>
      <c r="O274" s="175" t="str">
        <f t="shared" si="26"/>
        <v/>
      </c>
      <c r="P274" s="175" t="str">
        <f t="shared" si="26"/>
        <v/>
      </c>
      <c r="Q274" s="175" t="str">
        <f t="shared" si="26"/>
        <v/>
      </c>
      <c r="R274" s="175" t="str">
        <f t="shared" si="26"/>
        <v/>
      </c>
      <c r="S274" s="175" t="str">
        <f t="shared" si="26"/>
        <v/>
      </c>
      <c r="T274" s="175" t="str">
        <f t="shared" si="26"/>
        <v/>
      </c>
      <c r="U274" s="175" t="str">
        <f t="shared" si="26"/>
        <v/>
      </c>
      <c r="V274" s="175" t="str">
        <f t="shared" si="26"/>
        <v/>
      </c>
      <c r="W274" s="175" t="str">
        <f t="shared" si="26"/>
        <v/>
      </c>
      <c r="X274" s="175" t="str">
        <f t="shared" si="26"/>
        <v/>
      </c>
      <c r="Y274" s="175" t="str">
        <f t="shared" si="26"/>
        <v/>
      </c>
      <c r="Z274" s="175" t="str">
        <f t="shared" si="26"/>
        <v/>
      </c>
      <c r="AA274" s="175" t="str">
        <f t="shared" si="26"/>
        <v/>
      </c>
      <c r="AB274" s="175" t="str">
        <f t="shared" si="26"/>
        <v/>
      </c>
      <c r="AC274" s="175" t="str">
        <f t="shared" si="26"/>
        <v/>
      </c>
      <c r="AD274" s="175" t="str">
        <f t="shared" si="26"/>
        <v/>
      </c>
      <c r="AE274" s="175" t="str">
        <f t="shared" si="26"/>
        <v/>
      </c>
      <c r="AF274" s="175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B14:AF17 B12:AF12">
    <cfRule type="expression" dxfId="3961" priority="401">
      <formula>B$9&gt;=20/24</formula>
    </cfRule>
    <cfRule type="expression" dxfId="3960" priority="402">
      <formula>AND(B$9&gt;=14/24,B$9&lt;20/24)</formula>
    </cfRule>
    <cfRule type="expression" dxfId="3959" priority="403">
      <formula>AND(B$9&gt;=8/24,B$9&lt;14/24)</formula>
    </cfRule>
    <cfRule type="expression" dxfId="3958" priority="404">
      <formula>B$9&lt;8/24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G67 B14:AF17 B12:AF12">
    <cfRule type="expression" dxfId="3957" priority="399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3956" priority="398">
      <formula>$AH12=0</formula>
    </cfRule>
  </conditionalFormatting>
  <conditionalFormatting sqref="A116">
    <cfRule type="expression" dxfId="3955" priority="397">
      <formula>$AH116=0</formula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3954" priority="395">
      <formula>$AH47=0</formula>
    </cfRule>
  </conditionalFormatting>
  <conditionalFormatting sqref="A100">
    <cfRule type="expression" dxfId="3953" priority="394">
      <formula>$AH100=0</formula>
    </cfRule>
  </conditionalFormatting>
  <conditionalFormatting sqref="A20">
    <cfRule type="expression" dxfId="3952" priority="393">
      <formula>$AH20=0</formula>
    </cfRule>
  </conditionalFormatting>
  <conditionalFormatting sqref="A199:A204">
    <cfRule type="expression" dxfId="3951" priority="392">
      <formula>$AH199=0</formula>
    </cfRule>
  </conditionalFormatting>
  <conditionalFormatting sqref="A193:A198">
    <cfRule type="expression" dxfId="3950" priority="391">
      <formula>$AH193=0</formula>
    </cfRule>
  </conditionalFormatting>
  <conditionalFormatting sqref="A60">
    <cfRule type="expression" dxfId="3949" priority="390">
      <formula>$AH60=0</formula>
    </cfRule>
  </conditionalFormatting>
  <conditionalFormatting sqref="A96">
    <cfRule type="expression" dxfId="3948" priority="389">
      <formula>$AH96=0</formula>
    </cfRule>
  </conditionalFormatting>
  <conditionalFormatting sqref="AD101:AF101 E101:Y101">
    <cfRule type="expression" dxfId="3947" priority="385">
      <formula>E$9&gt;=20/24</formula>
    </cfRule>
    <cfRule type="expression" dxfId="3946" priority="386">
      <formula>AND(E$9&gt;=14/24,E$9&lt;20/24)</formula>
    </cfRule>
    <cfRule type="expression" dxfId="3945" priority="387">
      <formula>AND(E$9&gt;=8/24,E$9&lt;14/24)</formula>
    </cfRule>
    <cfRule type="expression" dxfId="3944" priority="388">
      <formula>E$9&lt;8/24</formula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943" priority="407">
      <formula>C$9&gt;=20/24</formula>
    </cfRule>
    <cfRule type="expression" dxfId="3942" priority="408">
      <formula>AND(C$9&gt;=14/24,C$9&lt;20/24)</formula>
    </cfRule>
    <cfRule type="expression" dxfId="3941" priority="409">
      <formula>AND(C$9&gt;=8/24,C$9&lt;14/24)</formula>
    </cfRule>
    <cfRule type="expression" dxfId="3940" priority="410">
      <formula>C$9&lt;8/24</formula>
    </cfRule>
  </conditionalFormatting>
  <conditionalFormatting sqref="A236">
    <cfRule type="expression" dxfId="3939" priority="411">
      <formula>$AH236=0</formula>
    </cfRule>
  </conditionalFormatting>
  <conditionalFormatting sqref="AG248">
    <cfRule type="expression" dxfId="3938" priority="412">
      <formula>B$9&gt;=20/24</formula>
    </cfRule>
    <cfRule type="expression" dxfId="3937" priority="413">
      <formula>AND(B$9&gt;=14/24,B$9&lt;20/24)</formula>
    </cfRule>
    <cfRule type="expression" dxfId="3936" priority="414">
      <formula>AND(B$9&gt;=8/24,B$9&lt;14/24)</formula>
    </cfRule>
    <cfRule type="expression" dxfId="3935" priority="415">
      <formula>B$9&lt;8/24</formula>
    </cfRule>
  </conditionalFormatting>
  <conditionalFormatting sqref="S8">
    <cfRule type="expression" dxfId="3934" priority="380">
      <formula>U$9&gt;=20/24</formula>
    </cfRule>
    <cfRule type="expression" dxfId="3933" priority="381">
      <formula>AND(U$9&gt;=14/24,U$9&lt;20/24)</formula>
    </cfRule>
    <cfRule type="expression" dxfId="3932" priority="382">
      <formula>AND(U$9&gt;=8/24,U$9&lt;14/24)</formula>
    </cfRule>
    <cfRule type="expression" dxfId="3931" priority="383">
      <formula>U$9&lt;8/24</formula>
    </cfRule>
  </conditionalFormatting>
  <conditionalFormatting sqref="AB8">
    <cfRule type="expression" dxfId="3930" priority="376">
      <formula>AD$9&gt;=20/24</formula>
    </cfRule>
    <cfRule type="expression" dxfId="3929" priority="377">
      <formula>AND(AD$9&gt;=14/24,AD$9&lt;20/24)</formula>
    </cfRule>
    <cfRule type="expression" dxfId="3928" priority="378">
      <formula>AND(AD$9&gt;=8/24,AD$9&lt;14/24)</formula>
    </cfRule>
    <cfRule type="expression" dxfId="3927" priority="379">
      <formula>AD$9&lt;8/24</formula>
    </cfRule>
  </conditionalFormatting>
  <conditionalFormatting sqref="AH248:AX248">
    <cfRule type="expression" dxfId="3926" priority="416">
      <formula>AG$9&gt;=20/24</formula>
    </cfRule>
    <cfRule type="expression" dxfId="3925" priority="417">
      <formula>AND(AG$9&gt;=14/24,AG$9&lt;20/24)</formula>
    </cfRule>
    <cfRule type="expression" dxfId="3924" priority="418">
      <formula>AND(AG$9&gt;=8/24,AG$9&lt;14/24)</formula>
    </cfRule>
    <cfRule type="expression" dxfId="3923" priority="419">
      <formula>AG$9&lt;8/24</formula>
    </cfRule>
  </conditionalFormatting>
  <conditionalFormatting sqref="T248">
    <cfRule type="expression" dxfId="3922" priority="420">
      <formula>AX$9&gt;=20/24</formula>
    </cfRule>
    <cfRule type="expression" dxfId="3921" priority="421">
      <formula>AND(AX$9&gt;=14/24,AX$9&lt;20/24)</formula>
    </cfRule>
    <cfRule type="expression" dxfId="3920" priority="422">
      <formula>AND(AX$9&gt;=8/24,AX$9&lt;14/24)</formula>
    </cfRule>
    <cfRule type="expression" dxfId="3919" priority="423">
      <formula>AX$9&lt;8/24</formula>
    </cfRule>
  </conditionalFormatting>
  <conditionalFormatting sqref="A117:A119">
    <cfRule type="expression" dxfId="3918" priority="375">
      <formula>$AH117=0</formula>
    </cfRule>
  </conditionalFormatting>
  <conditionalFormatting sqref="AD56:AD59 E73:AD73 AF73 M56:R59">
    <cfRule type="expression" dxfId="3917" priority="371">
      <formula>E$9&gt;=20/24</formula>
    </cfRule>
    <cfRule type="expression" dxfId="3916" priority="372">
      <formula>AND(E$9&gt;=14/24,E$9&lt;20/24)</formula>
    </cfRule>
    <cfRule type="expression" dxfId="3915" priority="373">
      <formula>AND(E$9&gt;=8/24,E$9&lt;14/24)</formula>
    </cfRule>
    <cfRule type="expression" dxfId="3914" priority="374">
      <formula>E$9&lt;8/24</formula>
    </cfRule>
  </conditionalFormatting>
  <conditionalFormatting sqref="AD55 M55:R55">
    <cfRule type="expression" dxfId="3913" priority="367">
      <formula>M$9&gt;=20/24</formula>
    </cfRule>
    <cfRule type="expression" dxfId="3912" priority="368">
      <formula>AND(M$9&gt;=14/24,M$9&lt;20/24)</formula>
    </cfRule>
    <cfRule type="expression" dxfId="3911" priority="369">
      <formula>AND(M$9&gt;=8/24,M$9&lt;14/24)</formula>
    </cfRule>
    <cfRule type="expression" dxfId="3910" priority="370">
      <formula>M$9&lt;8/24</formula>
    </cfRule>
  </conditionalFormatting>
  <conditionalFormatting sqref="AD55:AD59 M55:R59">
    <cfRule type="expression" dxfId="3909" priority="366">
      <formula>M55&gt;$AG55</formula>
    </cfRule>
  </conditionalFormatting>
  <conditionalFormatting sqref="D88:AF88 X98:AF98 AE102:AF108 M102:Y108 AD74:AD76 X49:AF49 E74:AC75 AF74:AF75 AA69:AF71">
    <cfRule type="expression" dxfId="3908" priority="362">
      <formula>D$9&gt;=20/24</formula>
    </cfRule>
    <cfRule type="expression" dxfId="3907" priority="363">
      <formula>AND(D$9&gt;=14/24,D$9&lt;20/24)</formula>
    </cfRule>
    <cfRule type="expression" dxfId="3906" priority="364">
      <formula>AND(D$9&gt;=8/24,D$9&lt;14/24)</formula>
    </cfRule>
    <cfRule type="expression" dxfId="3905" priority="365">
      <formula>D$9&lt;8/24</formula>
    </cfRule>
  </conditionalFormatting>
  <conditionalFormatting sqref="X49:AF49 AA69:AF71">
    <cfRule type="expression" dxfId="3904" priority="361">
      <formula>X49&gt;$AG49</formula>
    </cfRule>
  </conditionalFormatting>
  <conditionalFormatting sqref="S55:AC60">
    <cfRule type="expression" dxfId="3903" priority="357">
      <formula>S$9&gt;=20/24</formula>
    </cfRule>
    <cfRule type="expression" dxfId="3902" priority="358">
      <formula>AND(S$9&gt;=14/24,S$9&lt;20/24)</formula>
    </cfRule>
    <cfRule type="expression" dxfId="3901" priority="359">
      <formula>AND(S$9&gt;=8/24,S$9&lt;14/24)</formula>
    </cfRule>
    <cfRule type="expression" dxfId="3900" priority="360">
      <formula>S$9&lt;8/24</formula>
    </cfRule>
  </conditionalFormatting>
  <conditionalFormatting sqref="S55:AC60">
    <cfRule type="expression" dxfId="3899" priority="356">
      <formula>S55&gt;$AG55</formula>
    </cfRule>
  </conditionalFormatting>
  <conditionalFormatting sqref="C99:AF99 D90:AF90">
    <cfRule type="expression" dxfId="3898" priority="352">
      <formula>C$9&gt;=20/24</formula>
    </cfRule>
    <cfRule type="expression" dxfId="3897" priority="353">
      <formula>AND(C$9&gt;=14/24,C$9&lt;20/24)</formula>
    </cfRule>
    <cfRule type="expression" dxfId="3896" priority="354">
      <formula>AND(C$9&gt;=8/24,C$9&lt;14/24)</formula>
    </cfRule>
    <cfRule type="expression" dxfId="3895" priority="355">
      <formula>C$9&lt;8/24</formula>
    </cfRule>
  </conditionalFormatting>
  <conditionalFormatting sqref="T49:W49">
    <cfRule type="expression" dxfId="3894" priority="348">
      <formula>T$9&gt;=20/24</formula>
    </cfRule>
    <cfRule type="expression" dxfId="3893" priority="349">
      <formula>AND(T$9&gt;=14/24,T$9&lt;20/24)</formula>
    </cfRule>
    <cfRule type="expression" dxfId="3892" priority="350">
      <formula>AND(T$9&gt;=8/24,T$9&lt;14/24)</formula>
    </cfRule>
    <cfRule type="expression" dxfId="3891" priority="351">
      <formula>T$9&lt;8/24</formula>
    </cfRule>
  </conditionalFormatting>
  <conditionalFormatting sqref="T49:W49">
    <cfRule type="expression" dxfId="3890" priority="347">
      <formula>T49&gt;$AG49</formula>
    </cfRule>
  </conditionalFormatting>
  <conditionalFormatting sqref="E56:L57">
    <cfRule type="expression" dxfId="3889" priority="343">
      <formula>E$9&gt;=20/24</formula>
    </cfRule>
    <cfRule type="expression" dxfId="3888" priority="344">
      <formula>AND(E$9&gt;=14/24,E$9&lt;20/24)</formula>
    </cfRule>
    <cfRule type="expression" dxfId="3887" priority="345">
      <formula>AND(E$9&gt;=8/24,E$9&lt;14/24)</formula>
    </cfRule>
    <cfRule type="expression" dxfId="3886" priority="346">
      <formula>E$9&lt;8/24</formula>
    </cfRule>
  </conditionalFormatting>
  <conditionalFormatting sqref="E55:L55">
    <cfRule type="expression" dxfId="3885" priority="339">
      <formula>E$9&gt;=20/24</formula>
    </cfRule>
    <cfRule type="expression" dxfId="3884" priority="340">
      <formula>AND(E$9&gt;=14/24,E$9&lt;20/24)</formula>
    </cfRule>
    <cfRule type="expression" dxfId="3883" priority="341">
      <formula>AND(E$9&gt;=8/24,E$9&lt;14/24)</formula>
    </cfRule>
    <cfRule type="expression" dxfId="3882" priority="342">
      <formula>E$9&lt;8/24</formula>
    </cfRule>
  </conditionalFormatting>
  <conditionalFormatting sqref="E55:L57">
    <cfRule type="expression" dxfId="3881" priority="338">
      <formula>E55&gt;$AG55</formula>
    </cfRule>
  </conditionalFormatting>
  <conditionalFormatting sqref="AG72 AG89 E102:L108">
    <cfRule type="expression" dxfId="3880" priority="334">
      <formula>E$9&gt;=20/24</formula>
    </cfRule>
    <cfRule type="expression" dxfId="3879" priority="335">
      <formula>AND(E$9&gt;=14/24,E$9&lt;20/24)</formula>
    </cfRule>
    <cfRule type="expression" dxfId="3878" priority="336">
      <formula>AND(E$9&gt;=8/24,E$9&lt;14/24)</formula>
    </cfRule>
    <cfRule type="expression" dxfId="3877" priority="337">
      <formula>E$9&lt;8/24</formula>
    </cfRule>
  </conditionalFormatting>
  <conditionalFormatting sqref="AG50 AG68 AG72">
    <cfRule type="expression" dxfId="3876" priority="333">
      <formula>AG50&gt;$AG50</formula>
    </cfRule>
  </conditionalFormatting>
  <conditionalFormatting sqref="AD60">
    <cfRule type="expression" dxfId="3875" priority="329">
      <formula>AD$9&gt;=20/24</formula>
    </cfRule>
    <cfRule type="expression" dxfId="3874" priority="330">
      <formula>AND(AD$9&gt;=14/24,AD$9&lt;20/24)</formula>
    </cfRule>
    <cfRule type="expression" dxfId="3873" priority="331">
      <formula>AND(AD$9&gt;=8/24,AD$9&lt;14/24)</formula>
    </cfRule>
    <cfRule type="expression" dxfId="3872" priority="332">
      <formula>AD$9&lt;8/24</formula>
    </cfRule>
  </conditionalFormatting>
  <conditionalFormatting sqref="AD60">
    <cfRule type="expression" dxfId="3871" priority="328">
      <formula>AD60&gt;$AG60</formula>
    </cfRule>
  </conditionalFormatting>
  <conditionalFormatting sqref="A45">
    <cfRule type="expression" dxfId="3870" priority="327">
      <formula>$AH45=0</formula>
    </cfRule>
  </conditionalFormatting>
  <conditionalFormatting sqref="X93:AF97">
    <cfRule type="expression" dxfId="3869" priority="323">
      <formula>X$9&gt;=20/24</formula>
    </cfRule>
    <cfRule type="expression" dxfId="3868" priority="324">
      <formula>AND(X$9&gt;=14/24,X$9&lt;20/24)</formula>
    </cfRule>
    <cfRule type="expression" dxfId="3867" priority="325">
      <formula>AND(X$9&gt;=8/24,X$9&lt;14/24)</formula>
    </cfRule>
    <cfRule type="expression" dxfId="3866" priority="326">
      <formula>X$9&lt;8/24</formula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E51:AF53">
    <cfRule type="expression" dxfId="3865" priority="319">
      <formula>E$9&gt;=20/24</formula>
    </cfRule>
    <cfRule type="expression" dxfId="3864" priority="320">
      <formula>AND(E$9&gt;=14/24,E$9&lt;20/24)</formula>
    </cfRule>
    <cfRule type="expression" dxfId="3863" priority="321">
      <formula>AND(E$9&gt;=8/24,E$9&lt;14/24)</formula>
    </cfRule>
    <cfRule type="expression" dxfId="3862" priority="322">
      <formula>E$9&lt;8/24</formula>
    </cfRule>
  </conditionalFormatting>
  <conditionalFormatting sqref="E51:AF53">
    <cfRule type="expression" dxfId="3861" priority="318">
      <formula>E51&gt;$AG51</formula>
    </cfRule>
  </conditionalFormatting>
  <conditionalFormatting sqref="AG54">
    <cfRule type="expression" dxfId="3860" priority="314">
      <formula>AG$9&gt;=20/24</formula>
    </cfRule>
    <cfRule type="expression" dxfId="3859" priority="315">
      <formula>AND(AG$9&gt;=14/24,AG$9&lt;20/24)</formula>
    </cfRule>
    <cfRule type="expression" dxfId="3858" priority="316">
      <formula>AND(AG$9&gt;=8/24,AG$9&lt;14/24)</formula>
    </cfRule>
    <cfRule type="expression" dxfId="3857" priority="317">
      <formula>AG$9&lt;8/24</formula>
    </cfRule>
  </conditionalFormatting>
  <conditionalFormatting sqref="AG54">
    <cfRule type="expression" dxfId="3856" priority="313">
      <formula>AG54&gt;$AG54</formula>
    </cfRule>
  </conditionalFormatting>
  <conditionalFormatting sqref="C109:AF109">
    <cfRule type="expression" dxfId="3855" priority="309">
      <formula>C$9&gt;=20/24</formula>
    </cfRule>
    <cfRule type="expression" dxfId="3854" priority="310">
      <formula>AND(C$9&gt;=14/24,C$9&lt;20/24)</formula>
    </cfRule>
    <cfRule type="expression" dxfId="3853" priority="311">
      <formula>AND(C$9&gt;=8/24,C$9&lt;14/24)</formula>
    </cfRule>
    <cfRule type="expression" dxfId="3852" priority="312">
      <formula>C$9&lt;8/24</formula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3851" priority="307">
      <formula>$AH42=0</formula>
    </cfRule>
  </conditionalFormatting>
  <conditionalFormatting sqref="A92">
    <cfRule type="expression" dxfId="3850" priority="305">
      <formula>$AH92=0</formula>
    </cfRule>
  </conditionalFormatting>
  <conditionalFormatting sqref="A89">
    <cfRule type="expression" dxfId="3849" priority="306">
      <formula>$AH89=0</formula>
    </cfRule>
  </conditionalFormatting>
  <conditionalFormatting sqref="D112:AF112">
    <cfRule type="expression" dxfId="3848" priority="301">
      <formula>D$9&gt;=20/24</formula>
    </cfRule>
    <cfRule type="expression" dxfId="3847" priority="302">
      <formula>AND(D$9&gt;=14/24,D$9&lt;20/24)</formula>
    </cfRule>
    <cfRule type="expression" dxfId="3846" priority="303">
      <formula>AND(D$9&gt;=8/24,D$9&lt;14/24)</formula>
    </cfRule>
    <cfRule type="expression" dxfId="3845" priority="304">
      <formula>D$9&lt;8/24</formula>
    </cfRule>
  </conditionalFormatting>
  <conditionalFormatting sqref="A112">
    <cfRule type="expression" dxfId="3844" priority="300">
      <formula>$AH112=0</formula>
    </cfRule>
  </conditionalFormatting>
  <conditionalFormatting sqref="A23">
    <cfRule type="expression" dxfId="3843" priority="298">
      <formula>$AH23=0</formula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3842" priority="296">
      <formula>$AH39=0</formula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3841" priority="292">
      <formula>Z$9&gt;=20/24</formula>
    </cfRule>
    <cfRule type="expression" dxfId="3840" priority="293">
      <formula>AND(Z$9&gt;=14/24,Z$9&lt;20/24)</formula>
    </cfRule>
    <cfRule type="expression" dxfId="3839" priority="294">
      <formula>AND(Z$9&gt;=8/24,Z$9&lt;14/24)</formula>
    </cfRule>
    <cfRule type="expression" dxfId="3838" priority="295">
      <formula>Z$9&lt;8/24</formula>
    </cfRule>
  </conditionalFormatting>
  <conditionalFormatting sqref="Z102:AD108">
    <cfRule type="expression" dxfId="3837" priority="288">
      <formula>Z$9&gt;=20/24</formula>
    </cfRule>
    <cfRule type="expression" dxfId="3836" priority="289">
      <formula>AND(Z$9&gt;=14/24,Z$9&lt;20/24)</formula>
    </cfRule>
    <cfRule type="expression" dxfId="3835" priority="290">
      <formula>AND(Z$9&gt;=8/24,Z$9&lt;14/24)</formula>
    </cfRule>
    <cfRule type="expression" dxfId="3834" priority="291">
      <formula>Z$9&lt;8/24</formula>
    </cfRule>
  </conditionalFormatting>
  <conditionalFormatting sqref="C111 C113:C119 Z19:AA28 U19:Y24 U27:Y27 AA29:AA30 AA36:AF45 AB19:AF30 AA32:AF34">
    <cfRule type="expression" dxfId="3833" priority="284">
      <formula>C$9&gt;=20/24</formula>
    </cfRule>
    <cfRule type="expression" dxfId="3832" priority="285">
      <formula>AND(C$9&gt;=14/24,C$9&lt;20/24)</formula>
    </cfRule>
    <cfRule type="expression" dxfId="3831" priority="286">
      <formula>AND(C$9&gt;=8/24,C$9&lt;14/24)</formula>
    </cfRule>
    <cfRule type="expression" dxfId="3830" priority="287">
      <formula>C$9&lt;8/24</formula>
    </cfRule>
  </conditionalFormatting>
  <conditionalFormatting sqref="E49:S49">
    <cfRule type="expression" dxfId="3829" priority="280">
      <formula>E$9&gt;=20/24</formula>
    </cfRule>
    <cfRule type="expression" dxfId="3828" priority="281">
      <formula>AND(E$9&gt;=14/24,E$9&lt;20/24)</formula>
    </cfRule>
    <cfRule type="expression" dxfId="3827" priority="282">
      <formula>AND(E$9&gt;=8/24,E$9&lt;14/24)</formula>
    </cfRule>
    <cfRule type="expression" dxfId="3826" priority="283">
      <formula>E$9&lt;8/24</formula>
    </cfRule>
  </conditionalFormatting>
  <conditionalFormatting sqref="E49:S49 Z19:AA28 U19:Y24 U27:Y27 AA29:AA30 AA36:AF45 AB19:AF30 AA32:AF34">
    <cfRule type="expression" dxfId="3825" priority="279">
      <formula>E19&gt;$AG19</formula>
    </cfRule>
  </conditionalFormatting>
  <conditionalFormatting sqref="C101:D101">
    <cfRule type="expression" dxfId="3824" priority="275">
      <formula>C$9&gt;=20/24</formula>
    </cfRule>
    <cfRule type="expression" dxfId="3823" priority="276">
      <formula>AND(C$9&gt;=14/24,C$9&lt;20/24)</formula>
    </cfRule>
    <cfRule type="expression" dxfId="3822" priority="277">
      <formula>AND(C$9&gt;=8/24,C$9&lt;14/24)</formula>
    </cfRule>
    <cfRule type="expression" dxfId="3821" priority="278">
      <formula>C$9&lt;8/24</formula>
    </cfRule>
  </conditionalFormatting>
  <conditionalFormatting sqref="C88 C98:W98 C85:AF87 D102:D108 AD77:AD78 E69:Z71 E76:AC78">
    <cfRule type="expression" dxfId="3820" priority="271">
      <formula>C$9&gt;=20/24</formula>
    </cfRule>
    <cfRule type="expression" dxfId="3819" priority="272">
      <formula>AND(C$9&gt;=14/24,C$9&lt;20/24)</formula>
    </cfRule>
    <cfRule type="expression" dxfId="3818" priority="273">
      <formula>AND(C$9&gt;=8/24,C$9&lt;14/24)</formula>
    </cfRule>
    <cfRule type="expression" dxfId="3817" priority="274">
      <formula>C$9&lt;8/24</formula>
    </cfRule>
  </conditionalFormatting>
  <conditionalFormatting sqref="E58:L59 E69:Z71">
    <cfRule type="expression" dxfId="3816" priority="270">
      <formula>E58&gt;$AG58</formula>
    </cfRule>
  </conditionalFormatting>
  <conditionalFormatting sqref="C73:D73 D56:D59">
    <cfRule type="expression" dxfId="3815" priority="216">
      <formula>C$9&gt;=20/24</formula>
    </cfRule>
    <cfRule type="expression" dxfId="3814" priority="217">
      <formula>AND(C$9&gt;=14/24,C$9&lt;20/24)</formula>
    </cfRule>
    <cfRule type="expression" dxfId="3813" priority="218">
      <formula>AND(C$9&gt;=8/24,C$9&lt;14/24)</formula>
    </cfRule>
    <cfRule type="expression" dxfId="3812" priority="219">
      <formula>C$9&lt;8/24</formula>
    </cfRule>
  </conditionalFormatting>
  <conditionalFormatting sqref="C89:AF89 C91:AF91 C100:AF100 C72:AF72">
    <cfRule type="expression" dxfId="3811" priority="266">
      <formula>C$9&gt;=20/24</formula>
    </cfRule>
    <cfRule type="expression" dxfId="3810" priority="267">
      <formula>AND(C$9&gt;=14/24,C$9&lt;20/24)</formula>
    </cfRule>
    <cfRule type="expression" dxfId="3809" priority="268">
      <formula>AND(C$9&gt;=8/24,C$9&lt;14/24)</formula>
    </cfRule>
    <cfRule type="expression" dxfId="3808" priority="269">
      <formula>C$9&lt;8/24</formula>
    </cfRule>
  </conditionalFormatting>
  <conditionalFormatting sqref="C72:AF72 D67:AF68">
    <cfRule type="expression" dxfId="3807" priority="265">
      <formula>C67&gt;$AG67</formula>
    </cfRule>
  </conditionalFormatting>
  <conditionalFormatting sqref="C84:AF84">
    <cfRule type="expression" dxfId="3806" priority="261">
      <formula>C$9&gt;=20/24</formula>
    </cfRule>
    <cfRule type="expression" dxfId="3805" priority="262">
      <formula>AND(C$9&gt;=14/24,C$9&lt;20/24)</formula>
    </cfRule>
    <cfRule type="expression" dxfId="3804" priority="263">
      <formula>AND(C$9&gt;=8/24,C$9&lt;14/24)</formula>
    </cfRule>
    <cfRule type="expression" dxfId="3803" priority="264">
      <formula>C$9&lt;8/24</formula>
    </cfRule>
  </conditionalFormatting>
  <conditionalFormatting sqref="C93:W97">
    <cfRule type="expression" dxfId="3802" priority="257">
      <formula>C$9&gt;=20/24</formula>
    </cfRule>
    <cfRule type="expression" dxfId="3801" priority="258">
      <formula>AND(C$9&gt;=14/24,C$9&lt;20/24)</formula>
    </cfRule>
    <cfRule type="expression" dxfId="3800" priority="259">
      <formula>AND(C$9&gt;=8/24,C$9&lt;14/24)</formula>
    </cfRule>
    <cfRule type="expression" dxfId="3799" priority="260">
      <formula>C$9&lt;8/24</formula>
    </cfRule>
  </conditionalFormatting>
  <conditionalFormatting sqref="D54:AF54">
    <cfRule type="expression" dxfId="3798" priority="253">
      <formula>D$9&gt;=20/24</formula>
    </cfRule>
    <cfRule type="expression" dxfId="3797" priority="254">
      <formula>AND(D$9&gt;=14/24,D$9&lt;20/24)</formula>
    </cfRule>
    <cfRule type="expression" dxfId="3796" priority="255">
      <formula>AND(D$9&gt;=8/24,D$9&lt;14/24)</formula>
    </cfRule>
    <cfRule type="expression" dxfId="3795" priority="256">
      <formula>D$9&lt;8/24</formula>
    </cfRule>
  </conditionalFormatting>
  <conditionalFormatting sqref="D54:AF54">
    <cfRule type="expression" dxfId="3794" priority="252">
      <formula>D54&gt;$AG54</formula>
    </cfRule>
  </conditionalFormatting>
  <conditionalFormatting sqref="C112">
    <cfRule type="expression" dxfId="3793" priority="248">
      <formula>C$9&gt;=20/24</formula>
    </cfRule>
    <cfRule type="expression" dxfId="3792" priority="249">
      <formula>AND(C$9&gt;=14/24,C$9&lt;20/24)</formula>
    </cfRule>
    <cfRule type="expression" dxfId="3791" priority="250">
      <formula>AND(C$9&gt;=8/24,C$9&lt;14/24)</formula>
    </cfRule>
    <cfRule type="expression" dxfId="3790" priority="251">
      <formula>C$9&lt;8/24</formula>
    </cfRule>
  </conditionalFormatting>
  <conditionalFormatting sqref="AA61:AD66">
    <cfRule type="expression" dxfId="3789" priority="244">
      <formula>AA$9&gt;=20/24</formula>
    </cfRule>
    <cfRule type="expression" dxfId="3788" priority="245">
      <formula>AND(AA$9&gt;=14/24,AA$9&lt;20/24)</formula>
    </cfRule>
    <cfRule type="expression" dxfId="3787" priority="246">
      <formula>AND(AA$9&gt;=8/24,AA$9&lt;14/24)</formula>
    </cfRule>
    <cfRule type="expression" dxfId="3786" priority="247">
      <formula>AA$9&lt;8/24</formula>
    </cfRule>
  </conditionalFormatting>
  <conditionalFormatting sqref="AA61:AD66">
    <cfRule type="expression" dxfId="3785" priority="243">
      <formula>AA61&gt;$AG61</formula>
    </cfRule>
  </conditionalFormatting>
  <conditionalFormatting sqref="AA47:AF47">
    <cfRule type="expression" dxfId="3784" priority="242">
      <formula>AA47&gt;$AG47</formula>
    </cfRule>
  </conditionalFormatting>
  <conditionalFormatting sqref="U13:AF13">
    <cfRule type="expression" dxfId="3783" priority="238">
      <formula>U$9&gt;=20/24</formula>
    </cfRule>
    <cfRule type="expression" dxfId="3782" priority="239">
      <formula>AND(U$9&gt;=14/24,U$9&lt;20/24)</formula>
    </cfRule>
    <cfRule type="expression" dxfId="3781" priority="240">
      <formula>AND(U$9&gt;=8/24,U$9&lt;14/24)</formula>
    </cfRule>
    <cfRule type="expression" dxfId="3780" priority="241">
      <formula>U$9&lt;8/24</formula>
    </cfRule>
  </conditionalFormatting>
  <conditionalFormatting sqref="U13:AF13">
    <cfRule type="expression" dxfId="3779" priority="237">
      <formula>U13&gt;$AG13</formula>
    </cfRule>
  </conditionalFormatting>
  <conditionalFormatting sqref="AA47:AF47">
    <cfRule type="expression" dxfId="3778" priority="233">
      <formula>AA$9&gt;=20/24</formula>
    </cfRule>
    <cfRule type="expression" dxfId="3777" priority="234">
      <formula>AND(AA$9&gt;=14/24,AA$9&lt;20/24)</formula>
    </cfRule>
    <cfRule type="expression" dxfId="3776" priority="235">
      <formula>AND(AA$9&gt;=8/24,AA$9&lt;14/24)</formula>
    </cfRule>
    <cfRule type="expression" dxfId="3775" priority="236">
      <formula>AA$9&lt;8/24</formula>
    </cfRule>
  </conditionalFormatting>
  <conditionalFormatting sqref="E79:AD83">
    <cfRule type="expression" dxfId="3774" priority="229">
      <formula>E$9&gt;=20/24</formula>
    </cfRule>
    <cfRule type="expression" dxfId="3773" priority="230">
      <formula>AND(E$9&gt;=14/24,E$9&lt;20/24)</formula>
    </cfRule>
    <cfRule type="expression" dxfId="3772" priority="231">
      <formula>AND(E$9&gt;=8/24,E$9&lt;14/24)</formula>
    </cfRule>
    <cfRule type="expression" dxfId="3771" priority="232">
      <formula>E$9&lt;8/24</formula>
    </cfRule>
  </conditionalFormatting>
  <conditionalFormatting sqref="AL80:AN80 AL86:AN86 AN81:AN82">
    <cfRule type="expression" dxfId="3770" priority="225">
      <formula>AL$9&gt;=20/24</formula>
    </cfRule>
    <cfRule type="expression" dxfId="3769" priority="226">
      <formula>AND(AL$9&gt;=14/24,AL$9&lt;20/24)</formula>
    </cfRule>
    <cfRule type="expression" dxfId="3768" priority="227">
      <formula>AND(AL$9&gt;=8/24,AL$9&lt;14/24)</formula>
    </cfRule>
    <cfRule type="expression" dxfId="3767" priority="228">
      <formula>AL$9&lt;8/24</formula>
    </cfRule>
  </conditionalFormatting>
  <conditionalFormatting sqref="AN83:AN84">
    <cfRule type="expression" dxfId="3766" priority="221">
      <formula>AN$9&gt;=20/24</formula>
    </cfRule>
    <cfRule type="expression" dxfId="3765" priority="222">
      <formula>AND(AN$9&gt;=14/24,AN$9&lt;20/24)</formula>
    </cfRule>
    <cfRule type="expression" dxfId="3764" priority="223">
      <formula>AND(AN$9&gt;=8/24,AN$9&lt;14/24)</formula>
    </cfRule>
    <cfRule type="expression" dxfId="3763" priority="224">
      <formula>AN$9&lt;8/24</formula>
    </cfRule>
  </conditionalFormatting>
  <conditionalFormatting sqref="AL81:AM85">
    <cfRule type="expression" dxfId="3762" priority="425">
      <formula>AJ$9&gt;=20/24</formula>
    </cfRule>
    <cfRule type="expression" dxfId="3761" priority="426">
      <formula>AND(AJ$9&gt;=14/24,AJ$9&lt;20/24)</formula>
    </cfRule>
    <cfRule type="expression" dxfId="3760" priority="427">
      <formula>AND(AJ$9&gt;=8/24,AJ$9&lt;14/24)</formula>
    </cfRule>
    <cfRule type="expression" dxfId="3759" priority="428">
      <formula>AJ$9&lt;8/24</formula>
    </cfRule>
  </conditionalFormatting>
  <conditionalFormatting sqref="A120">
    <cfRule type="expression" dxfId="3758" priority="220">
      <formula>$AH120=0</formula>
    </cfRule>
  </conditionalFormatting>
  <conditionalFormatting sqref="D55">
    <cfRule type="expression" dxfId="3757" priority="212">
      <formula>D$9&gt;=20/24</formula>
    </cfRule>
    <cfRule type="expression" dxfId="3756" priority="213">
      <formula>AND(D$9&gt;=14/24,D$9&lt;20/24)</formula>
    </cfRule>
    <cfRule type="expression" dxfId="3755" priority="214">
      <formula>AND(D$9&gt;=8/24,D$9&lt;14/24)</formula>
    </cfRule>
    <cfRule type="expression" dxfId="3754" priority="215">
      <formula>D$9&lt;8/24</formula>
    </cfRule>
  </conditionalFormatting>
  <conditionalFormatting sqref="D55:D59">
    <cfRule type="expression" dxfId="3753" priority="211">
      <formula>D55&gt;$AG55</formula>
    </cfRule>
  </conditionalFormatting>
  <conditionalFormatting sqref="C74:D76 C102:C108 D69:D71 D77:D83">
    <cfRule type="expression" dxfId="3752" priority="207">
      <formula>C$9&gt;=20/24</formula>
    </cfRule>
    <cfRule type="expression" dxfId="3751" priority="208">
      <formula>AND(C$9&gt;=14/24,C$9&lt;20/24)</formula>
    </cfRule>
    <cfRule type="expression" dxfId="3750" priority="209">
      <formula>AND(C$9&gt;=8/24,C$9&lt;14/24)</formula>
    </cfRule>
    <cfRule type="expression" dxfId="3749" priority="210">
      <formula>C$9&lt;8/24</formula>
    </cfRule>
  </conditionalFormatting>
  <conditionalFormatting sqref="D69:D71">
    <cfRule type="expression" dxfId="3748" priority="206">
      <formula>D69&gt;$AG69</formula>
    </cfRule>
  </conditionalFormatting>
  <conditionalFormatting sqref="C90">
    <cfRule type="expression" dxfId="3747" priority="202">
      <formula>C$9&gt;=20/24</formula>
    </cfRule>
    <cfRule type="expression" dxfId="3746" priority="203">
      <formula>AND(C$9&gt;=14/24,C$9&lt;20/24)</formula>
    </cfRule>
    <cfRule type="expression" dxfId="3745" priority="204">
      <formula>AND(C$9&gt;=8/24,C$9&lt;14/24)</formula>
    </cfRule>
    <cfRule type="expression" dxfId="3744" priority="205">
      <formula>C$9&lt;8/24</formula>
    </cfRule>
  </conditionalFormatting>
  <conditionalFormatting sqref="AA48:AF48">
    <cfRule type="expression" dxfId="3743" priority="198">
      <formula>AA$9&gt;=20/24</formula>
    </cfRule>
    <cfRule type="expression" dxfId="3742" priority="199">
      <formula>AND(AA$9&gt;=14/24,AA$9&lt;20/24)</formula>
    </cfRule>
    <cfRule type="expression" dxfId="3741" priority="200">
      <formula>AND(AA$9&gt;=8/24,AA$9&lt;14/24)</formula>
    </cfRule>
    <cfRule type="expression" dxfId="3740" priority="201">
      <formula>AA$9&lt;8/24</formula>
    </cfRule>
  </conditionalFormatting>
  <conditionalFormatting sqref="AA48:AF48">
    <cfRule type="expression" dxfId="3739" priority="197">
      <formula>AA48&gt;$AG48</formula>
    </cfRule>
  </conditionalFormatting>
  <conditionalFormatting sqref="D60:R60">
    <cfRule type="expression" dxfId="3738" priority="193">
      <formula>D$9&gt;=20/24</formula>
    </cfRule>
    <cfRule type="expression" dxfId="3737" priority="194">
      <formula>AND(D$9&gt;=14/24,D$9&lt;20/24)</formula>
    </cfRule>
    <cfRule type="expression" dxfId="3736" priority="195">
      <formula>AND(D$9&gt;=8/24,D$9&lt;14/24)</formula>
    </cfRule>
    <cfRule type="expression" dxfId="3735" priority="196">
      <formula>D$9&lt;8/24</formula>
    </cfRule>
  </conditionalFormatting>
  <conditionalFormatting sqref="D60:R60">
    <cfRule type="expression" dxfId="3734" priority="192">
      <formula>D60&gt;$AG60</formula>
    </cfRule>
  </conditionalFormatting>
  <conditionalFormatting sqref="B88 B98 B102:B108 B74:B76 B69:C71 B49:D49">
    <cfRule type="expression" dxfId="3733" priority="122">
      <formula>B$9&gt;=20/24</formula>
    </cfRule>
    <cfRule type="expression" dxfId="3732" priority="123">
      <formula>AND(B$9&gt;=14/24,B$9&lt;20/24)</formula>
    </cfRule>
    <cfRule type="expression" dxfId="3731" priority="124">
      <formula>AND(B$9&gt;=8/24,B$9&lt;14/24)</formula>
    </cfRule>
    <cfRule type="expression" dxfId="3730" priority="125">
      <formula>B$9&lt;8/24</formula>
    </cfRule>
  </conditionalFormatting>
  <conditionalFormatting sqref="B60:C60">
    <cfRule type="expression" dxfId="3729" priority="113">
      <formula>B$9&gt;=20/24</formula>
    </cfRule>
    <cfRule type="expression" dxfId="3728" priority="114">
      <formula>AND(B$9&gt;=14/24,B$9&lt;20/24)</formula>
    </cfRule>
    <cfRule type="expression" dxfId="3727" priority="115">
      <formula>AND(B$9&gt;=8/24,B$9&lt;14/24)</formula>
    </cfRule>
    <cfRule type="expression" dxfId="3726" priority="116">
      <formula>B$9&lt;8/24</formula>
    </cfRule>
  </conditionalFormatting>
  <conditionalFormatting sqref="C77:C78">
    <cfRule type="expression" dxfId="3725" priority="188">
      <formula>C$9&gt;=20/24</formula>
    </cfRule>
    <cfRule type="expression" dxfId="3724" priority="189">
      <formula>AND(C$9&gt;=14/24,C$9&lt;20/24)</formula>
    </cfRule>
    <cfRule type="expression" dxfId="3723" priority="190">
      <formula>AND(C$9&gt;=8/24,C$9&lt;14/24)</formula>
    </cfRule>
    <cfRule type="expression" dxfId="3722" priority="191">
      <formula>C$9&lt;8/24</formula>
    </cfRule>
  </conditionalFormatting>
  <conditionalFormatting sqref="E50:AF50">
    <cfRule type="expression" dxfId="3721" priority="187">
      <formula>E50&gt;$AG50</formula>
    </cfRule>
  </conditionalFormatting>
  <conditionalFormatting sqref="D61:Z66">
    <cfRule type="expression" dxfId="3720" priority="183">
      <formula>D$9&gt;=20/24</formula>
    </cfRule>
    <cfRule type="expression" dxfId="3719" priority="184">
      <formula>AND(D$9&gt;=14/24,D$9&lt;20/24)</formula>
    </cfRule>
    <cfRule type="expression" dxfId="3718" priority="185">
      <formula>AND(D$9&gt;=8/24,D$9&lt;14/24)</formula>
    </cfRule>
    <cfRule type="expression" dxfId="3717" priority="186">
      <formula>D$9&lt;8/24</formula>
    </cfRule>
  </conditionalFormatting>
  <conditionalFormatting sqref="D61:Z66">
    <cfRule type="expression" dxfId="3716" priority="182">
      <formula>D61&gt;$AG61</formula>
    </cfRule>
  </conditionalFormatting>
  <conditionalFormatting sqref="C79:C83">
    <cfRule type="expression" dxfId="3715" priority="178">
      <formula>C$9&gt;=20/24</formula>
    </cfRule>
    <cfRule type="expression" dxfId="3714" priority="179">
      <formula>AND(C$9&gt;=14/24,C$9&lt;20/24)</formula>
    </cfRule>
    <cfRule type="expression" dxfId="3713" priority="180">
      <formula>AND(C$9&gt;=8/24,C$9&lt;14/24)</formula>
    </cfRule>
    <cfRule type="expression" dxfId="3712" priority="181">
      <formula>C$9&lt;8/24</formula>
    </cfRule>
  </conditionalFormatting>
  <conditionalFormatting sqref="A11">
    <cfRule type="expression" dxfId="3711" priority="177">
      <formula>$AH11=0</formula>
    </cfRule>
  </conditionalFormatting>
  <conditionalFormatting sqref="U11:AF11">
    <cfRule type="expression" dxfId="3710" priority="173">
      <formula>U$9&gt;=20/24</formula>
    </cfRule>
    <cfRule type="expression" dxfId="3709" priority="174">
      <formula>AND(U$9&gt;=14/24,U$9&lt;20/24)</formula>
    </cfRule>
    <cfRule type="expression" dxfId="3708" priority="175">
      <formula>AND(U$9&gt;=8/24,U$9&lt;14/24)</formula>
    </cfRule>
    <cfRule type="expression" dxfId="3707" priority="176">
      <formula>U$9&lt;8/24</formula>
    </cfRule>
  </conditionalFormatting>
  <conditionalFormatting sqref="U11:AF11">
    <cfRule type="expression" dxfId="3706" priority="172">
      <formula>U11&gt;$AG11</formula>
    </cfRule>
  </conditionalFormatting>
  <conditionalFormatting sqref="A18">
    <cfRule type="expression" dxfId="3705" priority="170">
      <formula>$AH18=0</formula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U18:AF18">
    <cfRule type="expression" dxfId="3704" priority="166">
      <formula>U$9&gt;=20/24</formula>
    </cfRule>
    <cfRule type="expression" dxfId="3703" priority="167">
      <formula>AND(U$9&gt;=14/24,U$9&lt;20/24)</formula>
    </cfRule>
    <cfRule type="expression" dxfId="3702" priority="168">
      <formula>AND(U$9&gt;=8/24,U$9&lt;14/24)</formula>
    </cfRule>
    <cfRule type="expression" dxfId="3701" priority="169">
      <formula>U$9&lt;8/24</formula>
    </cfRule>
  </conditionalFormatting>
  <conditionalFormatting sqref="U18:AF18">
    <cfRule type="expression" dxfId="3700" priority="165">
      <formula>U18&gt;$AG18</formula>
    </cfRule>
  </conditionalFormatting>
  <conditionalFormatting sqref="A35">
    <cfRule type="expression" dxfId="3699" priority="163">
      <formula>$AH35=0</formula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3698" priority="159">
      <formula>AA$9&gt;=20/24</formula>
    </cfRule>
    <cfRule type="expression" dxfId="3697" priority="160">
      <formula>AND(AA$9&gt;=14/24,AA$9&lt;20/24)</formula>
    </cfRule>
    <cfRule type="expression" dxfId="3696" priority="161">
      <formula>AND(AA$9&gt;=8/24,AA$9&lt;14/24)</formula>
    </cfRule>
    <cfRule type="expression" dxfId="3695" priority="162">
      <formula>AA$9&lt;8/24</formula>
    </cfRule>
  </conditionalFormatting>
  <conditionalFormatting sqref="AA35:AF35">
    <cfRule type="expression" dxfId="3694" priority="158">
      <formula>AA35&gt;$AG35</formula>
    </cfRule>
  </conditionalFormatting>
  <conditionalFormatting sqref="A46">
    <cfRule type="expression" dxfId="3693" priority="156">
      <formula>$AH46=0</formula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3692" priority="155">
      <formula>AA46&gt;$AG46</formula>
    </cfRule>
  </conditionalFormatting>
  <conditionalFormatting sqref="AA46:AF46">
    <cfRule type="expression" dxfId="3691" priority="151">
      <formula>AA$9&gt;=20/24</formula>
    </cfRule>
    <cfRule type="expression" dxfId="3690" priority="152">
      <formula>AND(AA$9&gt;=14/24,AA$9&lt;20/24)</formula>
    </cfRule>
    <cfRule type="expression" dxfId="3689" priority="153">
      <formula>AND(AA$9&gt;=8/24,AA$9&lt;14/24)</formula>
    </cfRule>
    <cfRule type="expression" dxfId="3688" priority="154">
      <formula>AA$9&lt;8/24</formula>
    </cfRule>
  </conditionalFormatting>
  <conditionalFormatting sqref="B120">
    <cfRule type="expression" dxfId="3687" priority="27">
      <formula>B$9&gt;=20/24</formula>
    </cfRule>
    <cfRule type="expression" dxfId="3686" priority="28">
      <formula>AND(B$9&gt;=14/24,B$9&lt;20/24)</formula>
    </cfRule>
    <cfRule type="expression" dxfId="3685" priority="29">
      <formula>AND(B$9&gt;=8/24,B$9&lt;14/24)</formula>
    </cfRule>
    <cfRule type="expression" dxfId="3684" priority="30">
      <formula>B$9&lt;8/24</formula>
    </cfRule>
  </conditionalFormatting>
  <conditionalFormatting sqref="D120:AF120">
    <cfRule type="expression" dxfId="3683" priority="147">
      <formula>D$9&gt;=20/24</formula>
    </cfRule>
    <cfRule type="expression" dxfId="3682" priority="148">
      <formula>AND(D$9&gt;=14/24,D$9&lt;20/24)</formula>
    </cfRule>
    <cfRule type="expression" dxfId="3681" priority="149">
      <formula>AND(D$9&gt;=8/24,D$9&lt;14/24)</formula>
    </cfRule>
    <cfRule type="expression" dxfId="3680" priority="150">
      <formula>D$9&lt;8/24</formula>
    </cfRule>
  </conditionalFormatting>
  <conditionalFormatting sqref="C120">
    <cfRule type="expression" dxfId="3679" priority="143">
      <formula>C$9&gt;=20/24</formula>
    </cfRule>
    <cfRule type="expression" dxfId="3678" priority="144">
      <formula>AND(C$9&gt;=14/24,C$9&lt;20/24)</formula>
    </cfRule>
    <cfRule type="expression" dxfId="3677" priority="145">
      <formula>AND(C$9&gt;=8/24,C$9&lt;14/24)</formula>
    </cfRule>
    <cfRule type="expression" dxfId="3676" priority="146">
      <formula>C$9&lt;8/24</formula>
    </cfRule>
  </conditionalFormatting>
  <conditionalFormatting sqref="B111 B113:B119">
    <cfRule type="expression" dxfId="3675" priority="139">
      <formula>B$9&gt;=20/24</formula>
    </cfRule>
    <cfRule type="expression" dxfId="3674" priority="140">
      <formula>AND(B$9&gt;=14/24,B$9&lt;20/24)</formula>
    </cfRule>
    <cfRule type="expression" dxfId="3673" priority="141">
      <formula>AND(B$9&gt;=8/24,B$9&lt;14/24)</formula>
    </cfRule>
    <cfRule type="expression" dxfId="3672" priority="142">
      <formula>B$9&lt;8/24</formula>
    </cfRule>
  </conditionalFormatting>
  <conditionalFormatting sqref="B101">
    <cfRule type="expression" dxfId="3671" priority="135">
      <formula>B$9&gt;=20/24</formula>
    </cfRule>
    <cfRule type="expression" dxfId="3670" priority="136">
      <formula>AND(B$9&gt;=14/24,B$9&lt;20/24)</formula>
    </cfRule>
    <cfRule type="expression" dxfId="3669" priority="137">
      <formula>AND(B$9&gt;=8/24,B$9&lt;14/24)</formula>
    </cfRule>
    <cfRule type="expression" dxfId="3668" priority="138">
      <formula>B$9&lt;8/24</formula>
    </cfRule>
  </conditionalFormatting>
  <conditionalFormatting sqref="B73 B56:C59">
    <cfRule type="expression" dxfId="3667" priority="131">
      <formula>B$9&gt;=20/24</formula>
    </cfRule>
    <cfRule type="expression" dxfId="3666" priority="132">
      <formula>AND(B$9&gt;=14/24,B$9&lt;20/24)</formula>
    </cfRule>
    <cfRule type="expression" dxfId="3665" priority="133">
      <formula>AND(B$9&gt;=8/24,B$9&lt;14/24)</formula>
    </cfRule>
    <cfRule type="expression" dxfId="3664" priority="134">
      <formula>B$9&lt;8/24</formula>
    </cfRule>
  </conditionalFormatting>
  <conditionalFormatting sqref="B55:C55">
    <cfRule type="expression" dxfId="3663" priority="127">
      <formula>B$9&gt;=20/24</formula>
    </cfRule>
    <cfRule type="expression" dxfId="3662" priority="128">
      <formula>AND(B$9&gt;=14/24,B$9&lt;20/24)</formula>
    </cfRule>
    <cfRule type="expression" dxfId="3661" priority="129">
      <formula>AND(B$9&gt;=8/24,B$9&lt;14/24)</formula>
    </cfRule>
    <cfRule type="expression" dxfId="3660" priority="130">
      <formula>B$9&lt;8/24</formula>
    </cfRule>
  </conditionalFormatting>
  <conditionalFormatting sqref="B55:C59">
    <cfRule type="expression" dxfId="3659" priority="126">
      <formula>B55&gt;$AG55</formula>
    </cfRule>
  </conditionalFormatting>
  <conditionalFormatting sqref="B69:C71 B49:D49">
    <cfRule type="expression" dxfId="3658" priority="121">
      <formula>B49&gt;$AG49</formula>
    </cfRule>
  </conditionalFormatting>
  <conditionalFormatting sqref="B99 B90">
    <cfRule type="expression" dxfId="3657" priority="117">
      <formula>B$9&gt;=20/24</formula>
    </cfRule>
    <cfRule type="expression" dxfId="3656" priority="118">
      <formula>AND(B$9&gt;=14/24,B$9&lt;20/24)</formula>
    </cfRule>
    <cfRule type="expression" dxfId="3655" priority="119">
      <formula>AND(B$9&gt;=8/24,B$9&lt;14/24)</formula>
    </cfRule>
    <cfRule type="expression" dxfId="3654" priority="120">
      <formula>B$9&lt;8/24</formula>
    </cfRule>
  </conditionalFormatting>
  <conditionalFormatting sqref="B60:C60">
    <cfRule type="expression" dxfId="3653" priority="112">
      <formula>B60&gt;$AG60</formula>
    </cfRule>
  </conditionalFormatting>
  <conditionalFormatting sqref="B93:B97">
    <cfRule type="expression" dxfId="3652" priority="108">
      <formula>B$9&gt;=20/24</formula>
    </cfRule>
    <cfRule type="expression" dxfId="3651" priority="109">
      <formula>AND(B$9&gt;=14/24,B$9&lt;20/24)</formula>
    </cfRule>
    <cfRule type="expression" dxfId="3650" priority="110">
      <formula>AND(B$9&gt;=8/24,B$9&lt;14/24)</formula>
    </cfRule>
    <cfRule type="expression" dxfId="3649" priority="111">
      <formula>B$9&lt;8/24</formula>
    </cfRule>
  </conditionalFormatting>
  <conditionalFormatting sqref="B51:D53">
    <cfRule type="expression" dxfId="3648" priority="104">
      <formula>B$9&gt;=20/24</formula>
    </cfRule>
    <cfRule type="expression" dxfId="3647" priority="105">
      <formula>AND(B$9&gt;=14/24,B$9&lt;20/24)</formula>
    </cfRule>
    <cfRule type="expression" dxfId="3646" priority="106">
      <formula>AND(B$9&gt;=8/24,B$9&lt;14/24)</formula>
    </cfRule>
    <cfRule type="expression" dxfId="3645" priority="107">
      <formula>B$9&lt;8/24</formula>
    </cfRule>
  </conditionalFormatting>
  <conditionalFormatting sqref="B51:D53">
    <cfRule type="expression" dxfId="3644" priority="103">
      <formula>B51&gt;$AG51</formula>
    </cfRule>
  </conditionalFormatting>
  <conditionalFormatting sqref="B109">
    <cfRule type="expression" dxfId="3643" priority="99">
      <formula>B$9&gt;=20/24</formula>
    </cfRule>
    <cfRule type="expression" dxfId="3642" priority="100">
      <formula>AND(B$9&gt;=14/24,B$9&lt;20/24)</formula>
    </cfRule>
    <cfRule type="expression" dxfId="3641" priority="101">
      <formula>AND(B$9&gt;=8/24,B$9&lt;14/24)</formula>
    </cfRule>
    <cfRule type="expression" dxfId="3640" priority="102">
      <formula>B$9&lt;8/24</formula>
    </cfRule>
  </conditionalFormatting>
  <conditionalFormatting sqref="B112">
    <cfRule type="expression" dxfId="3639" priority="95">
      <formula>B$9&gt;=20/24</formula>
    </cfRule>
    <cfRule type="expression" dxfId="3638" priority="96">
      <formula>AND(B$9&gt;=14/24,B$9&lt;20/24)</formula>
    </cfRule>
    <cfRule type="expression" dxfId="3637" priority="97">
      <formula>AND(B$9&gt;=8/24,B$9&lt;14/24)</formula>
    </cfRule>
    <cfRule type="expression" dxfId="3636" priority="98">
      <formula>B$9&lt;8/24</formula>
    </cfRule>
  </conditionalFormatting>
  <conditionalFormatting sqref="B19:T30 U25:Y26 U28:Y30 B36:Z45 Z29:Z30 B32:Z34 B31:AF31">
    <cfRule type="expression" dxfId="3635" priority="91">
      <formula>B$9&gt;=20/24</formula>
    </cfRule>
    <cfRule type="expression" dxfId="3634" priority="92">
      <formula>AND(B$9&gt;=14/24,B$9&lt;20/24)</formula>
    </cfRule>
    <cfRule type="expression" dxfId="3633" priority="93">
      <formula>AND(B$9&gt;=8/24,B$9&lt;14/24)</formula>
    </cfRule>
    <cfRule type="expression" dxfId="3632" priority="94">
      <formula>B$9&lt;8/24</formula>
    </cfRule>
  </conditionalFormatting>
  <conditionalFormatting sqref="B19:T30 U25:Y26 U28:Y30 B36:Z45 Z29:Z30 B32:Z34 B31:AF31">
    <cfRule type="expression" dxfId="3631" priority="90">
      <formula>B19&gt;$AG19</formula>
    </cfRule>
  </conditionalFormatting>
  <conditionalFormatting sqref="B85:B87 B77:B83">
    <cfRule type="expression" dxfId="3630" priority="86">
      <formula>B$9&gt;=20/24</formula>
    </cfRule>
    <cfRule type="expression" dxfId="3629" priority="87">
      <formula>AND(B$9&gt;=14/24,B$9&lt;20/24)</formula>
    </cfRule>
    <cfRule type="expression" dxfId="3628" priority="88">
      <formula>AND(B$9&gt;=8/24,B$9&lt;14/24)</formula>
    </cfRule>
    <cfRule type="expression" dxfId="3627" priority="89">
      <formula>B$9&lt;8/24</formula>
    </cfRule>
  </conditionalFormatting>
  <conditionalFormatting sqref="B89 B91 B100 B72">
    <cfRule type="expression" dxfId="3626" priority="82">
      <formula>B$9&gt;=20/24</formula>
    </cfRule>
    <cfRule type="expression" dxfId="3625" priority="83">
      <formula>AND(B$9&gt;=14/24,B$9&lt;20/24)</formula>
    </cfRule>
    <cfRule type="expression" dxfId="3624" priority="84">
      <formula>AND(B$9&gt;=8/24,B$9&lt;14/24)</formula>
    </cfRule>
    <cfRule type="expression" dxfId="3623" priority="85">
      <formula>B$9&lt;8/24</formula>
    </cfRule>
  </conditionalFormatting>
  <conditionalFormatting sqref="B72 B67:C68">
    <cfRule type="expression" dxfId="3622" priority="81">
      <formula>B67&gt;$AG67</formula>
    </cfRule>
  </conditionalFormatting>
  <conditionalFormatting sqref="B84">
    <cfRule type="expression" dxfId="3621" priority="77">
      <formula>B$9&gt;=20/24</formula>
    </cfRule>
    <cfRule type="expression" dxfId="3620" priority="78">
      <formula>AND(B$9&gt;=14/24,B$9&lt;20/24)</formula>
    </cfRule>
    <cfRule type="expression" dxfId="3619" priority="79">
      <formula>AND(B$9&gt;=8/24,B$9&lt;14/24)</formula>
    </cfRule>
    <cfRule type="expression" dxfId="3618" priority="80">
      <formula>B$9&lt;8/24</formula>
    </cfRule>
  </conditionalFormatting>
  <conditionalFormatting sqref="B54:C54">
    <cfRule type="expression" dxfId="3617" priority="73">
      <formula>B$9&gt;=20/24</formula>
    </cfRule>
    <cfRule type="expression" dxfId="3616" priority="74">
      <formula>AND(B$9&gt;=14/24,B$9&lt;20/24)</formula>
    </cfRule>
    <cfRule type="expression" dxfId="3615" priority="75">
      <formula>AND(B$9&gt;=8/24,B$9&lt;14/24)</formula>
    </cfRule>
    <cfRule type="expression" dxfId="3614" priority="76">
      <formula>B$9&lt;8/24</formula>
    </cfRule>
  </conditionalFormatting>
  <conditionalFormatting sqref="B54:C54">
    <cfRule type="expression" dxfId="3613" priority="72">
      <formula>B54&gt;$AG54</formula>
    </cfRule>
  </conditionalFormatting>
  <conditionalFormatting sqref="B61:C66">
    <cfRule type="expression" dxfId="3612" priority="68">
      <formula>B$9&gt;=20/24</formula>
    </cfRule>
    <cfRule type="expression" dxfId="3611" priority="69">
      <formula>AND(B$9&gt;=14/24,B$9&lt;20/24)</formula>
    </cfRule>
    <cfRule type="expression" dxfId="3610" priority="70">
      <formula>AND(B$9&gt;=8/24,B$9&lt;14/24)</formula>
    </cfRule>
    <cfRule type="expression" dxfId="3609" priority="71">
      <formula>B$9&lt;8/24</formula>
    </cfRule>
  </conditionalFormatting>
  <conditionalFormatting sqref="B61:C66">
    <cfRule type="expression" dxfId="3608" priority="67">
      <formula>B61&gt;$AG61</formula>
    </cfRule>
  </conditionalFormatting>
  <conditionalFormatting sqref="B47:Z47">
    <cfRule type="expression" dxfId="3607" priority="66">
      <formula>B47&gt;$AG47</formula>
    </cfRule>
  </conditionalFormatting>
  <conditionalFormatting sqref="B13:T13">
    <cfRule type="expression" dxfId="3606" priority="62">
      <formula>B$9&gt;=20/24</formula>
    </cfRule>
    <cfRule type="expression" dxfId="3605" priority="63">
      <formula>AND(B$9&gt;=14/24,B$9&lt;20/24)</formula>
    </cfRule>
    <cfRule type="expression" dxfId="3604" priority="64">
      <formula>AND(B$9&gt;=8/24,B$9&lt;14/24)</formula>
    </cfRule>
    <cfRule type="expression" dxfId="3603" priority="65">
      <formula>B$9&lt;8/24</formula>
    </cfRule>
  </conditionalFormatting>
  <conditionalFormatting sqref="B13:T13">
    <cfRule type="expression" dxfId="3602" priority="61">
      <formula>B13&gt;$AG13</formula>
    </cfRule>
  </conditionalFormatting>
  <conditionalFormatting sqref="B47:Z47">
    <cfRule type="expression" dxfId="3601" priority="57">
      <formula>B$9&gt;=20/24</formula>
    </cfRule>
    <cfRule type="expression" dxfId="3600" priority="58">
      <formula>AND(B$9&gt;=14/24,B$9&lt;20/24)</formula>
    </cfRule>
    <cfRule type="expression" dxfId="3599" priority="59">
      <formula>AND(B$9&gt;=8/24,B$9&lt;14/24)</formula>
    </cfRule>
    <cfRule type="expression" dxfId="3598" priority="60">
      <formula>B$9&lt;8/24</formula>
    </cfRule>
  </conditionalFormatting>
  <conditionalFormatting sqref="B48:Z48">
    <cfRule type="expression" dxfId="3597" priority="53">
      <formula>B$9&gt;=20/24</formula>
    </cfRule>
    <cfRule type="expression" dxfId="3596" priority="54">
      <formula>AND(B$9&gt;=14/24,B$9&lt;20/24)</formula>
    </cfRule>
    <cfRule type="expression" dxfId="3595" priority="55">
      <formula>AND(B$9&gt;=8/24,B$9&lt;14/24)</formula>
    </cfRule>
    <cfRule type="expression" dxfId="3594" priority="56">
      <formula>B$9&lt;8/24</formula>
    </cfRule>
  </conditionalFormatting>
  <conditionalFormatting sqref="B48:Z48">
    <cfRule type="expression" dxfId="3593" priority="52">
      <formula>B48&gt;$AG48</formula>
    </cfRule>
  </conditionalFormatting>
  <conditionalFormatting sqref="B50:D50">
    <cfRule type="expression" dxfId="3592" priority="51">
      <formula>B50&gt;$AG50</formula>
    </cfRule>
  </conditionalFormatting>
  <conditionalFormatting sqref="B11:T11">
    <cfRule type="expression" dxfId="3591" priority="47">
      <formula>B$9&gt;=20/24</formula>
    </cfRule>
    <cfRule type="expression" dxfId="3590" priority="48">
      <formula>AND(B$9&gt;=14/24,B$9&lt;20/24)</formula>
    </cfRule>
    <cfRule type="expression" dxfId="3589" priority="49">
      <formula>AND(B$9&gt;=8/24,B$9&lt;14/24)</formula>
    </cfRule>
    <cfRule type="expression" dxfId="3588" priority="50">
      <formula>B$9&lt;8/24</formula>
    </cfRule>
  </conditionalFormatting>
  <conditionalFormatting sqref="B11:T11">
    <cfRule type="expression" dxfId="3587" priority="46">
      <formula>B11&gt;$AG11</formula>
    </cfRule>
  </conditionalFormatting>
  <conditionalFormatting sqref="B18:T18">
    <cfRule type="expression" dxfId="3586" priority="42">
      <formula>B$9&gt;=20/24</formula>
    </cfRule>
    <cfRule type="expression" dxfId="3585" priority="43">
      <formula>AND(B$9&gt;=14/24,B$9&lt;20/24)</formula>
    </cfRule>
    <cfRule type="expression" dxfId="3584" priority="44">
      <formula>AND(B$9&gt;=8/24,B$9&lt;14/24)</formula>
    </cfRule>
    <cfRule type="expression" dxfId="3583" priority="45">
      <formula>B$9&lt;8/24</formula>
    </cfRule>
  </conditionalFormatting>
  <conditionalFormatting sqref="B18:T18">
    <cfRule type="expression" dxfId="3582" priority="41">
      <formula>B18&gt;$AG18</formula>
    </cfRule>
  </conditionalFormatting>
  <conditionalFormatting sqref="B35:Z35">
    <cfRule type="expression" dxfId="3581" priority="37">
      <formula>B$9&gt;=20/24</formula>
    </cfRule>
    <cfRule type="expression" dxfId="3580" priority="38">
      <formula>AND(B$9&gt;=14/24,B$9&lt;20/24)</formula>
    </cfRule>
    <cfRule type="expression" dxfId="3579" priority="39">
      <formula>AND(B$9&gt;=8/24,B$9&lt;14/24)</formula>
    </cfRule>
    <cfRule type="expression" dxfId="3578" priority="40">
      <formula>B$9&lt;8/24</formula>
    </cfRule>
  </conditionalFormatting>
  <conditionalFormatting sqref="B35:Z35">
    <cfRule type="expression" dxfId="3577" priority="36">
      <formula>B35&gt;$AG35</formula>
    </cfRule>
  </conditionalFormatting>
  <conditionalFormatting sqref="B46:Z46">
    <cfRule type="expression" dxfId="3576" priority="35">
      <formula>B46&gt;$AG46</formula>
    </cfRule>
  </conditionalFormatting>
  <conditionalFormatting sqref="B46:Z46">
    <cfRule type="expression" dxfId="3575" priority="31">
      <formula>B$9&gt;=20/24</formula>
    </cfRule>
    <cfRule type="expression" dxfId="3574" priority="32">
      <formula>AND(B$9&gt;=14/24,B$9&lt;20/24)</formula>
    </cfRule>
    <cfRule type="expression" dxfId="3573" priority="33">
      <formula>AND(B$9&gt;=8/24,B$9&lt;14/24)</formula>
    </cfRule>
    <cfRule type="expression" dxfId="3572" priority="34">
      <formula>B$9&lt;8/24</formula>
    </cfRule>
  </conditionalFormatting>
  <conditionalFormatting sqref="AE55:AF60">
    <cfRule type="expression" dxfId="3571" priority="23">
      <formula>AE$9&gt;=20/24</formula>
    </cfRule>
    <cfRule type="expression" dxfId="3570" priority="24">
      <formula>AND(AE$9&gt;=14/24,AE$9&lt;20/24)</formula>
    </cfRule>
    <cfRule type="expression" dxfId="3569" priority="25">
      <formula>AND(AE$9&gt;=8/24,AE$9&lt;14/24)</formula>
    </cfRule>
    <cfRule type="expression" dxfId="3568" priority="26">
      <formula>AE$9&lt;8/24</formula>
    </cfRule>
  </conditionalFormatting>
  <conditionalFormatting sqref="AE55:AF60">
    <cfRule type="expression" dxfId="3567" priority="22">
      <formula>AE55&gt;$AG55</formula>
    </cfRule>
  </conditionalFormatting>
  <conditionalFormatting sqref="AE61:AF66">
    <cfRule type="expression" dxfId="3566" priority="18">
      <formula>AE$9&gt;=20/24</formula>
    </cfRule>
    <cfRule type="expression" dxfId="3565" priority="19">
      <formula>AND(AE$9&gt;=14/24,AE$9&lt;20/24)</formula>
    </cfRule>
    <cfRule type="expression" dxfId="3564" priority="20">
      <formula>AND(AE$9&gt;=8/24,AE$9&lt;14/24)</formula>
    </cfRule>
    <cfRule type="expression" dxfId="3563" priority="21">
      <formula>AE$9&lt;8/24</formula>
    </cfRule>
  </conditionalFormatting>
  <conditionalFormatting sqref="AE61:AF66">
    <cfRule type="expression" dxfId="3562" priority="17">
      <formula>AE61&gt;$AG61</formula>
    </cfRule>
  </conditionalFormatting>
  <conditionalFormatting sqref="AE73">
    <cfRule type="expression" dxfId="3561" priority="13">
      <formula>AE$9&gt;=20/24</formula>
    </cfRule>
    <cfRule type="expression" dxfId="3560" priority="14">
      <formula>AND(AE$9&gt;=14/24,AE$9&lt;20/24)</formula>
    </cfRule>
    <cfRule type="expression" dxfId="3559" priority="15">
      <formula>AND(AE$9&gt;=8/24,AE$9&lt;14/24)</formula>
    </cfRule>
    <cfRule type="expression" dxfId="3558" priority="16">
      <formula>AE$9&lt;8/24</formula>
    </cfRule>
  </conditionalFormatting>
  <conditionalFormatting sqref="AE74:AE75">
    <cfRule type="expression" dxfId="3557" priority="9">
      <formula>AE$9&gt;=20/24</formula>
    </cfRule>
    <cfRule type="expression" dxfId="3556" priority="10">
      <formula>AND(AE$9&gt;=14/24,AE$9&lt;20/24)</formula>
    </cfRule>
    <cfRule type="expression" dxfId="3555" priority="11">
      <formula>AND(AE$9&gt;=8/24,AE$9&lt;14/24)</formula>
    </cfRule>
    <cfRule type="expression" dxfId="3554" priority="12">
      <formula>AE$9&lt;8/24</formula>
    </cfRule>
  </conditionalFormatting>
  <conditionalFormatting sqref="AE76:AF78">
    <cfRule type="expression" dxfId="3553" priority="5">
      <formula>AE$9&gt;=20/24</formula>
    </cfRule>
    <cfRule type="expression" dxfId="3552" priority="6">
      <formula>AND(AE$9&gt;=14/24,AE$9&lt;20/24)</formula>
    </cfRule>
    <cfRule type="expression" dxfId="3551" priority="7">
      <formula>AND(AE$9&gt;=8/24,AE$9&lt;14/24)</formula>
    </cfRule>
    <cfRule type="expression" dxfId="3550" priority="8">
      <formula>AE$9&lt;8/24</formula>
    </cfRule>
  </conditionalFormatting>
  <conditionalFormatting sqref="AE79:AF83">
    <cfRule type="expression" dxfId="3549" priority="1">
      <formula>AE$9&gt;=20/24</formula>
    </cfRule>
    <cfRule type="expression" dxfId="3548" priority="2">
      <formula>AND(AE$9&gt;=14/24,AE$9&lt;20/24)</formula>
    </cfRule>
    <cfRule type="expression" dxfId="3547" priority="3">
      <formula>AND(AE$9&gt;=8/24,AE$9&lt;14/24)</formula>
    </cfRule>
    <cfRule type="expression" dxfId="3546" priority="4">
      <formula>AE$9&lt;8/24</formula>
    </cfRule>
  </conditionalFormatting>
  <pageMargins left="0.7" right="0.7" top="0.75" bottom="0.75" header="0.3" footer="0.3"/>
  <drawing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F945-A12F-447B-92BD-A755178ED296}">
  <dimension ref="A1:CJ281"/>
  <sheetViews>
    <sheetView workbookViewId="0">
      <pane xSplit="1" ySplit="10" topLeftCell="B85" activePane="bottomRight" state="frozen"/>
      <selection activeCell="AF103" sqref="AF103"/>
      <selection pane="topRight" activeCell="AF103" sqref="AF103"/>
      <selection pane="bottomLeft" activeCell="AF103" sqref="AF103"/>
      <selection pane="bottomRight" activeCell="B98" sqref="B9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1" t="s">
        <v>1</v>
      </c>
      <c r="AH1" s="181"/>
      <c r="AI1" s="181"/>
      <c r="AL1" s="2"/>
    </row>
    <row r="2" spans="1:88" ht="20.25" x14ac:dyDescent="0.25">
      <c r="A2" s="3"/>
      <c r="B2" s="182" t="s">
        <v>2</v>
      </c>
      <c r="C2" s="4"/>
      <c r="D2" s="184" t="s">
        <v>3</v>
      </c>
      <c r="E2" s="4"/>
      <c r="F2" s="184" t="s">
        <v>4</v>
      </c>
      <c r="G2" s="4"/>
      <c r="H2" s="184" t="s">
        <v>5</v>
      </c>
      <c r="I2" s="5"/>
      <c r="J2" s="186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AG50</f>
        <v>922.14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183"/>
      <c r="C3" s="16"/>
      <c r="D3" s="185"/>
      <c r="E3" s="16"/>
      <c r="F3" s="185"/>
      <c r="G3" s="16"/>
      <c r="H3" s="185"/>
      <c r="I3" s="17"/>
      <c r="J3" s="186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187" t="e">
        <f ca="1">"2080/"&amp;"03/"&amp;INT(MID(CELL("filename",D6),FIND("]",CELL("filename",D6))+1,200))</f>
        <v>#VALUE!</v>
      </c>
      <c r="C4" s="187"/>
      <c r="D4" s="187"/>
      <c r="E4" s="188" t="e">
        <f ca="1">"2079/"&amp;"12/"&amp;INT(MID(CELL("filename",G6),FIND("]",CELL("filename",G6))+1,200))</f>
        <v>#VALUE!</v>
      </c>
      <c r="F4" s="188"/>
      <c r="G4" s="188"/>
      <c r="H4" s="188" t="e">
        <f ca="1">TEXT(E4,"dddd")</f>
        <v>#VALUE!</v>
      </c>
      <c r="I4" s="188"/>
      <c r="J4" s="26"/>
      <c r="K4" s="1" t="str">
        <f>"Total Peak Supply(Inclusive of Export) ("&amp;ROUND(B252,0)&amp;" MW)"&amp;"    IPP   = "&amp;ROUND(B247,0)&amp;" MW     NEA RoR = "&amp;ROUND(B248,0)&amp;" MWImport   = "&amp;ROUND(B250,0)&amp;" MW      KL1+KL2+K3 = "&amp;ROUND(B249,0) &amp;" MW    EXPORT = "&amp;ROUND(B251,0)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AG72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C84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B84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"&amp;ROUND(B252,0)&amp;"MW at "&amp;TRUNC(B253*24,0)&amp;":"&amp;ROUND((B253*24-TRUNC(B253*24,0))*60,0)&amp;"hr at "&amp;ROUND(B254,1)&amp;"Hz     "&amp;A244&amp;" "&amp;ROUND(B244,0)&amp;"MW at "&amp;TRUNC(C244*24,0)&amp;":"&amp;ROUND((C244*24-TRUNC(C244*24,0))*6,0)&amp;"0hr"</f>
        <v>Evening Peak 0MW at 0:0hr at 0Hz     Morning Peak 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1518.05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B91</f>
        <v>303.54000000000002</v>
      </c>
      <c r="C7" s="35">
        <f t="shared" si="1"/>
        <v>3.54</v>
      </c>
      <c r="D7" s="35">
        <f t="shared" si="1"/>
        <v>3.54</v>
      </c>
      <c r="E7" s="35">
        <f t="shared" si="1"/>
        <v>3.54</v>
      </c>
      <c r="F7" s="35">
        <f t="shared" si="1"/>
        <v>3.54</v>
      </c>
      <c r="G7" s="35">
        <f t="shared" si="1"/>
        <v>3.54</v>
      </c>
      <c r="H7" s="35">
        <f t="shared" si="1"/>
        <v>3.54</v>
      </c>
      <c r="I7" s="35">
        <f t="shared" si="1"/>
        <v>3.54</v>
      </c>
      <c r="J7" s="35">
        <f t="shared" si="1"/>
        <v>3.54</v>
      </c>
      <c r="K7" s="35">
        <f t="shared" si="1"/>
        <v>3.54</v>
      </c>
      <c r="L7" s="35">
        <f t="shared" si="1"/>
        <v>3.54</v>
      </c>
      <c r="M7" s="35">
        <f t="shared" si="1"/>
        <v>3.54</v>
      </c>
      <c r="N7" s="35">
        <f>N91</f>
        <v>3.54</v>
      </c>
      <c r="O7" s="35">
        <f t="shared" si="1"/>
        <v>3.54</v>
      </c>
      <c r="P7" s="35">
        <f t="shared" si="1"/>
        <v>3.54</v>
      </c>
      <c r="Q7" s="35">
        <f t="shared" si="1"/>
        <v>3.54</v>
      </c>
      <c r="R7" s="35">
        <f t="shared" si="1"/>
        <v>3.54</v>
      </c>
      <c r="S7" s="35">
        <f t="shared" si="1"/>
        <v>3.54</v>
      </c>
      <c r="T7" s="35">
        <f t="shared" si="1"/>
        <v>3.54</v>
      </c>
      <c r="U7" s="35">
        <f t="shared" si="1"/>
        <v>3.54</v>
      </c>
      <c r="V7" s="35">
        <f t="shared" si="1"/>
        <v>3.54</v>
      </c>
      <c r="W7" s="35">
        <f t="shared" si="1"/>
        <v>3.54</v>
      </c>
      <c r="X7" s="35">
        <f t="shared" si="1"/>
        <v>3.54</v>
      </c>
      <c r="Y7" s="35">
        <f t="shared" si="1"/>
        <v>3.54</v>
      </c>
      <c r="Z7" s="35">
        <f t="shared" si="1"/>
        <v>3.54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189" t="s">
        <v>14</v>
      </c>
      <c r="C8" s="190"/>
      <c r="D8" s="190"/>
      <c r="E8" s="190"/>
      <c r="F8" s="190"/>
      <c r="G8" s="190"/>
      <c r="H8" s="190"/>
      <c r="I8" s="190"/>
      <c r="J8" s="190"/>
      <c r="K8" s="190"/>
      <c r="L8" s="191"/>
      <c r="M8" s="192" t="s">
        <v>15</v>
      </c>
      <c r="N8" s="193"/>
      <c r="O8" s="193"/>
      <c r="P8" s="193"/>
      <c r="Q8" s="193"/>
      <c r="R8" s="194"/>
      <c r="S8" s="192" t="s">
        <v>16</v>
      </c>
      <c r="T8" s="193"/>
      <c r="U8" s="193"/>
      <c r="V8" s="193"/>
      <c r="W8" s="193"/>
      <c r="X8" s="193"/>
      <c r="Y8" s="193"/>
      <c r="Z8" s="193"/>
      <c r="AA8" s="194"/>
      <c r="AB8" s="192" t="s">
        <v>17</v>
      </c>
      <c r="AC8" s="193"/>
      <c r="AD8" s="193"/>
      <c r="AE8" s="193"/>
      <c r="AF8" s="194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195" t="s">
        <v>18</v>
      </c>
      <c r="B9" s="197">
        <v>0</v>
      </c>
      <c r="C9" s="197">
        <v>4.1666666666666664E-2</v>
      </c>
      <c r="D9" s="197">
        <v>8.3333333333333301E-2</v>
      </c>
      <c r="E9" s="197">
        <v>0.125</v>
      </c>
      <c r="F9" s="197">
        <v>0.16666666666666699</v>
      </c>
      <c r="G9" s="197">
        <v>0.20833333333333301</v>
      </c>
      <c r="H9" s="197">
        <v>0.22916666666666666</v>
      </c>
      <c r="I9" s="197">
        <v>0.25</v>
      </c>
      <c r="J9" s="197">
        <v>0.27083333333333331</v>
      </c>
      <c r="K9" s="197">
        <v>0.29166666666666669</v>
      </c>
      <c r="L9" s="197">
        <v>0.3125</v>
      </c>
      <c r="M9" s="199">
        <v>0.33333333333333331</v>
      </c>
      <c r="N9" s="199">
        <v>0.375</v>
      </c>
      <c r="O9" s="199">
        <v>0.41666666666666702</v>
      </c>
      <c r="P9" s="199">
        <v>0.45833333333333298</v>
      </c>
      <c r="Q9" s="199">
        <v>0.5</v>
      </c>
      <c r="R9" s="199">
        <v>0.54166666666666696</v>
      </c>
      <c r="S9" s="201">
        <v>0.58333333333333304</v>
      </c>
      <c r="T9" s="201">
        <v>0.625</v>
      </c>
      <c r="U9" s="201">
        <v>0.66666666666666696</v>
      </c>
      <c r="V9" s="201">
        <v>0.70833333333333304</v>
      </c>
      <c r="W9" s="201">
        <v>0.72916666666666663</v>
      </c>
      <c r="X9" s="201">
        <v>0.75</v>
      </c>
      <c r="Y9" s="201">
        <v>0.77083333333333337</v>
      </c>
      <c r="Z9" s="201">
        <v>0.79166666666666663</v>
      </c>
      <c r="AA9" s="201">
        <v>0.8125</v>
      </c>
      <c r="AB9" s="201">
        <v>0.83333333333333337</v>
      </c>
      <c r="AC9" s="201">
        <v>0.85416666666666663</v>
      </c>
      <c r="AD9" s="201">
        <v>0.875</v>
      </c>
      <c r="AE9" s="201">
        <v>0.91666666666666696</v>
      </c>
      <c r="AF9" s="201">
        <v>0.95833333333333304</v>
      </c>
      <c r="AG9" s="205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196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200"/>
      <c r="N10" s="200"/>
      <c r="O10" s="200"/>
      <c r="P10" s="200"/>
      <c r="Q10" s="200"/>
      <c r="R10" s="200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206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>
        <v>86</v>
      </c>
      <c r="AH11" s="47">
        <f t="shared" ref="AH11:AH76" si="2">MAX(B11:AF11)</f>
        <v>0</v>
      </c>
      <c r="AI11" s="48">
        <f t="shared" ref="AI11:AI76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21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9">
        <v>54</v>
      </c>
      <c r="AH12" s="47">
        <f t="shared" si="2"/>
        <v>0</v>
      </c>
      <c r="AI12" s="48">
        <f t="shared" si="3"/>
        <v>0</v>
      </c>
      <c r="AK12" s="74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23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6">
        <v>52.4</v>
      </c>
      <c r="AH13" s="47">
        <f t="shared" si="2"/>
        <v>0</v>
      </c>
      <c r="AI13" s="48">
        <f t="shared" si="3"/>
        <v>0</v>
      </c>
      <c r="AK13" s="74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24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45"/>
      <c r="AA14" s="45"/>
      <c r="AB14" s="45"/>
      <c r="AC14" s="45"/>
      <c r="AD14" s="45"/>
      <c r="AE14" s="45"/>
      <c r="AF14" s="45"/>
      <c r="AG14" s="49">
        <v>50</v>
      </c>
      <c r="AH14" s="47">
        <f t="shared" si="2"/>
        <v>0</v>
      </c>
      <c r="AI14" s="48">
        <f t="shared" si="3"/>
        <v>0</v>
      </c>
      <c r="AK14" s="74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26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9">
        <v>45</v>
      </c>
      <c r="AH15" s="47">
        <f t="shared" si="2"/>
        <v>0</v>
      </c>
      <c r="AI15" s="48">
        <f t="shared" si="3"/>
        <v>0</v>
      </c>
      <c r="AK15" s="74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9">
        <v>44</v>
      </c>
      <c r="AH16" s="47">
        <f>MAX(B16:AG16)</f>
        <v>44</v>
      </c>
      <c r="AI16" s="48">
        <f>MIN(B16:AG16)</f>
        <v>44</v>
      </c>
      <c r="AK16" s="74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30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9">
        <v>42</v>
      </c>
      <c r="AH17" s="47">
        <f t="shared" si="2"/>
        <v>0</v>
      </c>
      <c r="AI17" s="48">
        <f t="shared" si="3"/>
        <v>0</v>
      </c>
      <c r="AK17" s="74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31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9">
        <v>38.46</v>
      </c>
      <c r="AH18" s="47">
        <f t="shared" si="2"/>
        <v>0</v>
      </c>
      <c r="AI18" s="48">
        <f t="shared" si="3"/>
        <v>0</v>
      </c>
      <c r="AK18" s="74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32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9">
        <v>36</v>
      </c>
      <c r="AH19" s="47">
        <f t="shared" si="2"/>
        <v>0</v>
      </c>
      <c r="AI19" s="48">
        <f t="shared" si="3"/>
        <v>0</v>
      </c>
      <c r="AK19" s="74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33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51">
        <v>30</v>
      </c>
      <c r="AH20" s="47">
        <f t="shared" si="2"/>
        <v>0</v>
      </c>
      <c r="AI20" s="48">
        <f t="shared" si="3"/>
        <v>0</v>
      </c>
      <c r="AK20" s="74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34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9">
        <v>24.2</v>
      </c>
      <c r="AH21" s="47">
        <f t="shared" si="2"/>
        <v>0</v>
      </c>
      <c r="AI21" s="48">
        <f t="shared" si="3"/>
        <v>0</v>
      </c>
      <c r="AK21" s="74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35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9">
        <v>28</v>
      </c>
      <c r="AH22" s="47">
        <f t="shared" si="2"/>
        <v>0</v>
      </c>
      <c r="AI22" s="48">
        <f t="shared" si="3"/>
        <v>0</v>
      </c>
      <c r="AK22" s="74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37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51">
        <v>30</v>
      </c>
      <c r="AH23" s="47">
        <f t="shared" si="2"/>
        <v>0</v>
      </c>
      <c r="AI23" s="48">
        <f t="shared" si="3"/>
        <v>0</v>
      </c>
      <c r="AK23" s="74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39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9">
        <v>25</v>
      </c>
      <c r="AH24" s="47">
        <f t="shared" si="2"/>
        <v>0</v>
      </c>
      <c r="AI24" s="48">
        <f t="shared" si="3"/>
        <v>0</v>
      </c>
      <c r="AK24" s="74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41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9">
        <v>25</v>
      </c>
      <c r="AH25" s="47">
        <f t="shared" si="2"/>
        <v>0</v>
      </c>
      <c r="AI25" s="48">
        <f t="shared" si="3"/>
        <v>0</v>
      </c>
      <c r="AK25" s="74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42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9">
        <v>25</v>
      </c>
      <c r="AH26" s="47">
        <f t="shared" si="2"/>
        <v>0</v>
      </c>
      <c r="AI26" s="48">
        <f t="shared" si="3"/>
        <v>0</v>
      </c>
      <c r="AK26" s="74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43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9">
        <v>25</v>
      </c>
      <c r="AH27" s="47">
        <f t="shared" si="2"/>
        <v>0</v>
      </c>
      <c r="AI27" s="48">
        <f t="shared" si="3"/>
        <v>0</v>
      </c>
      <c r="AK27" s="74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44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9">
        <v>23.5</v>
      </c>
      <c r="AH28" s="47">
        <f t="shared" si="2"/>
        <v>0</v>
      </c>
      <c r="AI28" s="48">
        <f t="shared" si="3"/>
        <v>0</v>
      </c>
      <c r="AK28" s="74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45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9">
        <v>22.2</v>
      </c>
      <c r="AH29" s="47">
        <f t="shared" si="2"/>
        <v>0</v>
      </c>
      <c r="AI29" s="48">
        <f t="shared" si="3"/>
        <v>0</v>
      </c>
      <c r="AK29" s="74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46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9">
        <v>22.1</v>
      </c>
      <c r="AH30" s="47">
        <f t="shared" si="2"/>
        <v>0</v>
      </c>
      <c r="AI30" s="48">
        <f t="shared" si="3"/>
        <v>0</v>
      </c>
      <c r="AK30" s="74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47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9">
        <v>22</v>
      </c>
      <c r="AH31" s="47">
        <f t="shared" si="2"/>
        <v>0</v>
      </c>
      <c r="AI31" s="48">
        <f t="shared" si="3"/>
        <v>0</v>
      </c>
      <c r="AK31" s="74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48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9">
        <v>22</v>
      </c>
      <c r="AH32" s="47">
        <f t="shared" si="2"/>
        <v>0</v>
      </c>
      <c r="AI32" s="48">
        <f t="shared" si="3"/>
        <v>0</v>
      </c>
      <c r="AK32" s="74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49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9">
        <v>20</v>
      </c>
      <c r="AH33" s="47">
        <f t="shared" si="2"/>
        <v>0</v>
      </c>
      <c r="AI33" s="48">
        <f t="shared" si="3"/>
        <v>0</v>
      </c>
      <c r="AK33" s="74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50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9">
        <v>18</v>
      </c>
      <c r="AH34" s="47">
        <f t="shared" si="2"/>
        <v>0</v>
      </c>
      <c r="AI34" s="48">
        <f t="shared" si="3"/>
        <v>0</v>
      </c>
      <c r="AK34" s="74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51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9">
        <v>14.9</v>
      </c>
      <c r="AH35" s="47">
        <f t="shared" si="2"/>
        <v>0</v>
      </c>
      <c r="AI35" s="48">
        <f t="shared" si="3"/>
        <v>0</v>
      </c>
      <c r="AK35" s="74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52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9">
        <v>14.9</v>
      </c>
      <c r="AH36" s="47">
        <f t="shared" si="2"/>
        <v>0</v>
      </c>
      <c r="AI36" s="48">
        <f t="shared" si="3"/>
        <v>0</v>
      </c>
      <c r="AK36" s="74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44" t="s">
        <v>53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9">
        <v>13.6</v>
      </c>
      <c r="AH37" s="47">
        <f t="shared" si="2"/>
        <v>0</v>
      </c>
      <c r="AI37" s="48">
        <f t="shared" si="3"/>
        <v>0</v>
      </c>
      <c r="AK37" s="74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44" t="s">
        <v>54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9">
        <v>13</v>
      </c>
      <c r="AH38" s="47">
        <f t="shared" si="2"/>
        <v>0</v>
      </c>
      <c r="AI38" s="48">
        <f t="shared" si="3"/>
        <v>0</v>
      </c>
      <c r="AK38" s="74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x14ac:dyDescent="0.25">
      <c r="A39" s="44" t="s">
        <v>55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9">
        <v>12</v>
      </c>
      <c r="AH39" s="47">
        <f t="shared" si="2"/>
        <v>0</v>
      </c>
      <c r="AI39" s="48">
        <f t="shared" si="3"/>
        <v>0</v>
      </c>
      <c r="AK39" s="74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44" t="s">
        <v>56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9">
        <v>12</v>
      </c>
      <c r="AH40" s="47">
        <f t="shared" si="2"/>
        <v>0</v>
      </c>
      <c r="AI40" s="48">
        <f t="shared" si="3"/>
        <v>0</v>
      </c>
      <c r="AK40" s="74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44" t="s">
        <v>57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9">
        <v>12</v>
      </c>
      <c r="AH41" s="47">
        <f t="shared" si="2"/>
        <v>0</v>
      </c>
      <c r="AI41" s="48">
        <f t="shared" si="3"/>
        <v>0</v>
      </c>
      <c r="AK41" s="74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4.25" customHeight="1" x14ac:dyDescent="0.25">
      <c r="A42" s="44" t="s">
        <v>58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52">
        <v>22</v>
      </c>
      <c r="AH42" s="47">
        <f t="shared" si="2"/>
        <v>0</v>
      </c>
      <c r="AI42" s="48">
        <f t="shared" si="3"/>
        <v>0</v>
      </c>
      <c r="AK42" s="74"/>
      <c r="AL42" s="28"/>
      <c r="AM42" s="24"/>
      <c r="AN42" s="24"/>
      <c r="AO42" s="24"/>
      <c r="AP42" s="24"/>
      <c r="AQ42" s="15"/>
      <c r="AR42" s="21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 ht="14.25" customHeight="1" x14ac:dyDescent="0.25">
      <c r="A43" s="44" t="s">
        <v>59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51">
        <v>11.88</v>
      </c>
      <c r="AH43" s="47">
        <f t="shared" si="2"/>
        <v>0</v>
      </c>
      <c r="AI43" s="48">
        <f t="shared" si="3"/>
        <v>0</v>
      </c>
      <c r="AK43" s="74"/>
      <c r="AL43" s="28"/>
      <c r="AM43" s="24"/>
      <c r="AN43" s="24"/>
      <c r="AO43" s="24"/>
      <c r="AP43" s="24"/>
      <c r="AQ43" s="15"/>
      <c r="AR43" s="21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 ht="14.25" customHeight="1" x14ac:dyDescent="0.25">
      <c r="A44" s="53" t="s">
        <v>60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54">
        <v>11</v>
      </c>
      <c r="AH44" s="47">
        <f t="shared" si="2"/>
        <v>0</v>
      </c>
      <c r="AI44" s="48">
        <f t="shared" si="3"/>
        <v>0</v>
      </c>
      <c r="AK44" s="74"/>
      <c r="AL44" s="28"/>
      <c r="AM44" s="24"/>
      <c r="AN44" s="24"/>
      <c r="AO44" s="24"/>
      <c r="AP44" s="24"/>
      <c r="AQ44" s="15"/>
      <c r="AR44" s="21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 ht="14.25" customHeight="1" x14ac:dyDescent="0.25">
      <c r="A45" s="53" t="s">
        <v>61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54">
        <v>10</v>
      </c>
      <c r="AH45" s="47">
        <f t="shared" si="2"/>
        <v>0</v>
      </c>
      <c r="AI45" s="48">
        <f t="shared" si="3"/>
        <v>0</v>
      </c>
      <c r="AK45" s="74"/>
      <c r="AL45" s="28"/>
      <c r="AM45" s="24"/>
      <c r="AN45" s="24"/>
      <c r="AO45" s="24"/>
      <c r="AP45" s="24"/>
      <c r="AQ45" s="15"/>
      <c r="AR45" s="21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 x14ac:dyDescent="0.25">
      <c r="A46" s="53" t="s">
        <v>62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54">
        <v>10</v>
      </c>
      <c r="AH46" s="47">
        <f t="shared" si="2"/>
        <v>0</v>
      </c>
      <c r="AI46" s="48">
        <f t="shared" si="3"/>
        <v>0</v>
      </c>
      <c r="AK46" s="74"/>
      <c r="AL46" s="28"/>
      <c r="AO46" s="24"/>
      <c r="AP46" s="24"/>
      <c r="AQ46" s="15"/>
      <c r="AR46" s="21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 x14ac:dyDescent="0.25">
      <c r="A47" s="53" t="s">
        <v>63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54">
        <v>10</v>
      </c>
      <c r="AH47" s="47">
        <f t="shared" si="2"/>
        <v>0</v>
      </c>
      <c r="AI47" s="48">
        <f t="shared" si="3"/>
        <v>0</v>
      </c>
      <c r="AK47" s="74"/>
      <c r="AL47" s="28"/>
      <c r="AO47" s="24"/>
      <c r="AP47" s="24"/>
      <c r="AQ47" s="15"/>
      <c r="AR47" s="21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 x14ac:dyDescent="0.25">
      <c r="A48" s="55" t="s">
        <v>64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4">
        <v>85</v>
      </c>
      <c r="AH48" s="47">
        <f t="shared" si="2"/>
        <v>0</v>
      </c>
      <c r="AI48" s="48">
        <f t="shared" si="3"/>
        <v>0</v>
      </c>
      <c r="AK48" s="74"/>
    </row>
    <row r="49" spans="1:41" ht="15.75" thickBot="1" x14ac:dyDescent="0.3">
      <c r="A49" s="57" t="s">
        <v>65</v>
      </c>
      <c r="B49" s="56"/>
      <c r="C49" s="56"/>
      <c r="D49" s="56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6"/>
      <c r="Y49" s="56"/>
      <c r="Z49" s="56"/>
      <c r="AA49" s="56"/>
      <c r="AB49" s="56"/>
      <c r="AC49" s="56"/>
      <c r="AD49" s="56"/>
      <c r="AE49" s="56"/>
      <c r="AF49" s="56"/>
      <c r="AG49" s="54">
        <v>240</v>
      </c>
      <c r="AH49" s="47">
        <f t="shared" si="2"/>
        <v>0</v>
      </c>
      <c r="AI49" s="48">
        <f t="shared" si="3"/>
        <v>0</v>
      </c>
      <c r="AK49" s="74"/>
    </row>
    <row r="50" spans="1:41" ht="15.75" thickBot="1" x14ac:dyDescent="0.3">
      <c r="A50" s="58" t="s">
        <v>66</v>
      </c>
      <c r="B50" s="59">
        <f t="shared" ref="B50:AF50" si="4">SUM(B11:B48)</f>
        <v>0</v>
      </c>
      <c r="C50" s="59">
        <f t="shared" si="4"/>
        <v>0</v>
      </c>
      <c r="D50" s="59">
        <f t="shared" si="4"/>
        <v>0</v>
      </c>
      <c r="E50" s="59">
        <f t="shared" si="4"/>
        <v>0</v>
      </c>
      <c r="F50" s="59">
        <f t="shared" si="4"/>
        <v>0</v>
      </c>
      <c r="G50" s="59">
        <f t="shared" si="4"/>
        <v>0</v>
      </c>
      <c r="H50" s="59">
        <f t="shared" si="4"/>
        <v>0</v>
      </c>
      <c r="I50" s="59">
        <f t="shared" si="4"/>
        <v>0</v>
      </c>
      <c r="J50" s="59">
        <f t="shared" si="4"/>
        <v>0</v>
      </c>
      <c r="K50" s="59">
        <f t="shared" si="4"/>
        <v>0</v>
      </c>
      <c r="L50" s="59">
        <f t="shared" si="4"/>
        <v>0</v>
      </c>
      <c r="M50" s="59">
        <f t="shared" si="4"/>
        <v>0</v>
      </c>
      <c r="N50" s="59">
        <f t="shared" si="4"/>
        <v>0</v>
      </c>
      <c r="O50" s="59">
        <f t="shared" si="4"/>
        <v>0</v>
      </c>
      <c r="P50" s="59">
        <f t="shared" si="4"/>
        <v>0</v>
      </c>
      <c r="Q50" s="59">
        <f t="shared" si="4"/>
        <v>0</v>
      </c>
      <c r="R50" s="59">
        <f t="shared" si="4"/>
        <v>0</v>
      </c>
      <c r="S50" s="59">
        <f t="shared" si="4"/>
        <v>0</v>
      </c>
      <c r="T50" s="59">
        <f t="shared" si="4"/>
        <v>0</v>
      </c>
      <c r="U50" s="59">
        <f t="shared" si="4"/>
        <v>0</v>
      </c>
      <c r="V50" s="59">
        <f t="shared" si="4"/>
        <v>0</v>
      </c>
      <c r="W50" s="59">
        <f t="shared" si="4"/>
        <v>0</v>
      </c>
      <c r="X50" s="59">
        <f t="shared" si="4"/>
        <v>0</v>
      </c>
      <c r="Y50" s="59">
        <f t="shared" si="4"/>
        <v>0</v>
      </c>
      <c r="Z50" s="59">
        <f t="shared" si="4"/>
        <v>0</v>
      </c>
      <c r="AA50" s="59">
        <f t="shared" si="4"/>
        <v>0</v>
      </c>
      <c r="AB50" s="59">
        <f t="shared" si="4"/>
        <v>0</v>
      </c>
      <c r="AC50" s="59">
        <f t="shared" si="4"/>
        <v>0</v>
      </c>
      <c r="AD50" s="59">
        <f t="shared" si="4"/>
        <v>0</v>
      </c>
      <c r="AE50" s="59">
        <f t="shared" si="4"/>
        <v>0</v>
      </c>
      <c r="AF50" s="59">
        <f t="shared" si="4"/>
        <v>0</v>
      </c>
      <c r="AG50" s="60">
        <f>SUM(AG13:AG48)</f>
        <v>922.14</v>
      </c>
      <c r="AH50" s="47">
        <f t="shared" si="2"/>
        <v>0</v>
      </c>
      <c r="AI50" s="48">
        <f t="shared" si="3"/>
        <v>0</v>
      </c>
      <c r="AK50" s="74"/>
    </row>
    <row r="51" spans="1:41" x14ac:dyDescent="0.25">
      <c r="A51" s="61" t="s">
        <v>67</v>
      </c>
      <c r="B51" s="45">
        <v>300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62"/>
      <c r="O51" s="62"/>
      <c r="P51" s="62"/>
      <c r="Q51" s="62"/>
      <c r="R51" s="62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51">
        <v>456</v>
      </c>
      <c r="AH51" s="47">
        <f t="shared" si="2"/>
        <v>300</v>
      </c>
      <c r="AI51" s="48">
        <f t="shared" si="3"/>
        <v>300</v>
      </c>
      <c r="AK51" s="74"/>
    </row>
    <row r="52" spans="1:41" x14ac:dyDescent="0.25">
      <c r="A52" s="63" t="s">
        <v>68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54">
        <v>60</v>
      </c>
      <c r="AH52" s="47">
        <f t="shared" si="2"/>
        <v>0</v>
      </c>
      <c r="AI52" s="48">
        <f t="shared" si="3"/>
        <v>0</v>
      </c>
      <c r="AK52" s="74"/>
    </row>
    <row r="53" spans="1:41" ht="15.75" thickBot="1" x14ac:dyDescent="0.3">
      <c r="A53" s="65" t="s">
        <v>69</v>
      </c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7">
        <v>22.1</v>
      </c>
      <c r="AH53" s="47">
        <f t="shared" si="2"/>
        <v>0</v>
      </c>
      <c r="AI53" s="48">
        <f t="shared" si="3"/>
        <v>0</v>
      </c>
      <c r="AK53" s="74"/>
    </row>
    <row r="54" spans="1:41" ht="15.75" thickBot="1" x14ac:dyDescent="0.3">
      <c r="A54" s="68" t="s">
        <v>70</v>
      </c>
      <c r="B54" s="59">
        <f t="shared" ref="B54:AG54" si="5">SUM(B51:B53)</f>
        <v>300</v>
      </c>
      <c r="C54" s="59">
        <f t="shared" si="5"/>
        <v>0</v>
      </c>
      <c r="D54" s="59">
        <f t="shared" si="5"/>
        <v>0</v>
      </c>
      <c r="E54" s="59">
        <f t="shared" si="5"/>
        <v>0</v>
      </c>
      <c r="F54" s="59">
        <f t="shared" si="5"/>
        <v>0</v>
      </c>
      <c r="G54" s="59">
        <f t="shared" si="5"/>
        <v>0</v>
      </c>
      <c r="H54" s="59">
        <f t="shared" si="5"/>
        <v>0</v>
      </c>
      <c r="I54" s="59">
        <f t="shared" si="5"/>
        <v>0</v>
      </c>
      <c r="J54" s="59">
        <f t="shared" si="5"/>
        <v>0</v>
      </c>
      <c r="K54" s="59">
        <f t="shared" si="5"/>
        <v>0</v>
      </c>
      <c r="L54" s="59">
        <f t="shared" si="5"/>
        <v>0</v>
      </c>
      <c r="M54" s="59">
        <f t="shared" si="5"/>
        <v>0</v>
      </c>
      <c r="N54" s="59">
        <f t="shared" si="5"/>
        <v>0</v>
      </c>
      <c r="O54" s="59">
        <f t="shared" si="5"/>
        <v>0</v>
      </c>
      <c r="P54" s="59">
        <f t="shared" si="5"/>
        <v>0</v>
      </c>
      <c r="Q54" s="59">
        <f t="shared" si="5"/>
        <v>0</v>
      </c>
      <c r="R54" s="59">
        <f t="shared" si="5"/>
        <v>0</v>
      </c>
      <c r="S54" s="59">
        <f t="shared" si="5"/>
        <v>0</v>
      </c>
      <c r="T54" s="59">
        <f t="shared" si="5"/>
        <v>0</v>
      </c>
      <c r="U54" s="59">
        <f t="shared" si="5"/>
        <v>0</v>
      </c>
      <c r="V54" s="59">
        <f t="shared" si="5"/>
        <v>0</v>
      </c>
      <c r="W54" s="59">
        <f t="shared" si="5"/>
        <v>0</v>
      </c>
      <c r="X54" s="59">
        <f t="shared" si="5"/>
        <v>0</v>
      </c>
      <c r="Y54" s="59">
        <f t="shared" si="5"/>
        <v>0</v>
      </c>
      <c r="Z54" s="59">
        <f t="shared" si="5"/>
        <v>0</v>
      </c>
      <c r="AA54" s="59">
        <f t="shared" si="5"/>
        <v>0</v>
      </c>
      <c r="AB54" s="59">
        <f t="shared" si="5"/>
        <v>0</v>
      </c>
      <c r="AC54" s="59">
        <f t="shared" si="5"/>
        <v>0</v>
      </c>
      <c r="AD54" s="59">
        <f t="shared" si="5"/>
        <v>0</v>
      </c>
      <c r="AE54" s="59">
        <f t="shared" si="5"/>
        <v>0</v>
      </c>
      <c r="AF54" s="59">
        <f t="shared" si="5"/>
        <v>0</v>
      </c>
      <c r="AG54" s="60">
        <f t="shared" si="5"/>
        <v>538.1</v>
      </c>
      <c r="AH54" s="47">
        <f t="shared" si="2"/>
        <v>300</v>
      </c>
      <c r="AI54" s="48">
        <f t="shared" si="3"/>
        <v>0</v>
      </c>
      <c r="AK54" s="74"/>
    </row>
    <row r="55" spans="1:41" x14ac:dyDescent="0.25">
      <c r="A55" s="44" t="s">
        <v>71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51">
        <v>144</v>
      </c>
      <c r="AH55" s="47">
        <f t="shared" si="2"/>
        <v>0</v>
      </c>
      <c r="AI55" s="48">
        <f t="shared" si="3"/>
        <v>0</v>
      </c>
      <c r="AK55" s="74"/>
    </row>
    <row r="56" spans="1:41" x14ac:dyDescent="0.25">
      <c r="A56" s="53" t="s">
        <v>72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64"/>
      <c r="AE56" s="45"/>
      <c r="AF56" s="45"/>
      <c r="AG56" s="54">
        <v>70</v>
      </c>
      <c r="AH56" s="47">
        <f t="shared" si="2"/>
        <v>0</v>
      </c>
      <c r="AI56" s="48">
        <f t="shared" si="3"/>
        <v>0</v>
      </c>
      <c r="AK56" s="74"/>
    </row>
    <row r="57" spans="1:41" x14ac:dyDescent="0.25">
      <c r="A57" s="53" t="s">
        <v>73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64"/>
      <c r="AE57" s="45"/>
      <c r="AF57" s="45"/>
      <c r="AG57" s="54">
        <v>69</v>
      </c>
      <c r="AH57" s="47">
        <f t="shared" si="2"/>
        <v>0</v>
      </c>
      <c r="AI57" s="48">
        <f t="shared" si="3"/>
        <v>0</v>
      </c>
      <c r="AK57" s="74"/>
    </row>
    <row r="58" spans="1:41" x14ac:dyDescent="0.25">
      <c r="A58" s="53" t="s">
        <v>74</v>
      </c>
      <c r="B58" s="64"/>
      <c r="C58" s="64"/>
      <c r="D58" s="64"/>
      <c r="E58" s="56"/>
      <c r="F58" s="56"/>
      <c r="G58" s="56"/>
      <c r="H58" s="56"/>
      <c r="I58" s="56"/>
      <c r="J58" s="56"/>
      <c r="K58" s="56"/>
      <c r="L58" s="56"/>
      <c r="M58" s="64"/>
      <c r="N58" s="64"/>
      <c r="O58" s="64"/>
      <c r="P58" s="64"/>
      <c r="Q58" s="64"/>
      <c r="R58" s="64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64"/>
      <c r="AE58" s="45"/>
      <c r="AF58" s="45"/>
      <c r="AG58" s="54">
        <v>60</v>
      </c>
      <c r="AH58" s="47">
        <f t="shared" si="2"/>
        <v>0</v>
      </c>
      <c r="AI58" s="48">
        <f t="shared" si="3"/>
        <v>0</v>
      </c>
      <c r="AK58" s="74"/>
    </row>
    <row r="59" spans="1:41" x14ac:dyDescent="0.25">
      <c r="A59" s="53" t="s">
        <v>75</v>
      </c>
      <c r="B59" s="64"/>
      <c r="C59" s="64"/>
      <c r="D59" s="64"/>
      <c r="E59" s="56"/>
      <c r="F59" s="56"/>
      <c r="G59" s="56"/>
      <c r="H59" s="56"/>
      <c r="I59" s="56"/>
      <c r="J59" s="56"/>
      <c r="K59" s="56"/>
      <c r="L59" s="56"/>
      <c r="M59" s="64"/>
      <c r="N59" s="64"/>
      <c r="O59" s="64"/>
      <c r="P59" s="64"/>
      <c r="Q59" s="64"/>
      <c r="R59" s="64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64"/>
      <c r="AE59" s="45"/>
      <c r="AF59" s="45"/>
      <c r="AG59" s="54">
        <v>30</v>
      </c>
      <c r="AH59" s="47">
        <f t="shared" si="2"/>
        <v>0</v>
      </c>
      <c r="AI59" s="48">
        <f t="shared" si="3"/>
        <v>0</v>
      </c>
      <c r="AK59" s="74"/>
    </row>
    <row r="60" spans="1:41" x14ac:dyDescent="0.25">
      <c r="A60" s="53" t="s">
        <v>76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64"/>
      <c r="AE60" s="45"/>
      <c r="AF60" s="45"/>
      <c r="AG60" s="54">
        <v>25</v>
      </c>
      <c r="AH60" s="47">
        <f t="shared" si="2"/>
        <v>0</v>
      </c>
      <c r="AI60" s="48">
        <f t="shared" si="3"/>
        <v>0</v>
      </c>
      <c r="AK60" s="74"/>
    </row>
    <row r="61" spans="1:41" x14ac:dyDescent="0.25">
      <c r="A61" s="53" t="s">
        <v>77</v>
      </c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54">
        <v>24</v>
      </c>
      <c r="AH61" s="47">
        <f t="shared" si="2"/>
        <v>0</v>
      </c>
      <c r="AI61" s="48">
        <f t="shared" si="3"/>
        <v>0</v>
      </c>
      <c r="AK61" s="74"/>
    </row>
    <row r="62" spans="1:41" x14ac:dyDescent="0.25">
      <c r="A62" s="53" t="s">
        <v>78</v>
      </c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54">
        <v>15</v>
      </c>
      <c r="AH62" s="47">
        <f t="shared" si="2"/>
        <v>0</v>
      </c>
      <c r="AI62" s="48">
        <f t="shared" si="3"/>
        <v>0</v>
      </c>
      <c r="AK62" s="74"/>
      <c r="AL62" s="69"/>
      <c r="AO62" s="69"/>
    </row>
    <row r="63" spans="1:41" s="69" customFormat="1" x14ac:dyDescent="0.25">
      <c r="A63" s="53" t="s">
        <v>79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54">
        <v>14.1</v>
      </c>
      <c r="AH63" s="47">
        <f t="shared" si="2"/>
        <v>0</v>
      </c>
      <c r="AI63" s="48">
        <f t="shared" si="3"/>
        <v>0</v>
      </c>
      <c r="AJ63" s="1"/>
      <c r="AK63" s="74"/>
      <c r="AL63" s="1"/>
      <c r="AM63" s="1"/>
      <c r="AN63" s="1"/>
      <c r="AO63" s="1"/>
    </row>
    <row r="64" spans="1:41" x14ac:dyDescent="0.25">
      <c r="A64" s="70" t="s">
        <v>80</v>
      </c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54">
        <v>14</v>
      </c>
      <c r="AH64" s="47">
        <f t="shared" si="2"/>
        <v>0</v>
      </c>
      <c r="AI64" s="48">
        <f t="shared" si="3"/>
        <v>0</v>
      </c>
      <c r="AK64" s="74"/>
    </row>
    <row r="65" spans="1:40" x14ac:dyDescent="0.25">
      <c r="A65" s="53" t="s">
        <v>81</v>
      </c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54">
        <v>10.050000000000001</v>
      </c>
      <c r="AH65" s="47">
        <f t="shared" si="2"/>
        <v>0</v>
      </c>
      <c r="AI65" s="48">
        <f t="shared" si="3"/>
        <v>0</v>
      </c>
      <c r="AK65" s="74"/>
    </row>
    <row r="66" spans="1:40" x14ac:dyDescent="0.25">
      <c r="A66" s="53" t="s">
        <v>82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54">
        <v>6.2</v>
      </c>
      <c r="AH66" s="47">
        <f t="shared" si="2"/>
        <v>0</v>
      </c>
      <c r="AI66" s="48">
        <f t="shared" si="3"/>
        <v>0</v>
      </c>
      <c r="AK66" s="74"/>
    </row>
    <row r="67" spans="1:40" ht="15.75" thickBot="1" x14ac:dyDescent="0.3">
      <c r="A67" s="55" t="s">
        <v>83</v>
      </c>
      <c r="B67" s="71">
        <v>3.54</v>
      </c>
      <c r="C67" s="71">
        <v>3.54</v>
      </c>
      <c r="D67" s="71">
        <v>3.54</v>
      </c>
      <c r="E67" s="71">
        <v>3.54</v>
      </c>
      <c r="F67" s="71">
        <v>3.54</v>
      </c>
      <c r="G67" s="71">
        <v>3.54</v>
      </c>
      <c r="H67" s="71">
        <v>3.54</v>
      </c>
      <c r="I67" s="71">
        <v>3.54</v>
      </c>
      <c r="J67" s="71">
        <v>3.54</v>
      </c>
      <c r="K67" s="71">
        <v>3.54</v>
      </c>
      <c r="L67" s="71">
        <v>3.54</v>
      </c>
      <c r="M67" s="71">
        <v>3.54</v>
      </c>
      <c r="N67" s="71">
        <v>3.54</v>
      </c>
      <c r="O67" s="71">
        <v>3.54</v>
      </c>
      <c r="P67" s="71">
        <v>3.54</v>
      </c>
      <c r="Q67" s="71">
        <v>3.54</v>
      </c>
      <c r="R67" s="71">
        <v>3.54</v>
      </c>
      <c r="S67" s="71">
        <v>3.54</v>
      </c>
      <c r="T67" s="71">
        <v>3.54</v>
      </c>
      <c r="U67" s="71">
        <v>3.54</v>
      </c>
      <c r="V67" s="71">
        <v>3.54</v>
      </c>
      <c r="W67" s="71">
        <v>3.54</v>
      </c>
      <c r="X67" s="71">
        <v>3.54</v>
      </c>
      <c r="Y67" s="71">
        <v>3.54</v>
      </c>
      <c r="Z67" s="71">
        <v>3.54</v>
      </c>
      <c r="AA67" s="71">
        <v>3.54</v>
      </c>
      <c r="AB67" s="71">
        <v>3.54</v>
      </c>
      <c r="AC67" s="71">
        <v>3.54</v>
      </c>
      <c r="AD67" s="71">
        <v>3.54</v>
      </c>
      <c r="AE67" s="71">
        <v>3.54</v>
      </c>
      <c r="AF67" s="71">
        <v>3.54</v>
      </c>
      <c r="AG67" s="72">
        <f>AG235</f>
        <v>8.56</v>
      </c>
      <c r="AH67" s="47">
        <f t="shared" si="2"/>
        <v>3.54</v>
      </c>
      <c r="AI67" s="48">
        <f t="shared" si="3"/>
        <v>3.54</v>
      </c>
      <c r="AK67" s="74"/>
    </row>
    <row r="68" spans="1:40" ht="15.75" thickBot="1" x14ac:dyDescent="0.3">
      <c r="A68" s="73" t="s">
        <v>84</v>
      </c>
      <c r="B68" s="59">
        <f t="shared" ref="B68:AG68" si="6">SUM(B55:B67)</f>
        <v>3.54</v>
      </c>
      <c r="C68" s="59">
        <f t="shared" si="6"/>
        <v>3.54</v>
      </c>
      <c r="D68" s="59">
        <f t="shared" si="6"/>
        <v>3.54</v>
      </c>
      <c r="E68" s="59">
        <f t="shared" si="6"/>
        <v>3.54</v>
      </c>
      <c r="F68" s="59">
        <f t="shared" si="6"/>
        <v>3.54</v>
      </c>
      <c r="G68" s="59">
        <f t="shared" si="6"/>
        <v>3.54</v>
      </c>
      <c r="H68" s="59">
        <f t="shared" si="6"/>
        <v>3.54</v>
      </c>
      <c r="I68" s="59">
        <f t="shared" si="6"/>
        <v>3.54</v>
      </c>
      <c r="J68" s="59">
        <f t="shared" si="6"/>
        <v>3.54</v>
      </c>
      <c r="K68" s="59">
        <f t="shared" si="6"/>
        <v>3.54</v>
      </c>
      <c r="L68" s="59">
        <f t="shared" si="6"/>
        <v>3.54</v>
      </c>
      <c r="M68" s="59">
        <f t="shared" si="6"/>
        <v>3.54</v>
      </c>
      <c r="N68" s="59">
        <f t="shared" si="6"/>
        <v>3.54</v>
      </c>
      <c r="O68" s="59">
        <f t="shared" si="6"/>
        <v>3.54</v>
      </c>
      <c r="P68" s="59">
        <f t="shared" si="6"/>
        <v>3.54</v>
      </c>
      <c r="Q68" s="59">
        <f t="shared" si="6"/>
        <v>3.54</v>
      </c>
      <c r="R68" s="59">
        <f t="shared" si="6"/>
        <v>3.54</v>
      </c>
      <c r="S68" s="59">
        <f t="shared" si="6"/>
        <v>3.54</v>
      </c>
      <c r="T68" s="59">
        <f t="shared" si="6"/>
        <v>3.54</v>
      </c>
      <c r="U68" s="59">
        <f t="shared" si="6"/>
        <v>3.54</v>
      </c>
      <c r="V68" s="59">
        <f t="shared" si="6"/>
        <v>3.54</v>
      </c>
      <c r="W68" s="59">
        <f t="shared" si="6"/>
        <v>3.54</v>
      </c>
      <c r="X68" s="59">
        <f t="shared" si="6"/>
        <v>3.54</v>
      </c>
      <c r="Y68" s="59">
        <f t="shared" si="6"/>
        <v>3.54</v>
      </c>
      <c r="Z68" s="59">
        <f t="shared" si="6"/>
        <v>3.54</v>
      </c>
      <c r="AA68" s="59">
        <f t="shared" si="6"/>
        <v>3.54</v>
      </c>
      <c r="AB68" s="59">
        <f t="shared" si="6"/>
        <v>3.54</v>
      </c>
      <c r="AC68" s="59">
        <f t="shared" si="6"/>
        <v>3.54</v>
      </c>
      <c r="AD68" s="59">
        <f t="shared" si="6"/>
        <v>3.54</v>
      </c>
      <c r="AE68" s="59">
        <f t="shared" si="6"/>
        <v>3.54</v>
      </c>
      <c r="AF68" s="59">
        <f t="shared" si="6"/>
        <v>3.54</v>
      </c>
      <c r="AG68" s="60">
        <f t="shared" si="6"/>
        <v>489.91</v>
      </c>
      <c r="AH68" s="47">
        <f t="shared" si="2"/>
        <v>3.54</v>
      </c>
      <c r="AI68" s="48">
        <f t="shared" si="3"/>
        <v>3.54</v>
      </c>
      <c r="AK68" s="74"/>
    </row>
    <row r="69" spans="1:40" x14ac:dyDescent="0.25">
      <c r="A69" s="44" t="s">
        <v>85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51">
        <v>60</v>
      </c>
      <c r="AH69" s="47">
        <f t="shared" si="2"/>
        <v>0</v>
      </c>
      <c r="AI69" s="48">
        <f t="shared" si="3"/>
        <v>0</v>
      </c>
      <c r="AK69" s="74"/>
    </row>
    <row r="70" spans="1:40" x14ac:dyDescent="0.25">
      <c r="A70" s="53" t="s">
        <v>86</v>
      </c>
      <c r="B70" s="45"/>
      <c r="C70" s="45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54">
        <v>32</v>
      </c>
      <c r="AH70" s="47">
        <f t="shared" si="2"/>
        <v>0</v>
      </c>
      <c r="AI70" s="48">
        <f t="shared" si="3"/>
        <v>0</v>
      </c>
      <c r="AK70" s="74"/>
    </row>
    <row r="71" spans="1:40" ht="15.75" thickBot="1" x14ac:dyDescent="0.3">
      <c r="A71" s="70" t="s">
        <v>87</v>
      </c>
      <c r="B71" s="45"/>
      <c r="C71" s="45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7">
        <v>14</v>
      </c>
      <c r="AH71" s="47">
        <f t="shared" si="2"/>
        <v>0</v>
      </c>
      <c r="AI71" s="48">
        <f t="shared" si="3"/>
        <v>0</v>
      </c>
      <c r="AK71" s="74"/>
    </row>
    <row r="72" spans="1:40" ht="15.75" thickBot="1" x14ac:dyDescent="0.3">
      <c r="A72" s="73" t="s">
        <v>88</v>
      </c>
      <c r="B72" s="59">
        <f>B69+B70+B71</f>
        <v>0</v>
      </c>
      <c r="C72" s="59">
        <v>0</v>
      </c>
      <c r="D72" s="59">
        <v>0</v>
      </c>
      <c r="E72" s="59">
        <v>0</v>
      </c>
      <c r="F72" s="59">
        <v>0</v>
      </c>
      <c r="G72" s="59">
        <v>0</v>
      </c>
      <c r="H72" s="59">
        <v>0</v>
      </c>
      <c r="I72" s="59">
        <v>0</v>
      </c>
      <c r="J72" s="59">
        <v>0</v>
      </c>
      <c r="K72" s="59">
        <v>0</v>
      </c>
      <c r="L72" s="59">
        <f>L69+L70+L71</f>
        <v>0</v>
      </c>
      <c r="M72" s="59">
        <f t="shared" ref="M72:AF72" si="7">M69+M70+M71</f>
        <v>0</v>
      </c>
      <c r="N72" s="59">
        <f t="shared" si="7"/>
        <v>0</v>
      </c>
      <c r="O72" s="59">
        <f t="shared" si="7"/>
        <v>0</v>
      </c>
      <c r="P72" s="59">
        <f t="shared" si="7"/>
        <v>0</v>
      </c>
      <c r="Q72" s="59">
        <f t="shared" si="7"/>
        <v>0</v>
      </c>
      <c r="R72" s="59">
        <f t="shared" si="7"/>
        <v>0</v>
      </c>
      <c r="S72" s="59">
        <f t="shared" si="7"/>
        <v>0</v>
      </c>
      <c r="T72" s="59">
        <f t="shared" si="7"/>
        <v>0</v>
      </c>
      <c r="U72" s="59">
        <f t="shared" si="7"/>
        <v>0</v>
      </c>
      <c r="V72" s="59">
        <f t="shared" si="7"/>
        <v>0</v>
      </c>
      <c r="W72" s="59">
        <f t="shared" si="7"/>
        <v>0</v>
      </c>
      <c r="X72" s="59">
        <f t="shared" si="7"/>
        <v>0</v>
      </c>
      <c r="Y72" s="59">
        <f t="shared" si="7"/>
        <v>0</v>
      </c>
      <c r="Z72" s="59">
        <f t="shared" si="7"/>
        <v>0</v>
      </c>
      <c r="AA72" s="59">
        <f t="shared" si="7"/>
        <v>0</v>
      </c>
      <c r="AB72" s="59">
        <f t="shared" si="7"/>
        <v>0</v>
      </c>
      <c r="AC72" s="59">
        <f t="shared" si="7"/>
        <v>0</v>
      </c>
      <c r="AD72" s="59">
        <f t="shared" si="7"/>
        <v>0</v>
      </c>
      <c r="AE72" s="59">
        <f t="shared" si="7"/>
        <v>0</v>
      </c>
      <c r="AF72" s="59">
        <f t="shared" si="7"/>
        <v>0</v>
      </c>
      <c r="AG72" s="60">
        <f>SUM(AG69:AG71)</f>
        <v>106</v>
      </c>
      <c r="AH72" s="47">
        <f t="shared" si="2"/>
        <v>0</v>
      </c>
      <c r="AI72" s="48">
        <f t="shared" si="3"/>
        <v>0</v>
      </c>
      <c r="AK72" s="74"/>
    </row>
    <row r="73" spans="1:40" x14ac:dyDescent="0.25">
      <c r="A73" s="44" t="s">
        <v>89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51"/>
      <c r="AH73" s="47">
        <f t="shared" si="2"/>
        <v>0</v>
      </c>
      <c r="AI73" s="48">
        <f t="shared" si="3"/>
        <v>0</v>
      </c>
      <c r="AK73" s="74"/>
    </row>
    <row r="74" spans="1:40" x14ac:dyDescent="0.25">
      <c r="A74" s="53" t="s">
        <v>90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54"/>
      <c r="AH74" s="47">
        <f t="shared" si="2"/>
        <v>0</v>
      </c>
      <c r="AI74" s="48">
        <f t="shared" si="3"/>
        <v>0</v>
      </c>
      <c r="AK74" s="74"/>
    </row>
    <row r="75" spans="1:40" x14ac:dyDescent="0.25">
      <c r="A75" s="53" t="s">
        <v>91</v>
      </c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75"/>
      <c r="AH75" s="47">
        <f t="shared" si="2"/>
        <v>0</v>
      </c>
      <c r="AI75" s="48">
        <f t="shared" si="3"/>
        <v>0</v>
      </c>
      <c r="AK75" s="74"/>
    </row>
    <row r="76" spans="1:40" x14ac:dyDescent="0.25">
      <c r="A76" s="53" t="s">
        <v>92</v>
      </c>
      <c r="B76" s="64"/>
      <c r="C76" s="64"/>
      <c r="D76" s="64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64"/>
      <c r="AE76" s="76"/>
      <c r="AF76" s="76"/>
      <c r="AG76" s="75"/>
      <c r="AH76" s="47">
        <f t="shared" si="2"/>
        <v>0</v>
      </c>
      <c r="AI76" s="48">
        <f t="shared" si="3"/>
        <v>0</v>
      </c>
      <c r="AK76" s="74"/>
    </row>
    <row r="77" spans="1:40" x14ac:dyDescent="0.25">
      <c r="A77" s="53" t="s">
        <v>93</v>
      </c>
      <c r="B77" s="45"/>
      <c r="C77" s="45"/>
      <c r="D77" s="64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75"/>
      <c r="AH77" s="47">
        <f t="shared" ref="AH77:AH120" si="8">MAX(B77:AF77)</f>
        <v>0</v>
      </c>
      <c r="AI77" s="48">
        <f t="shared" ref="AI77:AI120" si="9">MIN(B77:AF77)</f>
        <v>0</v>
      </c>
      <c r="AK77" s="74"/>
    </row>
    <row r="78" spans="1:40" x14ac:dyDescent="0.25">
      <c r="A78" s="53" t="s">
        <v>94</v>
      </c>
      <c r="B78" s="45"/>
      <c r="C78" s="77"/>
      <c r="D78" s="64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5"/>
      <c r="AH78" s="47">
        <f t="shared" si="8"/>
        <v>0</v>
      </c>
      <c r="AI78" s="48">
        <f t="shared" si="9"/>
        <v>0</v>
      </c>
      <c r="AK78" s="74"/>
    </row>
    <row r="79" spans="1:40" ht="15.75" thickBot="1" x14ac:dyDescent="0.3">
      <c r="A79" s="53" t="s">
        <v>95</v>
      </c>
      <c r="B79" s="45"/>
      <c r="C79" s="77"/>
      <c r="D79" s="64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5"/>
      <c r="AH79" s="47">
        <f t="shared" si="8"/>
        <v>0</v>
      </c>
      <c r="AI79" s="48">
        <f t="shared" si="9"/>
        <v>0</v>
      </c>
      <c r="AK79" s="74"/>
      <c r="AL79" s="78" t="s">
        <v>96</v>
      </c>
      <c r="AM79" s="78"/>
    </row>
    <row r="80" spans="1:40" x14ac:dyDescent="0.25">
      <c r="A80" s="53" t="s">
        <v>97</v>
      </c>
      <c r="B80" s="45"/>
      <c r="C80" s="77"/>
      <c r="D80" s="64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5"/>
      <c r="AH80" s="47">
        <f t="shared" si="8"/>
        <v>0</v>
      </c>
      <c r="AI80" s="48">
        <f t="shared" si="9"/>
        <v>0</v>
      </c>
      <c r="AK80" s="79"/>
      <c r="AL80" s="80">
        <v>14</v>
      </c>
      <c r="AM80" s="80">
        <v>10</v>
      </c>
      <c r="AN80" s="81"/>
    </row>
    <row r="81" spans="1:40" x14ac:dyDescent="0.25">
      <c r="A81" s="53" t="s">
        <v>98</v>
      </c>
      <c r="B81" s="45"/>
      <c r="C81" s="77"/>
      <c r="D81" s="64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5"/>
      <c r="AH81" s="47">
        <f t="shared" si="8"/>
        <v>0</v>
      </c>
      <c r="AI81" s="48">
        <f t="shared" si="9"/>
        <v>0</v>
      </c>
      <c r="AK81" s="82" t="s">
        <v>99</v>
      </c>
      <c r="AL81" s="64">
        <v>533554.48</v>
      </c>
      <c r="AM81" s="76">
        <v>533330.87</v>
      </c>
      <c r="AN81" s="83">
        <f>AL81-AM81</f>
        <v>223.60999999998603</v>
      </c>
    </row>
    <row r="82" spans="1:40" x14ac:dyDescent="0.25">
      <c r="A82" s="84" t="s">
        <v>100</v>
      </c>
      <c r="B82" s="45"/>
      <c r="C82" s="77"/>
      <c r="D82" s="64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85"/>
      <c r="AH82" s="47">
        <f t="shared" si="8"/>
        <v>0</v>
      </c>
      <c r="AI82" s="48">
        <f t="shared" si="9"/>
        <v>0</v>
      </c>
      <c r="AK82" s="82" t="s">
        <v>101</v>
      </c>
      <c r="AL82" s="76">
        <v>377068.94</v>
      </c>
      <c r="AM82" s="76">
        <v>376844.36</v>
      </c>
      <c r="AN82" s="83">
        <f>AL82-AM82</f>
        <v>224.5800000000163</v>
      </c>
    </row>
    <row r="83" spans="1:40" ht="15.75" thickBot="1" x14ac:dyDescent="0.3">
      <c r="A83" s="84" t="s">
        <v>102</v>
      </c>
      <c r="B83" s="45"/>
      <c r="C83" s="77"/>
      <c r="D83" s="64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85"/>
      <c r="AH83" s="47">
        <f t="shared" si="8"/>
        <v>0</v>
      </c>
      <c r="AI83" s="48">
        <f t="shared" si="9"/>
        <v>0</v>
      </c>
      <c r="AK83" s="86"/>
      <c r="AL83" s="45"/>
      <c r="AM83" s="45"/>
      <c r="AN83" s="87">
        <f>AN81+AN82</f>
        <v>448.19000000000233</v>
      </c>
    </row>
    <row r="84" spans="1:40" ht="15.75" thickBot="1" x14ac:dyDescent="0.3">
      <c r="A84" s="73" t="s">
        <v>103</v>
      </c>
      <c r="B84" s="59">
        <f t="shared" ref="B84:AF84" si="10">SUMIF(B73:B83,"&gt;0")</f>
        <v>0</v>
      </c>
      <c r="C84" s="59">
        <f t="shared" si="10"/>
        <v>0</v>
      </c>
      <c r="D84" s="59">
        <f t="shared" si="10"/>
        <v>0</v>
      </c>
      <c r="E84" s="59">
        <f t="shared" si="10"/>
        <v>0</v>
      </c>
      <c r="F84" s="59">
        <f t="shared" si="10"/>
        <v>0</v>
      </c>
      <c r="G84" s="59">
        <f t="shared" si="10"/>
        <v>0</v>
      </c>
      <c r="H84" s="59">
        <f t="shared" si="10"/>
        <v>0</v>
      </c>
      <c r="I84" s="59">
        <f t="shared" si="10"/>
        <v>0</v>
      </c>
      <c r="J84" s="59">
        <f t="shared" si="10"/>
        <v>0</v>
      </c>
      <c r="K84" s="59">
        <f t="shared" si="10"/>
        <v>0</v>
      </c>
      <c r="L84" s="59">
        <f t="shared" si="10"/>
        <v>0</v>
      </c>
      <c r="M84" s="59">
        <f t="shared" si="10"/>
        <v>0</v>
      </c>
      <c r="N84" s="59">
        <f t="shared" si="10"/>
        <v>0</v>
      </c>
      <c r="O84" s="59">
        <f t="shared" si="10"/>
        <v>0</v>
      </c>
      <c r="P84" s="59">
        <f t="shared" si="10"/>
        <v>0</v>
      </c>
      <c r="Q84" s="59">
        <f t="shared" si="10"/>
        <v>0</v>
      </c>
      <c r="R84" s="59">
        <f t="shared" si="10"/>
        <v>0</v>
      </c>
      <c r="S84" s="59">
        <f t="shared" si="10"/>
        <v>0</v>
      </c>
      <c r="T84" s="59">
        <f t="shared" si="10"/>
        <v>0</v>
      </c>
      <c r="U84" s="59">
        <f t="shared" si="10"/>
        <v>0</v>
      </c>
      <c r="V84" s="59">
        <f t="shared" si="10"/>
        <v>0</v>
      </c>
      <c r="W84" s="59">
        <f t="shared" si="10"/>
        <v>0</v>
      </c>
      <c r="X84" s="59">
        <f t="shared" si="10"/>
        <v>0</v>
      </c>
      <c r="Y84" s="59">
        <f t="shared" si="10"/>
        <v>0</v>
      </c>
      <c r="Z84" s="59">
        <f t="shared" si="10"/>
        <v>0</v>
      </c>
      <c r="AA84" s="59">
        <f t="shared" si="10"/>
        <v>0</v>
      </c>
      <c r="AB84" s="59">
        <f t="shared" si="10"/>
        <v>0</v>
      </c>
      <c r="AC84" s="59">
        <f t="shared" si="10"/>
        <v>0</v>
      </c>
      <c r="AD84" s="59">
        <f t="shared" si="10"/>
        <v>0</v>
      </c>
      <c r="AE84" s="59">
        <f t="shared" si="10"/>
        <v>0</v>
      </c>
      <c r="AF84" s="59">
        <f t="shared" si="10"/>
        <v>0</v>
      </c>
      <c r="AG84" s="88">
        <f>SUM(AG73:AG83)</f>
        <v>0</v>
      </c>
      <c r="AH84" s="47">
        <f t="shared" si="8"/>
        <v>0</v>
      </c>
      <c r="AI84" s="48">
        <f t="shared" si="9"/>
        <v>0</v>
      </c>
      <c r="AK84" s="86"/>
      <c r="AL84" s="77"/>
      <c r="AM84" s="89"/>
      <c r="AN84" s="202">
        <f>448.2/4</f>
        <v>112.05</v>
      </c>
    </row>
    <row r="85" spans="1:40" x14ac:dyDescent="0.25">
      <c r="A85" s="44" t="s">
        <v>104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  <c r="N85" s="76">
        <v>0</v>
      </c>
      <c r="O85" s="76">
        <v>0</v>
      </c>
      <c r="P85" s="76">
        <v>0</v>
      </c>
      <c r="Q85" s="76">
        <v>0</v>
      </c>
      <c r="R85" s="76">
        <v>0</v>
      </c>
      <c r="S85" s="76">
        <v>0</v>
      </c>
      <c r="T85" s="76">
        <v>0</v>
      </c>
      <c r="U85" s="76">
        <v>0</v>
      </c>
      <c r="V85" s="76">
        <v>0</v>
      </c>
      <c r="W85" s="76">
        <v>0</v>
      </c>
      <c r="X85" s="76">
        <v>0</v>
      </c>
      <c r="Y85" s="76">
        <v>0</v>
      </c>
      <c r="Z85" s="76">
        <v>0</v>
      </c>
      <c r="AA85" s="76">
        <v>0</v>
      </c>
      <c r="AB85" s="76">
        <v>0</v>
      </c>
      <c r="AC85" s="76">
        <v>0</v>
      </c>
      <c r="AD85" s="76">
        <v>0</v>
      </c>
      <c r="AE85" s="76">
        <v>0</v>
      </c>
      <c r="AF85" s="76">
        <v>0</v>
      </c>
      <c r="AG85" s="90">
        <v>39</v>
      </c>
      <c r="AH85" s="47">
        <f t="shared" si="8"/>
        <v>0</v>
      </c>
      <c r="AI85" s="48">
        <f t="shared" si="9"/>
        <v>0</v>
      </c>
      <c r="AK85" s="86"/>
      <c r="AL85" s="77"/>
      <c r="AM85" s="77"/>
      <c r="AN85" s="203"/>
    </row>
    <row r="86" spans="1:40" ht="15.75" thickBot="1" x14ac:dyDescent="0.3">
      <c r="A86" s="53" t="s">
        <v>105</v>
      </c>
      <c r="B86" s="77">
        <v>0</v>
      </c>
      <c r="C86" s="77">
        <v>0</v>
      </c>
      <c r="D86" s="77">
        <v>0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0</v>
      </c>
      <c r="X86" s="77">
        <v>0</v>
      </c>
      <c r="Y86" s="77">
        <v>0</v>
      </c>
      <c r="Z86" s="77">
        <v>0</v>
      </c>
      <c r="AA86" s="77">
        <v>0</v>
      </c>
      <c r="AB86" s="77">
        <v>0</v>
      </c>
      <c r="AC86" s="77">
        <v>0</v>
      </c>
      <c r="AD86" s="77">
        <v>0</v>
      </c>
      <c r="AE86" s="77">
        <v>0</v>
      </c>
      <c r="AF86" s="77">
        <v>0</v>
      </c>
      <c r="AG86" s="75">
        <v>14.4</v>
      </c>
      <c r="AH86" s="47">
        <f t="shared" si="8"/>
        <v>0</v>
      </c>
      <c r="AI86" s="48">
        <f t="shared" si="9"/>
        <v>0</v>
      </c>
      <c r="AK86" s="91"/>
      <c r="AL86" s="92"/>
      <c r="AM86" s="92"/>
      <c r="AN86" s="93"/>
    </row>
    <row r="87" spans="1:40" ht="15.75" thickBot="1" x14ac:dyDescent="0.3">
      <c r="A87" s="84" t="s">
        <v>106</v>
      </c>
      <c r="B87" s="94">
        <v>0</v>
      </c>
      <c r="C87" s="94">
        <v>0</v>
      </c>
      <c r="D87" s="94">
        <v>0</v>
      </c>
      <c r="E87" s="94">
        <v>0</v>
      </c>
      <c r="F87" s="94">
        <v>0</v>
      </c>
      <c r="G87" s="94">
        <v>0</v>
      </c>
      <c r="H87" s="94">
        <v>0</v>
      </c>
      <c r="I87" s="94">
        <v>0</v>
      </c>
      <c r="J87" s="94">
        <v>0</v>
      </c>
      <c r="K87" s="94">
        <v>0</v>
      </c>
      <c r="L87" s="94">
        <v>0</v>
      </c>
      <c r="M87" s="94">
        <v>0</v>
      </c>
      <c r="N87" s="94">
        <v>0</v>
      </c>
      <c r="O87" s="94">
        <v>0</v>
      </c>
      <c r="P87" s="94">
        <v>0</v>
      </c>
      <c r="Q87" s="94">
        <v>0</v>
      </c>
      <c r="R87" s="94">
        <v>0</v>
      </c>
      <c r="S87" s="94">
        <v>0</v>
      </c>
      <c r="T87" s="94">
        <v>0</v>
      </c>
      <c r="U87" s="94">
        <v>0</v>
      </c>
      <c r="V87" s="94">
        <v>0</v>
      </c>
      <c r="W87" s="94">
        <v>0</v>
      </c>
      <c r="X87" s="94">
        <v>0</v>
      </c>
      <c r="Y87" s="94">
        <v>0</v>
      </c>
      <c r="Z87" s="94">
        <v>0</v>
      </c>
      <c r="AA87" s="94">
        <v>0</v>
      </c>
      <c r="AB87" s="94">
        <v>0</v>
      </c>
      <c r="AC87" s="94">
        <v>0</v>
      </c>
      <c r="AD87" s="94">
        <v>0</v>
      </c>
      <c r="AE87" s="94">
        <v>0</v>
      </c>
      <c r="AF87" s="94">
        <v>0</v>
      </c>
      <c r="AG87" s="85">
        <v>2</v>
      </c>
      <c r="AH87" s="47">
        <f t="shared" si="8"/>
        <v>0</v>
      </c>
      <c r="AI87" s="48">
        <f t="shared" si="9"/>
        <v>0</v>
      </c>
    </row>
    <row r="88" spans="1:40" ht="15.75" thickBot="1" x14ac:dyDescent="0.3">
      <c r="A88" s="73" t="s">
        <v>107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>
        <v>0</v>
      </c>
      <c r="Y88" s="59"/>
      <c r="Z88" s="59"/>
      <c r="AA88" s="59"/>
      <c r="AB88" s="59"/>
      <c r="AC88" s="59"/>
      <c r="AD88" s="59"/>
      <c r="AE88" s="59"/>
      <c r="AF88" s="59"/>
      <c r="AG88" s="88">
        <f>SUM(AG85:AG87)</f>
        <v>55.4</v>
      </c>
      <c r="AH88" s="47">
        <f t="shared" si="8"/>
        <v>0</v>
      </c>
      <c r="AI88" s="48">
        <f t="shared" si="9"/>
        <v>0</v>
      </c>
    </row>
    <row r="89" spans="1:40" ht="15.75" thickBot="1" x14ac:dyDescent="0.3">
      <c r="A89" s="73" t="s">
        <v>108</v>
      </c>
      <c r="B89" s="95">
        <f t="shared" ref="B89:AG89" si="11">B50+B54+B72+B68+B84+B88</f>
        <v>303.54000000000002</v>
      </c>
      <c r="C89" s="95">
        <f t="shared" si="11"/>
        <v>3.54</v>
      </c>
      <c r="D89" s="95">
        <f t="shared" si="11"/>
        <v>3.54</v>
      </c>
      <c r="E89" s="95">
        <f t="shared" si="11"/>
        <v>3.54</v>
      </c>
      <c r="F89" s="95">
        <f t="shared" si="11"/>
        <v>3.54</v>
      </c>
      <c r="G89" s="95">
        <f t="shared" si="11"/>
        <v>3.54</v>
      </c>
      <c r="H89" s="95">
        <f t="shared" si="11"/>
        <v>3.54</v>
      </c>
      <c r="I89" s="95">
        <f t="shared" si="11"/>
        <v>3.54</v>
      </c>
      <c r="J89" s="95">
        <f t="shared" si="11"/>
        <v>3.54</v>
      </c>
      <c r="K89" s="95">
        <f t="shared" si="11"/>
        <v>3.54</v>
      </c>
      <c r="L89" s="95">
        <f t="shared" si="11"/>
        <v>3.54</v>
      </c>
      <c r="M89" s="95">
        <f t="shared" si="11"/>
        <v>3.54</v>
      </c>
      <c r="N89" s="95">
        <f t="shared" si="11"/>
        <v>3.54</v>
      </c>
      <c r="O89" s="95">
        <f t="shared" si="11"/>
        <v>3.54</v>
      </c>
      <c r="P89" s="95">
        <f t="shared" si="11"/>
        <v>3.54</v>
      </c>
      <c r="Q89" s="95">
        <f t="shared" si="11"/>
        <v>3.54</v>
      </c>
      <c r="R89" s="95">
        <f t="shared" si="11"/>
        <v>3.54</v>
      </c>
      <c r="S89" s="95">
        <f t="shared" si="11"/>
        <v>3.54</v>
      </c>
      <c r="T89" s="95">
        <f t="shared" si="11"/>
        <v>3.54</v>
      </c>
      <c r="U89" s="95">
        <f t="shared" si="11"/>
        <v>3.54</v>
      </c>
      <c r="V89" s="95">
        <f t="shared" si="11"/>
        <v>3.54</v>
      </c>
      <c r="W89" s="95">
        <f t="shared" si="11"/>
        <v>3.54</v>
      </c>
      <c r="X89" s="95">
        <f t="shared" si="11"/>
        <v>3.54</v>
      </c>
      <c r="Y89" s="95">
        <f t="shared" si="11"/>
        <v>3.54</v>
      </c>
      <c r="Z89" s="95">
        <f t="shared" si="11"/>
        <v>3.54</v>
      </c>
      <c r="AA89" s="95">
        <f t="shared" si="11"/>
        <v>3.54</v>
      </c>
      <c r="AB89" s="95">
        <f t="shared" si="11"/>
        <v>3.54</v>
      </c>
      <c r="AC89" s="95">
        <f t="shared" si="11"/>
        <v>3.54</v>
      </c>
      <c r="AD89" s="95">
        <f t="shared" si="11"/>
        <v>3.54</v>
      </c>
      <c r="AE89" s="95">
        <f t="shared" si="11"/>
        <v>3.54</v>
      </c>
      <c r="AF89" s="95">
        <f t="shared" si="11"/>
        <v>3.54</v>
      </c>
      <c r="AG89" s="60">
        <f t="shared" si="11"/>
        <v>2111.5500000000002</v>
      </c>
      <c r="AH89" s="47">
        <f t="shared" si="8"/>
        <v>303.54000000000002</v>
      </c>
      <c r="AI89" s="48">
        <f t="shared" si="9"/>
        <v>3.54</v>
      </c>
    </row>
    <row r="90" spans="1:40" ht="15.75" thickBot="1" x14ac:dyDescent="0.3">
      <c r="A90" s="96" t="s">
        <v>109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8"/>
      <c r="AH90" s="47">
        <f t="shared" si="8"/>
        <v>0</v>
      </c>
      <c r="AI90" s="48">
        <f t="shared" si="9"/>
        <v>0</v>
      </c>
    </row>
    <row r="91" spans="1:40" ht="15.75" thickBot="1" x14ac:dyDescent="0.3">
      <c r="A91" s="73" t="s">
        <v>110</v>
      </c>
      <c r="B91" s="95">
        <f t="shared" ref="B91:AF91" si="12">B89+B90</f>
        <v>303.54000000000002</v>
      </c>
      <c r="C91" s="95">
        <f t="shared" si="12"/>
        <v>3.54</v>
      </c>
      <c r="D91" s="95">
        <f t="shared" si="12"/>
        <v>3.54</v>
      </c>
      <c r="E91" s="95">
        <f t="shared" si="12"/>
        <v>3.54</v>
      </c>
      <c r="F91" s="95">
        <f t="shared" si="12"/>
        <v>3.54</v>
      </c>
      <c r="G91" s="95">
        <f t="shared" si="12"/>
        <v>3.54</v>
      </c>
      <c r="H91" s="95">
        <f t="shared" si="12"/>
        <v>3.54</v>
      </c>
      <c r="I91" s="95">
        <f t="shared" si="12"/>
        <v>3.54</v>
      </c>
      <c r="J91" s="95">
        <f t="shared" si="12"/>
        <v>3.54</v>
      </c>
      <c r="K91" s="95">
        <f t="shared" si="12"/>
        <v>3.54</v>
      </c>
      <c r="L91" s="95">
        <f t="shared" si="12"/>
        <v>3.54</v>
      </c>
      <c r="M91" s="95">
        <f t="shared" si="12"/>
        <v>3.54</v>
      </c>
      <c r="N91" s="95">
        <f t="shared" si="12"/>
        <v>3.54</v>
      </c>
      <c r="O91" s="95">
        <f t="shared" si="12"/>
        <v>3.54</v>
      </c>
      <c r="P91" s="95">
        <f t="shared" si="12"/>
        <v>3.54</v>
      </c>
      <c r="Q91" s="95">
        <f t="shared" si="12"/>
        <v>3.54</v>
      </c>
      <c r="R91" s="95">
        <f t="shared" si="12"/>
        <v>3.54</v>
      </c>
      <c r="S91" s="95">
        <f t="shared" si="12"/>
        <v>3.54</v>
      </c>
      <c r="T91" s="95">
        <f t="shared" si="12"/>
        <v>3.54</v>
      </c>
      <c r="U91" s="95">
        <f t="shared" si="12"/>
        <v>3.54</v>
      </c>
      <c r="V91" s="95">
        <f t="shared" si="12"/>
        <v>3.54</v>
      </c>
      <c r="W91" s="95">
        <f t="shared" si="12"/>
        <v>3.54</v>
      </c>
      <c r="X91" s="95">
        <f t="shared" si="12"/>
        <v>3.54</v>
      </c>
      <c r="Y91" s="95">
        <f t="shared" si="12"/>
        <v>3.54</v>
      </c>
      <c r="Z91" s="95">
        <f t="shared" si="12"/>
        <v>3.54</v>
      </c>
      <c r="AA91" s="95">
        <f t="shared" si="12"/>
        <v>3.54</v>
      </c>
      <c r="AB91" s="95">
        <f t="shared" si="12"/>
        <v>3.54</v>
      </c>
      <c r="AC91" s="95">
        <f t="shared" si="12"/>
        <v>3.54</v>
      </c>
      <c r="AD91" s="95">
        <f t="shared" si="12"/>
        <v>3.54</v>
      </c>
      <c r="AE91" s="95">
        <f t="shared" si="12"/>
        <v>3.54</v>
      </c>
      <c r="AF91" s="95">
        <f t="shared" si="12"/>
        <v>3.54</v>
      </c>
      <c r="AG91" s="88">
        <f>AG88+AG84+AG72+AG68+AG50+AG90</f>
        <v>1573.45</v>
      </c>
      <c r="AH91" s="47">
        <f t="shared" si="8"/>
        <v>303.54000000000002</v>
      </c>
      <c r="AI91" s="48">
        <f t="shared" si="9"/>
        <v>3.54</v>
      </c>
    </row>
    <row r="92" spans="1:40" ht="15.75" thickBot="1" x14ac:dyDescent="0.3">
      <c r="A92" s="73" t="s">
        <v>111</v>
      </c>
      <c r="B92" s="95">
        <f t="shared" ref="B92:AF92" si="13">B91-B99</f>
        <v>303.54000000000002</v>
      </c>
      <c r="C92" s="95">
        <f t="shared" si="13"/>
        <v>3.54</v>
      </c>
      <c r="D92" s="95">
        <f t="shared" si="13"/>
        <v>3.54</v>
      </c>
      <c r="E92" s="95">
        <f t="shared" si="13"/>
        <v>3.54</v>
      </c>
      <c r="F92" s="95">
        <f t="shared" si="13"/>
        <v>3.54</v>
      </c>
      <c r="G92" s="95">
        <f t="shared" si="13"/>
        <v>3.54</v>
      </c>
      <c r="H92" s="95">
        <f t="shared" si="13"/>
        <v>3.54</v>
      </c>
      <c r="I92" s="95">
        <f t="shared" si="13"/>
        <v>3.54</v>
      </c>
      <c r="J92" s="95">
        <f t="shared" si="13"/>
        <v>3.54</v>
      </c>
      <c r="K92" s="95">
        <f t="shared" si="13"/>
        <v>3.54</v>
      </c>
      <c r="L92" s="95">
        <f t="shared" si="13"/>
        <v>3.54</v>
      </c>
      <c r="M92" s="95">
        <f t="shared" si="13"/>
        <v>3.54</v>
      </c>
      <c r="N92" s="95">
        <f t="shared" si="13"/>
        <v>3.54</v>
      </c>
      <c r="O92" s="95">
        <f t="shared" si="13"/>
        <v>3.54</v>
      </c>
      <c r="P92" s="95">
        <f t="shared" si="13"/>
        <v>3.54</v>
      </c>
      <c r="Q92" s="95">
        <f t="shared" si="13"/>
        <v>3.54</v>
      </c>
      <c r="R92" s="95">
        <f t="shared" si="13"/>
        <v>3.54</v>
      </c>
      <c r="S92" s="95">
        <f t="shared" si="13"/>
        <v>3.54</v>
      </c>
      <c r="T92" s="95">
        <f t="shared" si="13"/>
        <v>3.54</v>
      </c>
      <c r="U92" s="95">
        <f t="shared" si="13"/>
        <v>3.54</v>
      </c>
      <c r="V92" s="95">
        <f t="shared" si="13"/>
        <v>3.54</v>
      </c>
      <c r="W92" s="95">
        <f t="shared" si="13"/>
        <v>3.54</v>
      </c>
      <c r="X92" s="95">
        <f t="shared" si="13"/>
        <v>3.54</v>
      </c>
      <c r="Y92" s="95">
        <f t="shared" si="13"/>
        <v>3.54</v>
      </c>
      <c r="Z92" s="95">
        <f t="shared" si="13"/>
        <v>3.54</v>
      </c>
      <c r="AA92" s="95">
        <f t="shared" si="13"/>
        <v>3.54</v>
      </c>
      <c r="AB92" s="95">
        <f t="shared" si="13"/>
        <v>3.54</v>
      </c>
      <c r="AC92" s="95">
        <f t="shared" si="13"/>
        <v>3.54</v>
      </c>
      <c r="AD92" s="95">
        <f t="shared" si="13"/>
        <v>3.54</v>
      </c>
      <c r="AE92" s="95">
        <f t="shared" si="13"/>
        <v>3.54</v>
      </c>
      <c r="AF92" s="95">
        <f t="shared" si="13"/>
        <v>3.54</v>
      </c>
      <c r="AG92" s="88"/>
      <c r="AH92" s="47">
        <f t="shared" si="8"/>
        <v>303.54000000000002</v>
      </c>
      <c r="AI92" s="48">
        <f t="shared" si="9"/>
        <v>3.54</v>
      </c>
    </row>
    <row r="93" spans="1:40" x14ac:dyDescent="0.25">
      <c r="A93" s="44" t="s">
        <v>92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0</v>
      </c>
      <c r="AB93" s="76">
        <v>0</v>
      </c>
      <c r="AC93" s="76">
        <v>0</v>
      </c>
      <c r="AD93" s="76">
        <v>0</v>
      </c>
      <c r="AE93" s="76">
        <v>0</v>
      </c>
      <c r="AF93" s="76">
        <v>0</v>
      </c>
      <c r="AG93" s="51"/>
      <c r="AH93" s="47">
        <f t="shared" si="8"/>
        <v>0</v>
      </c>
      <c r="AI93" s="48">
        <f t="shared" si="9"/>
        <v>0</v>
      </c>
    </row>
    <row r="94" spans="1:40" x14ac:dyDescent="0.25">
      <c r="A94" s="53" t="s">
        <v>90</v>
      </c>
      <c r="B94" s="76">
        <v>0</v>
      </c>
      <c r="C94" s="76">
        <v>0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0</v>
      </c>
      <c r="AB94" s="76">
        <v>0</v>
      </c>
      <c r="AC94" s="76">
        <v>0</v>
      </c>
      <c r="AD94" s="76">
        <v>0</v>
      </c>
      <c r="AE94" s="76">
        <v>0</v>
      </c>
      <c r="AF94" s="76">
        <v>0</v>
      </c>
      <c r="AG94" s="54"/>
      <c r="AH94" s="47">
        <f t="shared" si="8"/>
        <v>0</v>
      </c>
      <c r="AI94" s="48">
        <f t="shared" si="9"/>
        <v>0</v>
      </c>
    </row>
    <row r="95" spans="1:40" x14ac:dyDescent="0.25">
      <c r="A95" s="84" t="s">
        <v>112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0</v>
      </c>
      <c r="AB95" s="76">
        <v>0</v>
      </c>
      <c r="AC95" s="76">
        <v>0</v>
      </c>
      <c r="AD95" s="76">
        <v>0</v>
      </c>
      <c r="AE95" s="76">
        <v>0</v>
      </c>
      <c r="AF95" s="76">
        <v>0</v>
      </c>
      <c r="AG95" s="98"/>
      <c r="AH95" s="47">
        <f t="shared" si="8"/>
        <v>0</v>
      </c>
      <c r="AI95" s="48">
        <f t="shared" si="9"/>
        <v>0</v>
      </c>
    </row>
    <row r="96" spans="1:40" x14ac:dyDescent="0.25">
      <c r="A96" s="84" t="s">
        <v>113</v>
      </c>
      <c r="B96" s="76">
        <v>0</v>
      </c>
      <c r="C96" s="76">
        <v>0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76">
        <v>0</v>
      </c>
      <c r="U96" s="76">
        <v>0</v>
      </c>
      <c r="V96" s="76">
        <v>0</v>
      </c>
      <c r="W96" s="76">
        <v>0</v>
      </c>
      <c r="X96" s="76">
        <v>0</v>
      </c>
      <c r="Y96" s="76">
        <v>0</v>
      </c>
      <c r="Z96" s="76">
        <v>0</v>
      </c>
      <c r="AA96" s="76">
        <v>0</v>
      </c>
      <c r="AB96" s="76">
        <v>0</v>
      </c>
      <c r="AC96" s="76">
        <v>0</v>
      </c>
      <c r="AD96" s="76">
        <v>0</v>
      </c>
      <c r="AE96" s="76">
        <v>0</v>
      </c>
      <c r="AF96" s="76">
        <v>0</v>
      </c>
      <c r="AG96" s="98"/>
      <c r="AH96" s="47">
        <f t="shared" si="8"/>
        <v>0</v>
      </c>
      <c r="AI96" s="48">
        <f t="shared" si="9"/>
        <v>0</v>
      </c>
    </row>
    <row r="97" spans="1:37" x14ac:dyDescent="0.25">
      <c r="A97" s="84" t="s">
        <v>89</v>
      </c>
      <c r="B97" s="76">
        <v>0</v>
      </c>
      <c r="C97" s="76">
        <v>0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0</v>
      </c>
      <c r="AB97" s="76">
        <v>0</v>
      </c>
      <c r="AC97" s="76">
        <v>0</v>
      </c>
      <c r="AD97" s="76">
        <v>0</v>
      </c>
      <c r="AE97" s="76">
        <v>0</v>
      </c>
      <c r="AF97" s="76">
        <v>0</v>
      </c>
      <c r="AG97" s="98"/>
      <c r="AH97" s="47">
        <f t="shared" si="8"/>
        <v>0</v>
      </c>
      <c r="AI97" s="48">
        <f t="shared" si="9"/>
        <v>0</v>
      </c>
    </row>
    <row r="98" spans="1:37" ht="15.75" thickBot="1" x14ac:dyDescent="0.3">
      <c r="A98" s="84" t="s">
        <v>114</v>
      </c>
      <c r="B98" s="94">
        <v>0</v>
      </c>
      <c r="C98" s="94">
        <v>0</v>
      </c>
      <c r="D98" s="94">
        <v>0</v>
      </c>
      <c r="E98" s="94">
        <v>0</v>
      </c>
      <c r="F98" s="94">
        <v>0</v>
      </c>
      <c r="G98" s="94">
        <v>0</v>
      </c>
      <c r="H98" s="94">
        <v>0</v>
      </c>
      <c r="I98" s="94">
        <v>0</v>
      </c>
      <c r="J98" s="94">
        <v>0</v>
      </c>
      <c r="K98" s="94">
        <v>0</v>
      </c>
      <c r="L98" s="94">
        <v>0</v>
      </c>
      <c r="M98" s="94">
        <v>0</v>
      </c>
      <c r="N98" s="94">
        <v>0</v>
      </c>
      <c r="O98" s="94">
        <v>0</v>
      </c>
      <c r="P98" s="94">
        <v>0</v>
      </c>
      <c r="Q98" s="94">
        <v>0</v>
      </c>
      <c r="R98" s="94">
        <v>0</v>
      </c>
      <c r="S98" s="94">
        <v>0</v>
      </c>
      <c r="T98" s="94">
        <v>0</v>
      </c>
      <c r="U98" s="94">
        <v>0</v>
      </c>
      <c r="V98" s="94">
        <v>0</v>
      </c>
      <c r="W98" s="94">
        <v>0</v>
      </c>
      <c r="X98" s="94">
        <v>0</v>
      </c>
      <c r="Y98" s="94">
        <v>0</v>
      </c>
      <c r="Z98" s="94">
        <v>0</v>
      </c>
      <c r="AA98" s="94">
        <v>0</v>
      </c>
      <c r="AB98" s="94">
        <v>0</v>
      </c>
      <c r="AC98" s="94">
        <v>0</v>
      </c>
      <c r="AD98" s="94">
        <v>0</v>
      </c>
      <c r="AE98" s="94">
        <v>0</v>
      </c>
      <c r="AF98" s="94">
        <v>0</v>
      </c>
      <c r="AG98" s="85"/>
      <c r="AH98" s="47">
        <f t="shared" si="8"/>
        <v>0</v>
      </c>
      <c r="AI98" s="48">
        <f t="shared" si="9"/>
        <v>0</v>
      </c>
    </row>
    <row r="99" spans="1:37" ht="15.75" thickBot="1" x14ac:dyDescent="0.3">
      <c r="A99" s="99" t="s">
        <v>115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88"/>
      <c r="AH99" s="47">
        <f t="shared" si="8"/>
        <v>0</v>
      </c>
      <c r="AI99" s="48">
        <f t="shared" si="9"/>
        <v>0</v>
      </c>
      <c r="AK99" s="74"/>
    </row>
    <row r="100" spans="1:37" ht="15.75" thickBot="1" x14ac:dyDescent="0.3">
      <c r="A100" s="73" t="s">
        <v>116</v>
      </c>
      <c r="B100" s="59">
        <f t="shared" ref="B100:AF100" si="14">B84-B99</f>
        <v>0</v>
      </c>
      <c r="C100" s="59">
        <f t="shared" si="14"/>
        <v>0</v>
      </c>
      <c r="D100" s="59">
        <f t="shared" si="14"/>
        <v>0</v>
      </c>
      <c r="E100" s="59">
        <f t="shared" si="14"/>
        <v>0</v>
      </c>
      <c r="F100" s="59">
        <f t="shared" si="14"/>
        <v>0</v>
      </c>
      <c r="G100" s="59">
        <f t="shared" si="14"/>
        <v>0</v>
      </c>
      <c r="H100" s="59">
        <f t="shared" si="14"/>
        <v>0</v>
      </c>
      <c r="I100" s="59">
        <f t="shared" si="14"/>
        <v>0</v>
      </c>
      <c r="J100" s="59">
        <f t="shared" si="14"/>
        <v>0</v>
      </c>
      <c r="K100" s="59">
        <f t="shared" si="14"/>
        <v>0</v>
      </c>
      <c r="L100" s="59">
        <f t="shared" si="14"/>
        <v>0</v>
      </c>
      <c r="M100" s="59">
        <f t="shared" si="14"/>
        <v>0</v>
      </c>
      <c r="N100" s="59">
        <f t="shared" si="14"/>
        <v>0</v>
      </c>
      <c r="O100" s="59">
        <f t="shared" si="14"/>
        <v>0</v>
      </c>
      <c r="P100" s="59">
        <f t="shared" si="14"/>
        <v>0</v>
      </c>
      <c r="Q100" s="59">
        <f t="shared" si="14"/>
        <v>0</v>
      </c>
      <c r="R100" s="59">
        <f t="shared" si="14"/>
        <v>0</v>
      </c>
      <c r="S100" s="59">
        <f t="shared" si="14"/>
        <v>0</v>
      </c>
      <c r="T100" s="59">
        <f t="shared" si="14"/>
        <v>0</v>
      </c>
      <c r="U100" s="59">
        <f t="shared" si="14"/>
        <v>0</v>
      </c>
      <c r="V100" s="59">
        <f t="shared" si="14"/>
        <v>0</v>
      </c>
      <c r="W100" s="59">
        <f t="shared" si="14"/>
        <v>0</v>
      </c>
      <c r="X100" s="59">
        <f t="shared" si="14"/>
        <v>0</v>
      </c>
      <c r="Y100" s="59">
        <f t="shared" si="14"/>
        <v>0</v>
      </c>
      <c r="Z100" s="59">
        <f t="shared" si="14"/>
        <v>0</v>
      </c>
      <c r="AA100" s="59">
        <f t="shared" si="14"/>
        <v>0</v>
      </c>
      <c r="AB100" s="59">
        <f t="shared" si="14"/>
        <v>0</v>
      </c>
      <c r="AC100" s="59">
        <f t="shared" si="14"/>
        <v>0</v>
      </c>
      <c r="AD100" s="59">
        <f t="shared" si="14"/>
        <v>0</v>
      </c>
      <c r="AE100" s="59">
        <f t="shared" si="14"/>
        <v>0</v>
      </c>
      <c r="AF100" s="59">
        <f t="shared" si="14"/>
        <v>0</v>
      </c>
      <c r="AG100" s="88"/>
      <c r="AH100" s="47">
        <f t="shared" si="8"/>
        <v>0</v>
      </c>
      <c r="AI100" s="48">
        <f t="shared" si="9"/>
        <v>0</v>
      </c>
    </row>
    <row r="101" spans="1:37" x14ac:dyDescent="0.25">
      <c r="A101" s="100" t="s">
        <v>117</v>
      </c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2"/>
      <c r="AH101" s="47">
        <f t="shared" si="8"/>
        <v>0</v>
      </c>
      <c r="AI101" s="48">
        <f t="shared" si="9"/>
        <v>0</v>
      </c>
    </row>
    <row r="102" spans="1:37" x14ac:dyDescent="0.25">
      <c r="A102" s="103" t="s">
        <v>118</v>
      </c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104"/>
      <c r="AH102" s="47">
        <f t="shared" si="8"/>
        <v>0</v>
      </c>
      <c r="AI102" s="48">
        <f t="shared" si="9"/>
        <v>0</v>
      </c>
    </row>
    <row r="103" spans="1:37" x14ac:dyDescent="0.25">
      <c r="A103" s="103" t="s">
        <v>119</v>
      </c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104"/>
      <c r="AH103" s="47">
        <f t="shared" si="8"/>
        <v>0</v>
      </c>
      <c r="AI103" s="48">
        <f t="shared" si="9"/>
        <v>0</v>
      </c>
    </row>
    <row r="104" spans="1:37" x14ac:dyDescent="0.25">
      <c r="A104" s="103" t="s">
        <v>120</v>
      </c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104"/>
      <c r="AH104" s="47">
        <f t="shared" si="8"/>
        <v>0</v>
      </c>
      <c r="AI104" s="48">
        <f t="shared" si="9"/>
        <v>0</v>
      </c>
    </row>
    <row r="105" spans="1:37" x14ac:dyDescent="0.25">
      <c r="A105" s="105" t="s">
        <v>121</v>
      </c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104"/>
      <c r="AH105" s="47">
        <f t="shared" si="8"/>
        <v>0</v>
      </c>
      <c r="AI105" s="48">
        <f t="shared" si="9"/>
        <v>0</v>
      </c>
    </row>
    <row r="106" spans="1:37" x14ac:dyDescent="0.25">
      <c r="A106" s="105" t="s">
        <v>122</v>
      </c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7"/>
      <c r="AH106" s="47">
        <f t="shared" si="8"/>
        <v>0</v>
      </c>
      <c r="AI106" s="48">
        <f t="shared" si="9"/>
        <v>0</v>
      </c>
    </row>
    <row r="107" spans="1:37" x14ac:dyDescent="0.25">
      <c r="A107" s="103" t="s">
        <v>123</v>
      </c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104"/>
      <c r="AH107" s="47">
        <f t="shared" si="8"/>
        <v>0</v>
      </c>
      <c r="AI107" s="48">
        <f t="shared" si="9"/>
        <v>0</v>
      </c>
    </row>
    <row r="108" spans="1:37" ht="15.75" thickBot="1" x14ac:dyDescent="0.3">
      <c r="A108" s="103" t="s">
        <v>124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108"/>
      <c r="AH108" s="47">
        <f t="shared" si="8"/>
        <v>0</v>
      </c>
      <c r="AI108" s="48">
        <f t="shared" si="9"/>
        <v>0</v>
      </c>
    </row>
    <row r="109" spans="1:37" ht="15.75" thickBot="1" x14ac:dyDescent="0.3">
      <c r="A109" s="109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 t="s">
        <v>125</v>
      </c>
      <c r="Y109" s="92"/>
      <c r="Z109" s="92"/>
      <c r="AA109" s="92"/>
      <c r="AB109" s="92"/>
      <c r="AC109" s="92"/>
      <c r="AD109" s="92"/>
      <c r="AE109" s="92"/>
      <c r="AF109" s="92"/>
      <c r="AG109" s="108"/>
      <c r="AH109" s="47">
        <f t="shared" si="8"/>
        <v>0</v>
      </c>
      <c r="AI109" s="48">
        <f t="shared" si="9"/>
        <v>0</v>
      </c>
    </row>
    <row r="110" spans="1:37" ht="15.75" thickBot="1" x14ac:dyDescent="0.3">
      <c r="A110" s="110" t="s">
        <v>126</v>
      </c>
      <c r="B110" s="111">
        <f t="shared" ref="B110:O110" si="15">SUM(B20,B26,B29:B30,B58,B60:B61,B63,B65,B111:B115,B138,B144,B150,B159,B161,B173,B180,B183:B184,B191,B193,B195,B199:B201,B203:B205,B210,B216:B217,B219:B221,B229,B234)</f>
        <v>0</v>
      </c>
      <c r="C110" s="111">
        <f t="shared" si="15"/>
        <v>0.94</v>
      </c>
      <c r="D110" s="111">
        <f t="shared" si="15"/>
        <v>0.94</v>
      </c>
      <c r="E110" s="111">
        <f t="shared" si="15"/>
        <v>0.94</v>
      </c>
      <c r="F110" s="111">
        <f t="shared" si="15"/>
        <v>0.94</v>
      </c>
      <c r="G110" s="111">
        <f t="shared" si="15"/>
        <v>0.94</v>
      </c>
      <c r="H110" s="111">
        <f t="shared" si="15"/>
        <v>0.94</v>
      </c>
      <c r="I110" s="111">
        <f t="shared" si="15"/>
        <v>0.94</v>
      </c>
      <c r="J110" s="111">
        <f t="shared" si="15"/>
        <v>0.94</v>
      </c>
      <c r="K110" s="111">
        <f t="shared" si="15"/>
        <v>0.94</v>
      </c>
      <c r="L110" s="111">
        <f t="shared" si="15"/>
        <v>0.94</v>
      </c>
      <c r="M110" s="111">
        <f t="shared" si="15"/>
        <v>0.94</v>
      </c>
      <c r="N110" s="111">
        <f t="shared" si="15"/>
        <v>0.94</v>
      </c>
      <c r="O110" s="111">
        <f t="shared" si="15"/>
        <v>0.94</v>
      </c>
      <c r="P110" s="111">
        <v>42</v>
      </c>
      <c r="Q110" s="111">
        <f t="shared" ref="Q110:AF110" si="16">SUM(Q20,Q26,Q29:Q30,Q58,Q60:Q61,Q63,Q65,Q111:Q115,Q138,Q144,Q150,Q159,Q161,Q173,Q180,Q183:Q184,Q191,Q193,Q195,Q199:Q201,Q203:Q205,Q210,Q216:Q217,Q219:Q221,Q229,Q234)</f>
        <v>0</v>
      </c>
      <c r="R110" s="111">
        <f t="shared" si="16"/>
        <v>0</v>
      </c>
      <c r="S110" s="111">
        <f t="shared" si="16"/>
        <v>0</v>
      </c>
      <c r="T110" s="111">
        <f t="shared" si="16"/>
        <v>0</v>
      </c>
      <c r="U110" s="111">
        <f t="shared" si="16"/>
        <v>0</v>
      </c>
      <c r="V110" s="111">
        <f t="shared" si="16"/>
        <v>0</v>
      </c>
      <c r="W110" s="111">
        <f t="shared" si="16"/>
        <v>0</v>
      </c>
      <c r="X110" s="111">
        <f t="shared" si="16"/>
        <v>0</v>
      </c>
      <c r="Y110" s="111">
        <f t="shared" si="16"/>
        <v>0</v>
      </c>
      <c r="Z110" s="111">
        <f t="shared" si="16"/>
        <v>0</v>
      </c>
      <c r="AA110" s="111">
        <f t="shared" si="16"/>
        <v>0</v>
      </c>
      <c r="AB110" s="111">
        <f t="shared" si="16"/>
        <v>0</v>
      </c>
      <c r="AC110" s="111">
        <f t="shared" si="16"/>
        <v>0</v>
      </c>
      <c r="AD110" s="111"/>
      <c r="AE110" s="111">
        <f t="shared" si="16"/>
        <v>0</v>
      </c>
      <c r="AF110" s="111">
        <f t="shared" si="16"/>
        <v>0</v>
      </c>
      <c r="AG110" s="112"/>
      <c r="AH110" s="47">
        <f t="shared" si="8"/>
        <v>42</v>
      </c>
      <c r="AI110" s="48">
        <f t="shared" si="9"/>
        <v>0</v>
      </c>
    </row>
    <row r="111" spans="1:37" x14ac:dyDescent="0.25">
      <c r="A111" s="100" t="s">
        <v>127</v>
      </c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4">
        <v>75</v>
      </c>
      <c r="AH111" s="47">
        <f t="shared" si="8"/>
        <v>0</v>
      </c>
      <c r="AI111" s="48">
        <f t="shared" si="9"/>
        <v>0</v>
      </c>
    </row>
    <row r="112" spans="1:37" x14ac:dyDescent="0.25">
      <c r="A112" s="103" t="s">
        <v>128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4">
        <v>240</v>
      </c>
      <c r="AH112" s="47">
        <f t="shared" si="8"/>
        <v>0</v>
      </c>
      <c r="AI112" s="48">
        <f t="shared" si="9"/>
        <v>0</v>
      </c>
    </row>
    <row r="113" spans="1:37" x14ac:dyDescent="0.25">
      <c r="A113" s="103" t="s">
        <v>129</v>
      </c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4">
        <v>240</v>
      </c>
      <c r="AH113" s="47">
        <f t="shared" si="8"/>
        <v>0</v>
      </c>
      <c r="AI113" s="48">
        <f t="shared" si="9"/>
        <v>0</v>
      </c>
    </row>
    <row r="114" spans="1:37" x14ac:dyDescent="0.25">
      <c r="A114" s="103" t="s">
        <v>130</v>
      </c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4">
        <v>60</v>
      </c>
      <c r="AH114" s="47">
        <f t="shared" si="8"/>
        <v>0</v>
      </c>
      <c r="AI114" s="48">
        <f t="shared" si="9"/>
        <v>0</v>
      </c>
    </row>
    <row r="115" spans="1:37" x14ac:dyDescent="0.25">
      <c r="A115" s="116" t="s">
        <v>131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8">
        <v>120</v>
      </c>
      <c r="AH115" s="47">
        <f t="shared" si="8"/>
        <v>0</v>
      </c>
      <c r="AI115" s="48">
        <f t="shared" si="9"/>
        <v>0</v>
      </c>
    </row>
    <row r="116" spans="1:37" x14ac:dyDescent="0.25">
      <c r="A116" s="116" t="s">
        <v>132</v>
      </c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8"/>
      <c r="AH116" s="47">
        <f t="shared" si="8"/>
        <v>0</v>
      </c>
      <c r="AI116" s="48">
        <f t="shared" si="9"/>
        <v>0</v>
      </c>
    </row>
    <row r="117" spans="1:37" x14ac:dyDescent="0.25">
      <c r="A117" s="116" t="s">
        <v>133</v>
      </c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9"/>
      <c r="AH117" s="47">
        <f t="shared" si="8"/>
        <v>0</v>
      </c>
      <c r="AI117" s="48">
        <f t="shared" si="9"/>
        <v>0</v>
      </c>
    </row>
    <row r="118" spans="1:37" x14ac:dyDescent="0.25">
      <c r="A118" s="120" t="s">
        <v>134</v>
      </c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19"/>
      <c r="AH118" s="47">
        <f t="shared" si="8"/>
        <v>0</v>
      </c>
      <c r="AI118" s="48">
        <f t="shared" si="9"/>
        <v>0</v>
      </c>
    </row>
    <row r="119" spans="1:37" x14ac:dyDescent="0.25">
      <c r="A119" s="121" t="s">
        <v>135</v>
      </c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19"/>
      <c r="AH119" s="47">
        <f t="shared" si="8"/>
        <v>0</v>
      </c>
      <c r="AI119" s="48">
        <f t="shared" si="9"/>
        <v>0</v>
      </c>
    </row>
    <row r="120" spans="1:37" ht="15.75" thickBot="1" x14ac:dyDescent="0.3">
      <c r="A120" s="120" t="s">
        <v>136</v>
      </c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19"/>
      <c r="AH120" s="47">
        <f t="shared" si="8"/>
        <v>0</v>
      </c>
      <c r="AI120" s="48">
        <f t="shared" si="9"/>
        <v>0</v>
      </c>
    </row>
    <row r="121" spans="1:37" ht="15.75" thickBot="1" x14ac:dyDescent="0.3">
      <c r="A121" s="122" t="s">
        <v>137</v>
      </c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4"/>
      <c r="AH121" s="47"/>
      <c r="AI121" s="48"/>
      <c r="AK121" s="74"/>
    </row>
    <row r="122" spans="1:37" x14ac:dyDescent="0.25">
      <c r="A122" s="125" t="s">
        <v>138</v>
      </c>
      <c r="B122" s="126"/>
      <c r="C122" s="127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8">
        <v>9.94</v>
      </c>
      <c r="AH122" s="47"/>
      <c r="AI122" s="48"/>
      <c r="AK122" s="74"/>
    </row>
    <row r="123" spans="1:37" x14ac:dyDescent="0.25">
      <c r="A123" s="103" t="s">
        <v>139</v>
      </c>
      <c r="B123" s="126"/>
      <c r="C123" s="127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8"/>
      <c r="AH123" s="47"/>
      <c r="AI123" s="48"/>
      <c r="AK123" s="74"/>
    </row>
    <row r="124" spans="1:37" x14ac:dyDescent="0.25">
      <c r="A124" s="103" t="s">
        <v>140</v>
      </c>
      <c r="B124" s="126"/>
      <c r="C124" s="127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8"/>
      <c r="AH124" s="47"/>
      <c r="AI124" s="48"/>
      <c r="AK124" s="74"/>
    </row>
    <row r="125" spans="1:37" x14ac:dyDescent="0.25">
      <c r="A125" s="103" t="s">
        <v>141</v>
      </c>
      <c r="B125" s="126"/>
      <c r="C125" s="127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8"/>
      <c r="AH125" s="47"/>
      <c r="AI125" s="48"/>
      <c r="AK125" s="74"/>
    </row>
    <row r="126" spans="1:37" x14ac:dyDescent="0.25">
      <c r="A126" s="103" t="s">
        <v>142</v>
      </c>
      <c r="B126" s="126"/>
      <c r="C126" s="127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8"/>
      <c r="AH126" s="47"/>
      <c r="AI126" s="48"/>
      <c r="AK126" s="74"/>
    </row>
    <row r="127" spans="1:37" x14ac:dyDescent="0.25">
      <c r="A127" s="103" t="s">
        <v>143</v>
      </c>
      <c r="B127" s="126"/>
      <c r="C127" s="127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8"/>
      <c r="AH127" s="47"/>
      <c r="AI127" s="48"/>
      <c r="AK127" s="74"/>
    </row>
    <row r="128" spans="1:37" x14ac:dyDescent="0.25">
      <c r="A128" s="103" t="s">
        <v>144</v>
      </c>
      <c r="B128" s="126"/>
      <c r="C128" s="127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8"/>
      <c r="AH128" s="47"/>
      <c r="AI128" s="48"/>
      <c r="AK128" s="74"/>
    </row>
    <row r="129" spans="1:37" x14ac:dyDescent="0.25">
      <c r="A129" s="103" t="s">
        <v>145</v>
      </c>
      <c r="B129" s="126"/>
      <c r="C129" s="127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8"/>
      <c r="AH129" s="47"/>
      <c r="AI129" s="48"/>
      <c r="AK129" s="74"/>
    </row>
    <row r="130" spans="1:37" x14ac:dyDescent="0.25">
      <c r="A130" s="103" t="s">
        <v>146</v>
      </c>
      <c r="B130" s="126"/>
      <c r="C130" s="127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8"/>
      <c r="AH130" s="47"/>
      <c r="AI130" s="48"/>
      <c r="AK130" s="74"/>
    </row>
    <row r="131" spans="1:37" x14ac:dyDescent="0.25">
      <c r="A131" s="103" t="s">
        <v>147</v>
      </c>
      <c r="B131" s="126"/>
      <c r="C131" s="127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8"/>
      <c r="AH131" s="47"/>
      <c r="AI131" s="48"/>
      <c r="AK131" s="74"/>
    </row>
    <row r="132" spans="1:37" x14ac:dyDescent="0.25">
      <c r="A132" s="103" t="s">
        <v>148</v>
      </c>
      <c r="B132" s="126"/>
      <c r="C132" s="127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8"/>
      <c r="AH132" s="47"/>
      <c r="AI132" s="48"/>
      <c r="AK132" s="74"/>
    </row>
    <row r="133" spans="1:37" x14ac:dyDescent="0.25">
      <c r="A133" s="103" t="s">
        <v>149</v>
      </c>
      <c r="B133" s="126"/>
      <c r="C133" s="127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  <c r="AH133" s="47"/>
      <c r="AI133" s="48"/>
      <c r="AK133" s="74"/>
    </row>
    <row r="134" spans="1:37" x14ac:dyDescent="0.25">
      <c r="A134" s="103" t="s">
        <v>150</v>
      </c>
      <c r="B134" s="126"/>
      <c r="C134" s="127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8"/>
      <c r="AH134" s="47"/>
      <c r="AI134" s="48"/>
      <c r="AK134" s="74"/>
    </row>
    <row r="135" spans="1:37" x14ac:dyDescent="0.25">
      <c r="A135" s="103" t="s">
        <v>151</v>
      </c>
      <c r="B135" s="126"/>
      <c r="C135" s="127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8"/>
      <c r="AH135" s="47"/>
      <c r="AI135" s="48"/>
      <c r="AK135" s="74"/>
    </row>
    <row r="136" spans="1:37" x14ac:dyDescent="0.25">
      <c r="A136" s="103" t="s">
        <v>152</v>
      </c>
      <c r="B136" s="126"/>
      <c r="C136" s="127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8"/>
      <c r="AH136" s="47"/>
      <c r="AI136" s="48"/>
      <c r="AK136" s="74"/>
    </row>
    <row r="137" spans="1:37" x14ac:dyDescent="0.25">
      <c r="A137" s="103" t="s">
        <v>153</v>
      </c>
      <c r="B137" s="126"/>
      <c r="C137" s="127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8"/>
      <c r="AH137" s="47"/>
      <c r="AI137" s="48"/>
      <c r="AK137" s="74"/>
    </row>
    <row r="138" spans="1:37" x14ac:dyDescent="0.25">
      <c r="A138" s="103" t="s">
        <v>154</v>
      </c>
      <c r="B138" s="129"/>
      <c r="C138" s="130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31">
        <v>9.9</v>
      </c>
      <c r="AH138" s="47"/>
      <c r="AI138" s="48"/>
      <c r="AK138" s="74"/>
    </row>
    <row r="139" spans="1:37" x14ac:dyDescent="0.25">
      <c r="A139" s="116" t="s">
        <v>155</v>
      </c>
      <c r="B139" s="129"/>
      <c r="C139" s="130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32">
        <v>9.6579999999999995</v>
      </c>
      <c r="AH139" s="47"/>
      <c r="AI139" s="48"/>
      <c r="AK139" s="74"/>
    </row>
    <row r="140" spans="1:37" x14ac:dyDescent="0.25">
      <c r="A140" s="116" t="s">
        <v>156</v>
      </c>
      <c r="B140" s="129"/>
      <c r="C140" s="130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32">
        <v>9.6</v>
      </c>
      <c r="AH140" s="47"/>
      <c r="AI140" s="48"/>
      <c r="AK140" s="74"/>
    </row>
    <row r="141" spans="1:37" x14ac:dyDescent="0.25">
      <c r="A141" s="116" t="s">
        <v>157</v>
      </c>
      <c r="B141" s="129"/>
      <c r="C141" s="130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32">
        <v>9.51</v>
      </c>
      <c r="AH141" s="47"/>
      <c r="AI141" s="48"/>
      <c r="AK141" s="74"/>
    </row>
    <row r="142" spans="1:37" x14ac:dyDescent="0.25">
      <c r="A142" s="116" t="s">
        <v>158</v>
      </c>
      <c r="B142" s="129"/>
      <c r="C142" s="130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32">
        <v>9.4</v>
      </c>
      <c r="AH142" s="47"/>
      <c r="AI142" s="48"/>
      <c r="AK142" s="74"/>
    </row>
    <row r="143" spans="1:37" x14ac:dyDescent="0.25">
      <c r="A143" s="116" t="s">
        <v>159</v>
      </c>
      <c r="B143" s="129"/>
      <c r="C143" s="130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32">
        <v>8.8000000000000007</v>
      </c>
      <c r="AH143" s="47"/>
      <c r="AI143" s="48"/>
      <c r="AK143" s="74"/>
    </row>
    <row r="144" spans="1:37" x14ac:dyDescent="0.25">
      <c r="A144" s="116" t="s">
        <v>160</v>
      </c>
      <c r="B144" s="129"/>
      <c r="C144" s="130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32">
        <v>8.5</v>
      </c>
      <c r="AH144" s="47"/>
      <c r="AI144" s="48"/>
      <c r="AK144" s="74"/>
    </row>
    <row r="145" spans="1:37" x14ac:dyDescent="0.25">
      <c r="A145" s="116" t="s">
        <v>161</v>
      </c>
      <c r="B145" s="129"/>
      <c r="C145" s="130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32">
        <v>8.5</v>
      </c>
      <c r="AH145" s="47"/>
      <c r="AI145" s="48"/>
      <c r="AK145" s="74"/>
    </row>
    <row r="146" spans="1:37" x14ac:dyDescent="0.25">
      <c r="A146" s="116" t="s">
        <v>162</v>
      </c>
      <c r="B146" s="129"/>
      <c r="C146" s="130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32">
        <v>8.4</v>
      </c>
      <c r="AH146" s="47"/>
      <c r="AI146" s="48"/>
      <c r="AK146" s="74"/>
    </row>
    <row r="147" spans="1:37" ht="13.5" customHeight="1" x14ac:dyDescent="0.25">
      <c r="A147" s="116" t="s">
        <v>163</v>
      </c>
      <c r="B147" s="129"/>
      <c r="C147" s="130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32">
        <v>8</v>
      </c>
      <c r="AH147" s="47"/>
      <c r="AI147" s="48"/>
      <c r="AK147" s="74"/>
    </row>
    <row r="148" spans="1:37" x14ac:dyDescent="0.25">
      <c r="A148" s="116" t="s">
        <v>164</v>
      </c>
      <c r="B148" s="129"/>
      <c r="C148" s="130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32">
        <v>8</v>
      </c>
      <c r="AH148" s="47"/>
      <c r="AI148" s="48"/>
      <c r="AK148" s="74"/>
    </row>
    <row r="149" spans="1:37" x14ac:dyDescent="0.25">
      <c r="A149" s="116" t="s">
        <v>165</v>
      </c>
      <c r="B149" s="129"/>
      <c r="C149" s="130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32">
        <v>8</v>
      </c>
      <c r="AH149" s="47"/>
      <c r="AI149" s="48"/>
      <c r="AK149" s="74"/>
    </row>
    <row r="150" spans="1:37" x14ac:dyDescent="0.25">
      <c r="A150" s="116" t="s">
        <v>166</v>
      </c>
      <c r="B150" s="129"/>
      <c r="C150" s="130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32">
        <v>7.8</v>
      </c>
      <c r="AH150" s="47"/>
      <c r="AI150" s="48"/>
      <c r="AK150" s="74"/>
    </row>
    <row r="151" spans="1:37" x14ac:dyDescent="0.25">
      <c r="A151" s="116" t="s">
        <v>167</v>
      </c>
      <c r="B151" s="129"/>
      <c r="C151" s="130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32">
        <v>7.6</v>
      </c>
      <c r="AH151" s="47"/>
      <c r="AI151" s="48"/>
      <c r="AK151" s="74"/>
    </row>
    <row r="152" spans="1:37" x14ac:dyDescent="0.25">
      <c r="A152" s="116" t="s">
        <v>168</v>
      </c>
      <c r="B152" s="129"/>
      <c r="C152" s="130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32">
        <v>7.5</v>
      </c>
      <c r="AH152" s="47"/>
      <c r="AI152" s="48"/>
      <c r="AK152" s="74"/>
    </row>
    <row r="153" spans="1:37" x14ac:dyDescent="0.25">
      <c r="A153" s="116" t="s">
        <v>169</v>
      </c>
      <c r="B153" s="129"/>
      <c r="C153" s="130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32">
        <v>7.5</v>
      </c>
      <c r="AH153" s="47"/>
      <c r="AI153" s="48"/>
      <c r="AK153" s="74"/>
    </row>
    <row r="154" spans="1:37" x14ac:dyDescent="0.25">
      <c r="A154" s="116" t="s">
        <v>170</v>
      </c>
      <c r="B154" s="129"/>
      <c r="C154" s="130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32">
        <v>7</v>
      </c>
      <c r="AH154" s="47"/>
      <c r="AI154" s="48"/>
      <c r="AK154" s="74"/>
    </row>
    <row r="155" spans="1:37" x14ac:dyDescent="0.25">
      <c r="A155" s="116" t="s">
        <v>171</v>
      </c>
      <c r="B155" s="129"/>
      <c r="C155" s="130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32">
        <v>7</v>
      </c>
      <c r="AH155" s="47"/>
      <c r="AI155" s="48"/>
      <c r="AK155" s="74"/>
    </row>
    <row r="156" spans="1:37" x14ac:dyDescent="0.25">
      <c r="A156" s="116" t="s">
        <v>172</v>
      </c>
      <c r="B156" s="129"/>
      <c r="C156" s="130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32">
        <v>7</v>
      </c>
      <c r="AH156" s="47"/>
      <c r="AI156" s="48"/>
      <c r="AK156" s="74"/>
    </row>
    <row r="157" spans="1:37" x14ac:dyDescent="0.25">
      <c r="A157" s="116" t="s">
        <v>173</v>
      </c>
      <c r="B157" s="129"/>
      <c r="C157" s="130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32">
        <v>7</v>
      </c>
      <c r="AH157" s="47"/>
      <c r="AI157" s="48"/>
      <c r="AK157" s="74"/>
    </row>
    <row r="158" spans="1:37" x14ac:dyDescent="0.25">
      <c r="A158" s="116" t="s">
        <v>174</v>
      </c>
      <c r="B158" s="129"/>
      <c r="C158" s="130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32">
        <v>6.6</v>
      </c>
      <c r="AH158" s="47"/>
      <c r="AI158" s="48"/>
      <c r="AK158" s="74"/>
    </row>
    <row r="159" spans="1:37" x14ac:dyDescent="0.25">
      <c r="A159" s="116" t="s">
        <v>175</v>
      </c>
      <c r="B159" s="129"/>
      <c r="C159" s="130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32">
        <v>6.6</v>
      </c>
      <c r="AH159" s="47"/>
      <c r="AI159" s="48"/>
      <c r="AK159" s="74"/>
    </row>
    <row r="160" spans="1:37" x14ac:dyDescent="0.25">
      <c r="A160" s="116" t="s">
        <v>176</v>
      </c>
      <c r="B160" s="129"/>
      <c r="C160" s="130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32">
        <v>6.4</v>
      </c>
      <c r="AH160" s="47"/>
      <c r="AI160" s="48"/>
      <c r="AK160" s="74"/>
    </row>
    <row r="161" spans="1:37" x14ac:dyDescent="0.25">
      <c r="A161" s="116" t="s">
        <v>177</v>
      </c>
      <c r="B161" s="129"/>
      <c r="C161" s="130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32">
        <v>6</v>
      </c>
      <c r="AH161" s="47"/>
      <c r="AI161" s="48"/>
      <c r="AK161" s="74"/>
    </row>
    <row r="162" spans="1:37" x14ac:dyDescent="0.25">
      <c r="A162" s="116" t="s">
        <v>178</v>
      </c>
      <c r="B162" s="129"/>
      <c r="C162" s="130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32">
        <v>5.0999999999999996</v>
      </c>
      <c r="AH162" s="47"/>
      <c r="AI162" s="48"/>
      <c r="AK162" s="74"/>
    </row>
    <row r="163" spans="1:37" x14ac:dyDescent="0.25">
      <c r="A163" s="116" t="s">
        <v>179</v>
      </c>
      <c r="B163" s="129"/>
      <c r="C163" s="130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32">
        <v>5</v>
      </c>
      <c r="AH163" s="47"/>
      <c r="AI163" s="48"/>
      <c r="AK163" s="74"/>
    </row>
    <row r="164" spans="1:37" x14ac:dyDescent="0.25">
      <c r="A164" s="103" t="s">
        <v>180</v>
      </c>
      <c r="B164" s="129"/>
      <c r="C164" s="130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31">
        <v>5</v>
      </c>
      <c r="AH164" s="47"/>
      <c r="AI164" s="48"/>
      <c r="AK164" s="74"/>
    </row>
    <row r="165" spans="1:37" x14ac:dyDescent="0.25">
      <c r="A165" s="116" t="s">
        <v>181</v>
      </c>
      <c r="B165" s="129"/>
      <c r="C165" s="130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32">
        <v>5</v>
      </c>
      <c r="AH165" s="47"/>
      <c r="AI165" s="48"/>
      <c r="AK165" s="74"/>
    </row>
    <row r="166" spans="1:37" x14ac:dyDescent="0.25">
      <c r="A166" s="116" t="s">
        <v>182</v>
      </c>
      <c r="B166" s="129"/>
      <c r="C166" s="130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32">
        <v>5</v>
      </c>
      <c r="AH166" s="47"/>
      <c r="AI166" s="48"/>
      <c r="AK166" s="74"/>
    </row>
    <row r="167" spans="1:37" x14ac:dyDescent="0.25">
      <c r="A167" s="116" t="s">
        <v>183</v>
      </c>
      <c r="B167" s="129"/>
      <c r="C167" s="130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32">
        <v>5</v>
      </c>
      <c r="AH167" s="47"/>
      <c r="AI167" s="48"/>
      <c r="AK167" s="74"/>
    </row>
    <row r="168" spans="1:37" x14ac:dyDescent="0.25">
      <c r="A168" s="116" t="s">
        <v>184</v>
      </c>
      <c r="B168" s="129"/>
      <c r="C168" s="130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32">
        <v>5</v>
      </c>
      <c r="AH168" s="47"/>
      <c r="AI168" s="48"/>
      <c r="AK168" s="74"/>
    </row>
    <row r="169" spans="1:37" x14ac:dyDescent="0.25">
      <c r="A169" s="116" t="s">
        <v>185</v>
      </c>
      <c r="B169" s="129"/>
      <c r="C169" s="130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32">
        <v>5</v>
      </c>
      <c r="AH169" s="47"/>
      <c r="AI169" s="48"/>
      <c r="AK169" s="74"/>
    </row>
    <row r="170" spans="1:37" x14ac:dyDescent="0.25">
      <c r="A170" s="116" t="s">
        <v>186</v>
      </c>
      <c r="B170" s="129"/>
      <c r="C170" s="130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32">
        <v>4.9930000000000003</v>
      </c>
      <c r="AH170" s="47"/>
      <c r="AI170" s="48"/>
      <c r="AK170" s="74"/>
    </row>
    <row r="171" spans="1:37" x14ac:dyDescent="0.25">
      <c r="A171" s="116" t="s">
        <v>187</v>
      </c>
      <c r="B171" s="129"/>
      <c r="C171" s="130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32">
        <v>4.9800000000000004</v>
      </c>
      <c r="AH171" s="47"/>
      <c r="AI171" s="48"/>
      <c r="AK171" s="74"/>
    </row>
    <row r="172" spans="1:37" x14ac:dyDescent="0.25">
      <c r="A172" s="116" t="s">
        <v>188</v>
      </c>
      <c r="B172" s="129"/>
      <c r="C172" s="130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32">
        <v>4.95</v>
      </c>
      <c r="AH172" s="47"/>
      <c r="AI172" s="48"/>
      <c r="AK172" s="74"/>
    </row>
    <row r="173" spans="1:37" x14ac:dyDescent="0.25">
      <c r="A173" s="116" t="s">
        <v>189</v>
      </c>
      <c r="B173" s="129"/>
      <c r="C173" s="130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32">
        <v>4.95</v>
      </c>
      <c r="AH173" s="47"/>
      <c r="AI173" s="48"/>
      <c r="AK173" s="74"/>
    </row>
    <row r="174" spans="1:37" x14ac:dyDescent="0.25">
      <c r="A174" s="116" t="s">
        <v>190</v>
      </c>
      <c r="B174" s="129"/>
      <c r="C174" s="130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32">
        <v>4.8</v>
      </c>
      <c r="AH174" s="47"/>
      <c r="AI174" s="48"/>
      <c r="AK174" s="74"/>
    </row>
    <row r="175" spans="1:37" x14ac:dyDescent="0.25">
      <c r="A175" s="116" t="s">
        <v>191</v>
      </c>
      <c r="B175" s="129"/>
      <c r="C175" s="130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32">
        <v>4.8</v>
      </c>
      <c r="AH175" s="47"/>
      <c r="AI175" s="48"/>
      <c r="AK175" s="74"/>
    </row>
    <row r="176" spans="1:37" x14ac:dyDescent="0.25">
      <c r="A176" s="116" t="s">
        <v>192</v>
      </c>
      <c r="B176" s="129"/>
      <c r="C176" s="130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32">
        <v>4.8</v>
      </c>
      <c r="AH176" s="47"/>
      <c r="AI176" s="48"/>
      <c r="AK176" s="74"/>
    </row>
    <row r="177" spans="1:37" x14ac:dyDescent="0.25">
      <c r="A177" s="116" t="s">
        <v>193</v>
      </c>
      <c r="B177" s="129"/>
      <c r="C177" s="130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32">
        <v>4.5</v>
      </c>
      <c r="AH177" s="47"/>
      <c r="AI177" s="48"/>
      <c r="AK177" s="74"/>
    </row>
    <row r="178" spans="1:37" x14ac:dyDescent="0.25">
      <c r="A178" s="116" t="s">
        <v>194</v>
      </c>
      <c r="B178" s="129"/>
      <c r="C178" s="130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32">
        <v>4.5</v>
      </c>
      <c r="AH178" s="47"/>
      <c r="AI178" s="48"/>
      <c r="AK178" s="74"/>
    </row>
    <row r="179" spans="1:37" x14ac:dyDescent="0.25">
      <c r="A179" s="116" t="s">
        <v>195</v>
      </c>
      <c r="B179" s="129"/>
      <c r="C179" s="130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32">
        <v>4.4550000000000001</v>
      </c>
      <c r="AH179" s="47"/>
      <c r="AI179" s="48"/>
      <c r="AK179" s="74"/>
    </row>
    <row r="180" spans="1:37" x14ac:dyDescent="0.25">
      <c r="A180" s="116" t="s">
        <v>196</v>
      </c>
      <c r="B180" s="129"/>
      <c r="C180" s="130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32">
        <v>4.41</v>
      </c>
      <c r="AH180" s="47"/>
      <c r="AI180" s="48"/>
      <c r="AK180" s="74"/>
    </row>
    <row r="181" spans="1:37" x14ac:dyDescent="0.25">
      <c r="A181" s="116" t="s">
        <v>197</v>
      </c>
      <c r="B181" s="129"/>
      <c r="C181" s="130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32">
        <v>4.4000000000000004</v>
      </c>
      <c r="AH181" s="47"/>
      <c r="AI181" s="48"/>
      <c r="AK181" s="74"/>
    </row>
    <row r="182" spans="1:37" x14ac:dyDescent="0.25">
      <c r="A182" s="116" t="s">
        <v>198</v>
      </c>
      <c r="B182" s="129"/>
      <c r="C182" s="130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32">
        <v>4.3600000000000003</v>
      </c>
      <c r="AH182" s="47"/>
      <c r="AI182" s="48"/>
      <c r="AK182" s="74"/>
    </row>
    <row r="183" spans="1:37" x14ac:dyDescent="0.25">
      <c r="A183" s="116" t="s">
        <v>199</v>
      </c>
      <c r="B183" s="129"/>
      <c r="C183" s="130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32">
        <v>4.2</v>
      </c>
      <c r="AH183" s="47"/>
      <c r="AI183" s="48"/>
      <c r="AK183" s="74"/>
    </row>
    <row r="184" spans="1:37" x14ac:dyDescent="0.25">
      <c r="A184" s="116" t="s">
        <v>200</v>
      </c>
      <c r="B184" s="129"/>
      <c r="C184" s="130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32">
        <v>4</v>
      </c>
      <c r="AH184" s="47"/>
      <c r="AI184" s="48"/>
      <c r="AK184" s="74"/>
    </row>
    <row r="185" spans="1:37" x14ac:dyDescent="0.25">
      <c r="A185" s="116" t="s">
        <v>201</v>
      </c>
      <c r="B185" s="129"/>
      <c r="C185" s="130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32">
        <v>4</v>
      </c>
      <c r="AH185" s="47"/>
      <c r="AI185" s="48"/>
      <c r="AK185" s="74"/>
    </row>
    <row r="186" spans="1:37" x14ac:dyDescent="0.25">
      <c r="A186" s="116" t="s">
        <v>202</v>
      </c>
      <c r="B186" s="129"/>
      <c r="C186" s="130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32">
        <v>4</v>
      </c>
      <c r="AH186" s="47"/>
      <c r="AI186" s="48"/>
      <c r="AK186" s="74"/>
    </row>
    <row r="187" spans="1:37" x14ac:dyDescent="0.25">
      <c r="A187" s="116" t="s">
        <v>203</v>
      </c>
      <c r="B187" s="129"/>
      <c r="C187" s="130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32">
        <v>4</v>
      </c>
      <c r="AH187" s="47"/>
      <c r="AI187" s="48"/>
      <c r="AK187" s="74"/>
    </row>
    <row r="188" spans="1:37" x14ac:dyDescent="0.25">
      <c r="A188" s="116" t="s">
        <v>204</v>
      </c>
      <c r="B188" s="129"/>
      <c r="C188" s="130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32">
        <v>4</v>
      </c>
      <c r="AH188" s="47"/>
      <c r="AI188" s="48"/>
      <c r="AK188" s="74"/>
    </row>
    <row r="189" spans="1:37" x14ac:dyDescent="0.25">
      <c r="A189" s="116" t="s">
        <v>205</v>
      </c>
      <c r="B189" s="129"/>
      <c r="C189" s="130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32">
        <v>4</v>
      </c>
      <c r="AH189" s="47"/>
      <c r="AI189" s="48"/>
      <c r="AK189" s="74"/>
    </row>
    <row r="190" spans="1:37" x14ac:dyDescent="0.25">
      <c r="A190" s="116" t="s">
        <v>206</v>
      </c>
      <c r="B190" s="129"/>
      <c r="C190" s="130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32">
        <v>4</v>
      </c>
      <c r="AH190" s="47"/>
      <c r="AI190" s="48"/>
      <c r="AK190" s="74"/>
    </row>
    <row r="191" spans="1:37" x14ac:dyDescent="0.25">
      <c r="A191" s="116" t="s">
        <v>207</v>
      </c>
      <c r="B191" s="129"/>
      <c r="C191" s="130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32">
        <v>4</v>
      </c>
      <c r="AH191" s="47"/>
      <c r="AI191" s="48"/>
      <c r="AK191" s="74"/>
    </row>
    <row r="192" spans="1:37" x14ac:dyDescent="0.25">
      <c r="A192" s="116" t="s">
        <v>208</v>
      </c>
      <c r="B192" s="129"/>
      <c r="C192" s="130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32">
        <v>3.75</v>
      </c>
      <c r="AH192" s="47"/>
      <c r="AI192" s="48"/>
      <c r="AK192" s="74"/>
    </row>
    <row r="193" spans="1:37" x14ac:dyDescent="0.25">
      <c r="A193" s="116" t="s">
        <v>209</v>
      </c>
      <c r="B193" s="129"/>
      <c r="C193" s="130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32">
        <v>3.52</v>
      </c>
      <c r="AH193" s="47"/>
      <c r="AI193" s="48"/>
      <c r="AK193" s="74"/>
    </row>
    <row r="194" spans="1:37" x14ac:dyDescent="0.25">
      <c r="A194" s="116" t="s">
        <v>210</v>
      </c>
      <c r="B194" s="129"/>
      <c r="C194" s="130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32">
        <v>3.33</v>
      </c>
      <c r="AH194" s="47"/>
      <c r="AI194" s="48"/>
      <c r="AK194" s="74"/>
    </row>
    <row r="195" spans="1:37" x14ac:dyDescent="0.25">
      <c r="A195" s="116" t="s">
        <v>211</v>
      </c>
      <c r="B195" s="129"/>
      <c r="C195" s="130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32">
        <v>3.2</v>
      </c>
      <c r="AH195" s="47"/>
      <c r="AI195" s="48"/>
      <c r="AK195" s="74"/>
    </row>
    <row r="196" spans="1:37" x14ac:dyDescent="0.25">
      <c r="A196" s="116" t="s">
        <v>212</v>
      </c>
      <c r="B196" s="129"/>
      <c r="C196" s="130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32">
        <v>3</v>
      </c>
      <c r="AH196" s="47"/>
      <c r="AI196" s="48"/>
      <c r="AK196" s="74"/>
    </row>
    <row r="197" spans="1:37" x14ac:dyDescent="0.25">
      <c r="A197" s="116" t="s">
        <v>213</v>
      </c>
      <c r="B197" s="129"/>
      <c r="C197" s="130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32">
        <v>3</v>
      </c>
      <c r="AH197" s="47"/>
      <c r="AI197" s="48"/>
      <c r="AK197" s="74"/>
    </row>
    <row r="198" spans="1:37" x14ac:dyDescent="0.25">
      <c r="A198" s="116" t="s">
        <v>214</v>
      </c>
      <c r="B198" s="129"/>
      <c r="C198" s="130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32">
        <v>3</v>
      </c>
      <c r="AH198" s="47"/>
      <c r="AI198" s="48"/>
      <c r="AK198" s="74"/>
    </row>
    <row r="199" spans="1:37" x14ac:dyDescent="0.25">
      <c r="A199" s="116" t="s">
        <v>215</v>
      </c>
      <c r="B199" s="129"/>
      <c r="C199" s="130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32">
        <v>3</v>
      </c>
      <c r="AH199" s="47"/>
      <c r="AI199" s="48"/>
      <c r="AK199" s="74"/>
    </row>
    <row r="200" spans="1:37" x14ac:dyDescent="0.25">
      <c r="A200" s="116" t="s">
        <v>216</v>
      </c>
      <c r="B200" s="129"/>
      <c r="C200" s="130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32">
        <v>3</v>
      </c>
      <c r="AH200" s="47"/>
      <c r="AI200" s="48"/>
      <c r="AK200" s="74"/>
    </row>
    <row r="201" spans="1:37" x14ac:dyDescent="0.25">
      <c r="A201" s="116" t="s">
        <v>217</v>
      </c>
      <c r="B201" s="129"/>
      <c r="C201" s="130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32">
        <v>3</v>
      </c>
      <c r="AH201" s="47"/>
      <c r="AI201" s="48"/>
      <c r="AK201" s="74"/>
    </row>
    <row r="202" spans="1:37" x14ac:dyDescent="0.25">
      <c r="A202" s="116" t="s">
        <v>218</v>
      </c>
      <c r="B202" s="129"/>
      <c r="C202" s="130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32">
        <v>3</v>
      </c>
      <c r="AH202" s="47"/>
      <c r="AI202" s="48"/>
      <c r="AK202" s="74"/>
    </row>
    <row r="203" spans="1:37" x14ac:dyDescent="0.25">
      <c r="A203" s="116" t="s">
        <v>219</v>
      </c>
      <c r="B203" s="129"/>
      <c r="C203" s="130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32">
        <v>3</v>
      </c>
      <c r="AH203" s="47"/>
      <c r="AI203" s="48"/>
      <c r="AK203" s="74"/>
    </row>
    <row r="204" spans="1:37" x14ac:dyDescent="0.25">
      <c r="A204" s="116" t="s">
        <v>220</v>
      </c>
      <c r="B204" s="129"/>
      <c r="C204" s="130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32">
        <v>2.83</v>
      </c>
      <c r="AH204" s="47"/>
      <c r="AI204" s="48"/>
      <c r="AK204" s="74"/>
    </row>
    <row r="205" spans="1:37" x14ac:dyDescent="0.25">
      <c r="A205" s="116" t="s">
        <v>221</v>
      </c>
      <c r="B205" s="129"/>
      <c r="C205" s="130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32">
        <v>2.5</v>
      </c>
      <c r="AH205" s="47"/>
      <c r="AI205" s="48"/>
      <c r="AK205" s="74"/>
    </row>
    <row r="206" spans="1:37" x14ac:dyDescent="0.25">
      <c r="A206" s="116" t="s">
        <v>222</v>
      </c>
      <c r="B206" s="129"/>
      <c r="C206" s="130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32">
        <v>2.5</v>
      </c>
      <c r="AH206" s="47"/>
      <c r="AI206" s="48"/>
      <c r="AK206" s="74"/>
    </row>
    <row r="207" spans="1:37" x14ac:dyDescent="0.25">
      <c r="A207" s="116" t="s">
        <v>223</v>
      </c>
      <c r="B207" s="129"/>
      <c r="C207" s="130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32">
        <v>2.4</v>
      </c>
      <c r="AH207" s="47"/>
      <c r="AI207" s="48"/>
      <c r="AK207" s="74"/>
    </row>
    <row r="208" spans="1:37" x14ac:dyDescent="0.25">
      <c r="A208" s="116" t="s">
        <v>224</v>
      </c>
      <c r="B208" s="129"/>
      <c r="C208" s="130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32">
        <v>2.4</v>
      </c>
      <c r="AH208" s="47"/>
      <c r="AI208" s="48"/>
      <c r="AK208" s="74"/>
    </row>
    <row r="209" spans="1:37" x14ac:dyDescent="0.25">
      <c r="A209" s="116" t="s">
        <v>225</v>
      </c>
      <c r="B209" s="129"/>
      <c r="C209" s="130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32">
        <v>2.2000000000000002</v>
      </c>
      <c r="AH209" s="47"/>
      <c r="AI209" s="48"/>
      <c r="AK209" s="74"/>
    </row>
    <row r="210" spans="1:37" x14ac:dyDescent="0.25">
      <c r="A210" s="116" t="s">
        <v>226</v>
      </c>
      <c r="B210" s="129"/>
      <c r="C210" s="130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32">
        <v>2</v>
      </c>
      <c r="AH210" s="47"/>
      <c r="AI210" s="48"/>
      <c r="AK210" s="74"/>
    </row>
    <row r="211" spans="1:37" x14ac:dyDescent="0.25">
      <c r="A211" s="116" t="s">
        <v>227</v>
      </c>
      <c r="B211" s="129"/>
      <c r="C211" s="130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32">
        <v>2</v>
      </c>
      <c r="AH211" s="47"/>
      <c r="AI211" s="48"/>
      <c r="AK211" s="74"/>
    </row>
    <row r="212" spans="1:37" x14ac:dyDescent="0.25">
      <c r="A212" s="116" t="s">
        <v>228</v>
      </c>
      <c r="B212" s="129"/>
      <c r="C212" s="130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32">
        <v>2</v>
      </c>
      <c r="AH212" s="47"/>
      <c r="AI212" s="48"/>
      <c r="AK212" s="74"/>
    </row>
    <row r="213" spans="1:37" x14ac:dyDescent="0.25">
      <c r="A213" s="116" t="s">
        <v>229</v>
      </c>
      <c r="B213" s="129"/>
      <c r="C213" s="130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32">
        <v>1.8</v>
      </c>
      <c r="AH213" s="47"/>
      <c r="AI213" s="48"/>
      <c r="AK213" s="74"/>
    </row>
    <row r="214" spans="1:37" x14ac:dyDescent="0.25">
      <c r="A214" s="116" t="s">
        <v>230</v>
      </c>
      <c r="B214" s="129"/>
      <c r="C214" s="130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32">
        <v>1.8</v>
      </c>
      <c r="AH214" s="47"/>
      <c r="AI214" s="48"/>
      <c r="AK214" s="74"/>
    </row>
    <row r="215" spans="1:37" x14ac:dyDescent="0.25">
      <c r="A215" s="116" t="s">
        <v>231</v>
      </c>
      <c r="B215" s="129"/>
      <c r="C215" s="130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32">
        <v>1.65</v>
      </c>
      <c r="AH215" s="47"/>
      <c r="AI215" s="48"/>
      <c r="AK215" s="74"/>
    </row>
    <row r="216" spans="1:37" x14ac:dyDescent="0.25">
      <c r="A216" s="116" t="s">
        <v>232</v>
      </c>
      <c r="B216" s="129"/>
      <c r="C216" s="130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32">
        <v>1.5</v>
      </c>
      <c r="AH216" s="47"/>
      <c r="AI216" s="48"/>
      <c r="AK216" s="74"/>
    </row>
    <row r="217" spans="1:37" x14ac:dyDescent="0.25">
      <c r="A217" s="116" t="s">
        <v>233</v>
      </c>
      <c r="B217" s="129"/>
      <c r="C217" s="130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32">
        <v>0.998</v>
      </c>
      <c r="AH217" s="47"/>
      <c r="AI217" s="48"/>
      <c r="AK217" s="74"/>
    </row>
    <row r="218" spans="1:37" x14ac:dyDescent="0.25">
      <c r="A218" s="116" t="s">
        <v>234</v>
      </c>
      <c r="B218" s="129"/>
      <c r="C218" s="130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2">
        <v>0.997</v>
      </c>
      <c r="AH218" s="47"/>
      <c r="AI218" s="48"/>
      <c r="AK218" s="74"/>
    </row>
    <row r="219" spans="1:37" x14ac:dyDescent="0.25">
      <c r="A219" s="116" t="s">
        <v>235</v>
      </c>
      <c r="B219" s="129"/>
      <c r="C219" s="130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32">
        <v>0.997</v>
      </c>
      <c r="AH219" s="47"/>
      <c r="AI219" s="48"/>
      <c r="AK219" s="74"/>
    </row>
    <row r="220" spans="1:37" x14ac:dyDescent="0.25">
      <c r="A220" s="116" t="s">
        <v>236</v>
      </c>
      <c r="B220" s="129"/>
      <c r="C220" s="130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32">
        <v>0.996</v>
      </c>
      <c r="AH220" s="47"/>
      <c r="AI220" s="48"/>
      <c r="AK220" s="74"/>
    </row>
    <row r="221" spans="1:37" x14ac:dyDescent="0.25">
      <c r="A221" s="116" t="s">
        <v>237</v>
      </c>
      <c r="B221" s="129"/>
      <c r="C221" s="130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2">
        <v>0.996</v>
      </c>
      <c r="AH221" s="47"/>
      <c r="AI221" s="48"/>
      <c r="AK221" s="74"/>
    </row>
    <row r="222" spans="1:37" x14ac:dyDescent="0.25">
      <c r="A222" s="116" t="s">
        <v>238</v>
      </c>
      <c r="B222" s="129"/>
      <c r="C222" s="130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2">
        <v>0.996</v>
      </c>
      <c r="AH222" s="47"/>
      <c r="AI222" s="48"/>
      <c r="AK222" s="74"/>
    </row>
    <row r="223" spans="1:37" x14ac:dyDescent="0.25">
      <c r="A223" s="116" t="s">
        <v>239</v>
      </c>
      <c r="B223" s="129"/>
      <c r="C223" s="130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32">
        <v>0.995</v>
      </c>
      <c r="AH223" s="47"/>
      <c r="AI223" s="48"/>
      <c r="AK223" s="74"/>
    </row>
    <row r="224" spans="1:37" x14ac:dyDescent="0.25">
      <c r="A224" s="116" t="s">
        <v>240</v>
      </c>
      <c r="B224" s="129"/>
      <c r="C224" s="130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32">
        <v>0.99299999999999999</v>
      </c>
      <c r="AH224" s="47"/>
      <c r="AI224" s="48"/>
      <c r="AK224" s="74"/>
    </row>
    <row r="225" spans="1:37" x14ac:dyDescent="0.25">
      <c r="A225" s="116" t="s">
        <v>241</v>
      </c>
      <c r="B225" s="129"/>
      <c r="C225" s="127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32">
        <v>0.99</v>
      </c>
      <c r="AH225" s="47"/>
      <c r="AI225" s="48"/>
      <c r="AK225" s="74"/>
    </row>
    <row r="226" spans="1:37" ht="15.75" thickBot="1" x14ac:dyDescent="0.3">
      <c r="A226" s="116" t="s">
        <v>242</v>
      </c>
      <c r="B226" s="133"/>
      <c r="C226" s="134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2">
        <v>0.97899999999999998</v>
      </c>
      <c r="AH226" s="47"/>
      <c r="AI226" s="48"/>
      <c r="AK226" s="74"/>
    </row>
    <row r="227" spans="1:37" ht="15.75" thickBot="1" x14ac:dyDescent="0.3">
      <c r="A227" s="135" t="s">
        <v>243</v>
      </c>
      <c r="B227" s="136">
        <f t="shared" ref="B227:AG227" si="17">SUM(B122:B226)</f>
        <v>0</v>
      </c>
      <c r="C227" s="137">
        <f t="shared" si="17"/>
        <v>0</v>
      </c>
      <c r="D227" s="137">
        <f t="shared" si="17"/>
        <v>0</v>
      </c>
      <c r="E227" s="137">
        <f t="shared" si="17"/>
        <v>0</v>
      </c>
      <c r="F227" s="137">
        <f t="shared" si="17"/>
        <v>0</v>
      </c>
      <c r="G227" s="137">
        <f t="shared" si="17"/>
        <v>0</v>
      </c>
      <c r="H227" s="137">
        <f t="shared" si="17"/>
        <v>0</v>
      </c>
      <c r="I227" s="137">
        <f t="shared" si="17"/>
        <v>0</v>
      </c>
      <c r="J227" s="137">
        <f t="shared" si="17"/>
        <v>0</v>
      </c>
      <c r="K227" s="137">
        <f t="shared" si="17"/>
        <v>0</v>
      </c>
      <c r="L227" s="137">
        <f t="shared" si="17"/>
        <v>0</v>
      </c>
      <c r="M227" s="137">
        <f t="shared" si="17"/>
        <v>0</v>
      </c>
      <c r="N227" s="137">
        <f t="shared" si="17"/>
        <v>0</v>
      </c>
      <c r="O227" s="137">
        <f t="shared" si="17"/>
        <v>0</v>
      </c>
      <c r="P227" s="137">
        <f t="shared" si="17"/>
        <v>0</v>
      </c>
      <c r="Q227" s="137">
        <f t="shared" si="17"/>
        <v>0</v>
      </c>
      <c r="R227" s="137">
        <f t="shared" si="17"/>
        <v>0</v>
      </c>
      <c r="S227" s="137">
        <f t="shared" si="17"/>
        <v>0</v>
      </c>
      <c r="T227" s="137">
        <f t="shared" si="17"/>
        <v>0</v>
      </c>
      <c r="U227" s="137">
        <f t="shared" si="17"/>
        <v>0</v>
      </c>
      <c r="V227" s="137">
        <f t="shared" si="17"/>
        <v>0</v>
      </c>
      <c r="W227" s="137">
        <f t="shared" si="17"/>
        <v>0</v>
      </c>
      <c r="X227" s="137">
        <f t="shared" si="17"/>
        <v>0</v>
      </c>
      <c r="Y227" s="137">
        <f t="shared" si="17"/>
        <v>0</v>
      </c>
      <c r="Z227" s="137">
        <f t="shared" si="17"/>
        <v>0</v>
      </c>
      <c r="AA227" s="137">
        <f t="shared" si="17"/>
        <v>0</v>
      </c>
      <c r="AB227" s="137">
        <f t="shared" si="17"/>
        <v>0</v>
      </c>
      <c r="AC227" s="137">
        <f t="shared" si="17"/>
        <v>0</v>
      </c>
      <c r="AD227" s="137">
        <f t="shared" si="17"/>
        <v>0</v>
      </c>
      <c r="AE227" s="137">
        <f t="shared" si="17"/>
        <v>0</v>
      </c>
      <c r="AF227" s="138">
        <f t="shared" si="17"/>
        <v>0</v>
      </c>
      <c r="AG227" s="139">
        <f t="shared" si="17"/>
        <v>412.72299999999984</v>
      </c>
      <c r="AH227" s="47"/>
      <c r="AI227" s="48"/>
      <c r="AK227" s="74"/>
    </row>
    <row r="228" spans="1:37" ht="15.75" thickBot="1" x14ac:dyDescent="0.3">
      <c r="A228" s="26" t="s">
        <v>83</v>
      </c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140"/>
      <c r="AC228" s="140"/>
      <c r="AD228" s="140"/>
      <c r="AE228" s="140"/>
      <c r="AF228" s="140"/>
      <c r="AG228" s="119"/>
      <c r="AH228" s="47"/>
      <c r="AI228" s="48"/>
      <c r="AK228" s="74"/>
    </row>
    <row r="229" spans="1:37" x14ac:dyDescent="0.25">
      <c r="A229" s="100" t="s">
        <v>244</v>
      </c>
      <c r="B229" s="141">
        <f t="shared" ref="B229:B234" si="18">AF229</f>
        <v>0</v>
      </c>
      <c r="C229" s="141">
        <v>0.3</v>
      </c>
      <c r="D229" s="141">
        <f t="shared" ref="D229:P234" si="19">C229</f>
        <v>0.3</v>
      </c>
      <c r="E229" s="141">
        <f t="shared" si="19"/>
        <v>0.3</v>
      </c>
      <c r="F229" s="141">
        <f t="shared" si="19"/>
        <v>0.3</v>
      </c>
      <c r="G229" s="141">
        <f t="shared" si="19"/>
        <v>0.3</v>
      </c>
      <c r="H229" s="141">
        <f t="shared" si="19"/>
        <v>0.3</v>
      </c>
      <c r="I229" s="141">
        <f t="shared" si="19"/>
        <v>0.3</v>
      </c>
      <c r="J229" s="141">
        <f t="shared" si="19"/>
        <v>0.3</v>
      </c>
      <c r="K229" s="141">
        <f t="shared" si="19"/>
        <v>0.3</v>
      </c>
      <c r="L229" s="141">
        <f t="shared" si="19"/>
        <v>0.3</v>
      </c>
      <c r="M229" s="141">
        <f t="shared" si="19"/>
        <v>0.3</v>
      </c>
      <c r="N229" s="141">
        <f t="shared" si="19"/>
        <v>0.3</v>
      </c>
      <c r="O229" s="141">
        <f t="shared" si="19"/>
        <v>0.3</v>
      </c>
      <c r="P229" s="141">
        <f t="shared" si="19"/>
        <v>0.3</v>
      </c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  <c r="AE229" s="141"/>
      <c r="AF229" s="141"/>
      <c r="AG229" s="142">
        <v>2.4</v>
      </c>
      <c r="AH229" s="47"/>
      <c r="AI229" s="48"/>
      <c r="AK229" s="74"/>
    </row>
    <row r="230" spans="1:37" ht="15.75" thickBot="1" x14ac:dyDescent="0.3">
      <c r="A230" s="103" t="s">
        <v>245</v>
      </c>
      <c r="B230" s="129">
        <f t="shared" si="18"/>
        <v>0</v>
      </c>
      <c r="C230" s="129">
        <v>0.4</v>
      </c>
      <c r="D230" s="129">
        <f t="shared" si="19"/>
        <v>0.4</v>
      </c>
      <c r="E230" s="129">
        <f t="shared" si="19"/>
        <v>0.4</v>
      </c>
      <c r="F230" s="129">
        <f t="shared" si="19"/>
        <v>0.4</v>
      </c>
      <c r="G230" s="129">
        <f t="shared" si="19"/>
        <v>0.4</v>
      </c>
      <c r="H230" s="129">
        <f t="shared" si="19"/>
        <v>0.4</v>
      </c>
      <c r="I230" s="129">
        <f t="shared" si="19"/>
        <v>0.4</v>
      </c>
      <c r="J230" s="129">
        <f t="shared" si="19"/>
        <v>0.4</v>
      </c>
      <c r="K230" s="129">
        <f t="shared" si="19"/>
        <v>0.4</v>
      </c>
      <c r="L230" s="129">
        <f t="shared" si="19"/>
        <v>0.4</v>
      </c>
      <c r="M230" s="129">
        <f t="shared" si="19"/>
        <v>0.4</v>
      </c>
      <c r="N230" s="129">
        <f t="shared" si="19"/>
        <v>0.4</v>
      </c>
      <c r="O230" s="129">
        <f t="shared" si="19"/>
        <v>0.4</v>
      </c>
      <c r="P230" s="129">
        <f t="shared" si="19"/>
        <v>0.4</v>
      </c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43">
        <v>2</v>
      </c>
      <c r="AH230" s="47"/>
      <c r="AI230" s="48"/>
      <c r="AK230" s="74"/>
    </row>
    <row r="231" spans="1:37" x14ac:dyDescent="0.25">
      <c r="A231" s="103" t="s">
        <v>246</v>
      </c>
      <c r="B231" s="129">
        <f t="shared" si="18"/>
        <v>0</v>
      </c>
      <c r="C231" s="129">
        <v>1.5</v>
      </c>
      <c r="D231" s="129">
        <f t="shared" si="19"/>
        <v>1.5</v>
      </c>
      <c r="E231" s="129">
        <f t="shared" si="19"/>
        <v>1.5</v>
      </c>
      <c r="F231" s="129">
        <f t="shared" si="19"/>
        <v>1.5</v>
      </c>
      <c r="G231" s="129">
        <f t="shared" si="19"/>
        <v>1.5</v>
      </c>
      <c r="H231" s="129">
        <f t="shared" si="19"/>
        <v>1.5</v>
      </c>
      <c r="I231" s="111">
        <f ca="1">SUM(I143,I149,I152:I153,I179,I181:I182,I184,I186,I232:I236,I258,I264,I270,I279,I281,I293,I300,I303:I304,I311,I313,I315,I319:I321,I323:I325,I330,I336:I337,I339:I341,I349,I354)</f>
        <v>123.21900000000009</v>
      </c>
      <c r="J231" s="129">
        <f t="shared" ca="1" si="19"/>
        <v>123.21900000000009</v>
      </c>
      <c r="K231" s="129">
        <f t="shared" ca="1" si="19"/>
        <v>123.21900000000009</v>
      </c>
      <c r="L231" s="129">
        <f t="shared" ca="1" si="19"/>
        <v>123.21900000000009</v>
      </c>
      <c r="M231" s="129">
        <f t="shared" ca="1" si="19"/>
        <v>119.19900000000008</v>
      </c>
      <c r="N231" s="129">
        <f t="shared" ca="1" si="19"/>
        <v>119.19900000000008</v>
      </c>
      <c r="O231" s="129">
        <f t="shared" ca="1" si="19"/>
        <v>119.19900000000008</v>
      </c>
      <c r="P231" s="129">
        <f t="shared" ca="1" si="19"/>
        <v>119.19900000000008</v>
      </c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43">
        <v>1.5</v>
      </c>
      <c r="AH231" s="47"/>
      <c r="AI231" s="48"/>
      <c r="AK231" s="74"/>
    </row>
    <row r="232" spans="1:37" x14ac:dyDescent="0.25">
      <c r="A232" s="103" t="s">
        <v>247</v>
      </c>
      <c r="B232" s="129">
        <f t="shared" si="18"/>
        <v>0</v>
      </c>
      <c r="C232" s="129">
        <v>0.3</v>
      </c>
      <c r="D232" s="129">
        <f t="shared" si="19"/>
        <v>0.3</v>
      </c>
      <c r="E232" s="129">
        <f t="shared" si="19"/>
        <v>0.3</v>
      </c>
      <c r="F232" s="129">
        <f t="shared" si="19"/>
        <v>0.3</v>
      </c>
      <c r="G232" s="129">
        <f t="shared" si="19"/>
        <v>0.3</v>
      </c>
      <c r="H232" s="129">
        <f t="shared" si="19"/>
        <v>0.3</v>
      </c>
      <c r="I232" s="129">
        <f t="shared" si="19"/>
        <v>0.3</v>
      </c>
      <c r="J232" s="129">
        <f t="shared" si="19"/>
        <v>0.3</v>
      </c>
      <c r="K232" s="129">
        <f t="shared" si="19"/>
        <v>0.3</v>
      </c>
      <c r="L232" s="129">
        <f t="shared" si="19"/>
        <v>0.3</v>
      </c>
      <c r="M232" s="129">
        <f t="shared" si="19"/>
        <v>0.3</v>
      </c>
      <c r="N232" s="129">
        <f t="shared" si="19"/>
        <v>0.3</v>
      </c>
      <c r="O232" s="129">
        <f t="shared" si="19"/>
        <v>0.3</v>
      </c>
      <c r="P232" s="129">
        <f t="shared" si="19"/>
        <v>0.3</v>
      </c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43">
        <v>1</v>
      </c>
      <c r="AH232" s="47"/>
      <c r="AI232" s="48"/>
      <c r="AK232" s="74"/>
    </row>
    <row r="233" spans="1:37" x14ac:dyDescent="0.25">
      <c r="A233" s="103" t="s">
        <v>248</v>
      </c>
      <c r="B233" s="129">
        <f t="shared" si="18"/>
        <v>0</v>
      </c>
      <c r="C233" s="129">
        <v>0.4</v>
      </c>
      <c r="D233" s="129">
        <f t="shared" si="19"/>
        <v>0.4</v>
      </c>
      <c r="E233" s="129">
        <f t="shared" si="19"/>
        <v>0.4</v>
      </c>
      <c r="F233" s="129">
        <f t="shared" si="19"/>
        <v>0.4</v>
      </c>
      <c r="G233" s="129">
        <f t="shared" si="19"/>
        <v>0.4</v>
      </c>
      <c r="H233" s="129">
        <f t="shared" si="19"/>
        <v>0.4</v>
      </c>
      <c r="I233" s="129">
        <f t="shared" si="19"/>
        <v>0.4</v>
      </c>
      <c r="J233" s="129">
        <f t="shared" si="19"/>
        <v>0.4</v>
      </c>
      <c r="K233" s="129">
        <f t="shared" si="19"/>
        <v>0.4</v>
      </c>
      <c r="L233" s="129">
        <f t="shared" si="19"/>
        <v>0.4</v>
      </c>
      <c r="M233" s="129">
        <f t="shared" si="19"/>
        <v>0.4</v>
      </c>
      <c r="N233" s="129">
        <f t="shared" si="19"/>
        <v>0.4</v>
      </c>
      <c r="O233" s="129">
        <f t="shared" si="19"/>
        <v>0.4</v>
      </c>
      <c r="P233" s="129">
        <f t="shared" si="19"/>
        <v>0.4</v>
      </c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43">
        <v>1</v>
      </c>
      <c r="AH233" s="47"/>
      <c r="AI233" s="48"/>
      <c r="AK233" s="74"/>
    </row>
    <row r="234" spans="1:37" ht="15.75" thickBot="1" x14ac:dyDescent="0.3">
      <c r="A234" s="116" t="s">
        <v>249</v>
      </c>
      <c r="B234" s="133">
        <f t="shared" si="18"/>
        <v>0</v>
      </c>
      <c r="C234" s="133">
        <v>0.64</v>
      </c>
      <c r="D234" s="133">
        <f t="shared" si="19"/>
        <v>0.64</v>
      </c>
      <c r="E234" s="133">
        <f t="shared" si="19"/>
        <v>0.64</v>
      </c>
      <c r="F234" s="133">
        <f t="shared" si="19"/>
        <v>0.64</v>
      </c>
      <c r="G234" s="133">
        <f t="shared" si="19"/>
        <v>0.64</v>
      </c>
      <c r="H234" s="133">
        <f t="shared" si="19"/>
        <v>0.64</v>
      </c>
      <c r="I234" s="133">
        <f t="shared" si="19"/>
        <v>0.64</v>
      </c>
      <c r="J234" s="133">
        <f t="shared" si="19"/>
        <v>0.64</v>
      </c>
      <c r="K234" s="133">
        <f t="shared" si="19"/>
        <v>0.64</v>
      </c>
      <c r="L234" s="133">
        <f t="shared" si="19"/>
        <v>0.64</v>
      </c>
      <c r="M234" s="133">
        <f t="shared" si="19"/>
        <v>0.64</v>
      </c>
      <c r="N234" s="133">
        <f t="shared" si="19"/>
        <v>0.64</v>
      </c>
      <c r="O234" s="133">
        <f t="shared" si="19"/>
        <v>0.64</v>
      </c>
      <c r="P234" s="133">
        <f t="shared" si="19"/>
        <v>0.64</v>
      </c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44">
        <v>0.66</v>
      </c>
      <c r="AH234" s="47"/>
      <c r="AI234" s="48"/>
    </row>
    <row r="235" spans="1:37" ht="15.75" thickBot="1" x14ac:dyDescent="0.3">
      <c r="A235" s="145" t="s">
        <v>83</v>
      </c>
      <c r="B235" s="137">
        <f t="shared" ref="B235:AG235" si="20">SUM(B229:B234)</f>
        <v>0</v>
      </c>
      <c r="C235" s="137">
        <f t="shared" si="20"/>
        <v>3.54</v>
      </c>
      <c r="D235" s="137">
        <f t="shared" si="20"/>
        <v>3.54</v>
      </c>
      <c r="E235" s="137">
        <f t="shared" si="20"/>
        <v>3.54</v>
      </c>
      <c r="F235" s="137">
        <f t="shared" si="20"/>
        <v>3.54</v>
      </c>
      <c r="G235" s="137">
        <f t="shared" si="20"/>
        <v>3.54</v>
      </c>
      <c r="H235" s="137">
        <f t="shared" si="20"/>
        <v>3.54</v>
      </c>
      <c r="I235" s="137">
        <f t="shared" ca="1" si="20"/>
        <v>121.23900000000009</v>
      </c>
      <c r="J235" s="137">
        <f t="shared" ca="1" si="20"/>
        <v>121.23900000000009</v>
      </c>
      <c r="K235" s="137">
        <f t="shared" ca="1" si="20"/>
        <v>121.23900000000009</v>
      </c>
      <c r="L235" s="137">
        <f t="shared" ca="1" si="20"/>
        <v>125.2590000000001</v>
      </c>
      <c r="M235" s="137">
        <f t="shared" ca="1" si="20"/>
        <v>121.23900000000009</v>
      </c>
      <c r="N235" s="137">
        <f t="shared" ca="1" si="20"/>
        <v>121.23900000000009</v>
      </c>
      <c r="O235" s="137">
        <f t="shared" ca="1" si="20"/>
        <v>121.23900000000009</v>
      </c>
      <c r="P235" s="137">
        <f t="shared" ca="1" si="20"/>
        <v>121.23900000000009</v>
      </c>
      <c r="Q235" s="137">
        <f t="shared" si="20"/>
        <v>0</v>
      </c>
      <c r="R235" s="137">
        <f t="shared" si="20"/>
        <v>0</v>
      </c>
      <c r="S235" s="137">
        <f t="shared" si="20"/>
        <v>0</v>
      </c>
      <c r="T235" s="137">
        <f t="shared" si="20"/>
        <v>0</v>
      </c>
      <c r="U235" s="137">
        <f t="shared" si="20"/>
        <v>0</v>
      </c>
      <c r="V235" s="137">
        <f t="shared" si="20"/>
        <v>0</v>
      </c>
      <c r="W235" s="137">
        <f t="shared" si="20"/>
        <v>0</v>
      </c>
      <c r="X235" s="137">
        <f t="shared" si="20"/>
        <v>0</v>
      </c>
      <c r="Y235" s="137">
        <f t="shared" si="20"/>
        <v>0</v>
      </c>
      <c r="Z235" s="137">
        <f t="shared" si="20"/>
        <v>0</v>
      </c>
      <c r="AA235" s="137">
        <f t="shared" si="20"/>
        <v>0</v>
      </c>
      <c r="AB235" s="137">
        <f t="shared" si="20"/>
        <v>0</v>
      </c>
      <c r="AC235" s="137">
        <f t="shared" si="20"/>
        <v>0</v>
      </c>
      <c r="AD235" s="137">
        <f t="shared" si="20"/>
        <v>0</v>
      </c>
      <c r="AE235" s="137">
        <f t="shared" si="20"/>
        <v>0</v>
      </c>
      <c r="AF235" s="137">
        <f t="shared" si="20"/>
        <v>0</v>
      </c>
      <c r="AG235" s="146">
        <f t="shared" si="20"/>
        <v>8.56</v>
      </c>
      <c r="AH235" s="47"/>
      <c r="AI235" s="48"/>
    </row>
    <row r="236" spans="1:37" ht="15.75" thickBot="1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140"/>
      <c r="AH236" s="43"/>
    </row>
    <row r="237" spans="1:37" x14ac:dyDescent="0.25">
      <c r="A237" s="147" t="s">
        <v>250</v>
      </c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9"/>
      <c r="AG237" s="43"/>
      <c r="AH237" s="47"/>
      <c r="AI237" s="48"/>
    </row>
    <row r="238" spans="1:37" x14ac:dyDescent="0.25">
      <c r="A238" s="150" t="s">
        <v>251</v>
      </c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  <c r="AB238" s="151"/>
      <c r="AC238" s="151"/>
      <c r="AD238" s="151"/>
      <c r="AE238" s="151"/>
      <c r="AF238" s="152"/>
      <c r="AG238" s="153"/>
      <c r="AH238" s="47"/>
      <c r="AI238" s="48"/>
    </row>
    <row r="239" spans="1:37" x14ac:dyDescent="0.25">
      <c r="A239" s="154" t="s">
        <v>252</v>
      </c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6"/>
      <c r="AG239" s="153"/>
      <c r="AH239" s="47"/>
      <c r="AI239" s="48"/>
    </row>
    <row r="240" spans="1:37" x14ac:dyDescent="0.25">
      <c r="A240" s="154" t="s">
        <v>253</v>
      </c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6"/>
      <c r="AG240" s="153"/>
      <c r="AH240" s="47"/>
      <c r="AI240" s="48"/>
    </row>
    <row r="241" spans="1:50" ht="15.75" thickBot="1" x14ac:dyDescent="0.3">
      <c r="A241" s="157" t="s">
        <v>254</v>
      </c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9"/>
      <c r="AG241" s="153"/>
      <c r="AH241" s="47"/>
      <c r="AI241" s="48"/>
    </row>
    <row r="242" spans="1:50" x14ac:dyDescent="0.25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0" t="s">
        <v>255</v>
      </c>
      <c r="B244" s="161">
        <f>MAX(G91:N91)</f>
        <v>3.54</v>
      </c>
      <c r="C244" s="162">
        <f>INDEX(G9:N9,1,MATCH(MAX(G91:N91),G91:N91,0))</f>
        <v>0.20833333333333301</v>
      </c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163" t="str">
        <f ca="1">MID(CELL("filename",C7),FIND("]",CELL("filename",C7))+1,600)</f>
        <v>sample</v>
      </c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204" t="s">
        <v>256</v>
      </c>
      <c r="B246" s="204"/>
      <c r="C246" s="43"/>
      <c r="D246" s="163" t="e">
        <f ca="1">"Pie Chart of Daily Peak Demand(Inclusive of Export) of Nepal ("&amp;A4&amp;" "&amp;B4&amp;")"</f>
        <v>#VALUE!</v>
      </c>
      <c r="E246" s="43"/>
      <c r="F246" s="43"/>
      <c r="G246" s="16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163" t="e">
        <f ca="1">"Daily Load Curve(Excluding of Export) of Nepal ("&amp;A4&amp;" "&amp;B4&amp;")"</f>
        <v>#VALUE!</v>
      </c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ht="12.75" customHeight="1" thickBot="1" x14ac:dyDescent="0.3">
      <c r="A247" s="164" t="s">
        <v>7</v>
      </c>
      <c r="B247" s="165"/>
      <c r="C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ht="15.75" thickTop="1" x14ac:dyDescent="0.25">
      <c r="A248" s="164" t="s">
        <v>257</v>
      </c>
      <c r="B248" s="16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166" t="s">
        <v>258</v>
      </c>
      <c r="T248" s="167">
        <v>0</v>
      </c>
      <c r="U248" s="168">
        <v>4.1666666666666664E-2</v>
      </c>
      <c r="V248" s="169">
        <v>8.3333333333333301E-2</v>
      </c>
      <c r="W248" s="169">
        <v>0.125</v>
      </c>
      <c r="X248" s="169">
        <v>0.16666666666666699</v>
      </c>
      <c r="Y248" s="169">
        <v>0.20833333333333301</v>
      </c>
      <c r="Z248" s="169">
        <v>0.22916666666666666</v>
      </c>
      <c r="AA248" s="169">
        <v>0.25</v>
      </c>
      <c r="AB248" s="169">
        <v>0.27083333333333331</v>
      </c>
      <c r="AC248" s="169">
        <v>0.29166666666666669</v>
      </c>
      <c r="AD248" s="169">
        <v>0.3125</v>
      </c>
      <c r="AE248" s="170">
        <v>0.33333333333333331</v>
      </c>
      <c r="AF248" s="170">
        <v>0.375</v>
      </c>
      <c r="AG248" s="170">
        <v>0.41666666666666702</v>
      </c>
      <c r="AH248" s="170">
        <v>0.45833333333333298</v>
      </c>
      <c r="AI248" s="170">
        <v>0.5</v>
      </c>
      <c r="AJ248" s="170">
        <v>0.54166666666666696</v>
      </c>
      <c r="AK248" s="170">
        <v>0.58333333333333304</v>
      </c>
      <c r="AL248" s="170">
        <v>0.625</v>
      </c>
      <c r="AM248" s="170">
        <v>0.66666666666666696</v>
      </c>
      <c r="AN248" s="170">
        <v>0.70833333333333304</v>
      </c>
      <c r="AO248" s="170">
        <v>0.72916666666666663</v>
      </c>
      <c r="AP248" s="170">
        <v>0.75</v>
      </c>
      <c r="AQ248" s="170">
        <v>0.77083333333333337</v>
      </c>
      <c r="AR248" s="170">
        <v>0.79166666666666663</v>
      </c>
      <c r="AS248" s="170">
        <v>0.8125</v>
      </c>
      <c r="AT248" s="169">
        <v>0.83333333333333337</v>
      </c>
      <c r="AU248" s="169">
        <v>0.85416666666666663</v>
      </c>
      <c r="AV248" s="169">
        <v>0.875</v>
      </c>
      <c r="AW248" s="169">
        <v>0.91666666666666696</v>
      </c>
      <c r="AX248" s="169">
        <v>0.95833333333333304</v>
      </c>
    </row>
    <row r="249" spans="1:50" x14ac:dyDescent="0.25">
      <c r="A249" s="164" t="s">
        <v>259</v>
      </c>
      <c r="B249" s="16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 t="s">
        <v>260</v>
      </c>
      <c r="T249" s="171">
        <f t="shared" ref="T249:AX249" si="21">B91</f>
        <v>303.54000000000002</v>
      </c>
      <c r="U249" s="171">
        <f t="shared" si="21"/>
        <v>3.54</v>
      </c>
      <c r="V249" s="171">
        <f t="shared" si="21"/>
        <v>3.54</v>
      </c>
      <c r="W249" s="171">
        <f t="shared" si="21"/>
        <v>3.54</v>
      </c>
      <c r="X249" s="171">
        <f t="shared" si="21"/>
        <v>3.54</v>
      </c>
      <c r="Y249" s="171">
        <f t="shared" si="21"/>
        <v>3.54</v>
      </c>
      <c r="Z249" s="171">
        <f t="shared" si="21"/>
        <v>3.54</v>
      </c>
      <c r="AA249" s="171">
        <f t="shared" si="21"/>
        <v>3.54</v>
      </c>
      <c r="AB249" s="171">
        <f t="shared" si="21"/>
        <v>3.54</v>
      </c>
      <c r="AC249" s="171">
        <f t="shared" si="21"/>
        <v>3.54</v>
      </c>
      <c r="AD249" s="171">
        <f t="shared" si="21"/>
        <v>3.54</v>
      </c>
      <c r="AE249" s="171">
        <f t="shared" si="21"/>
        <v>3.54</v>
      </c>
      <c r="AF249" s="171">
        <f t="shared" si="21"/>
        <v>3.54</v>
      </c>
      <c r="AG249" s="171">
        <f t="shared" si="21"/>
        <v>3.54</v>
      </c>
      <c r="AH249" s="171">
        <f t="shared" si="21"/>
        <v>3.54</v>
      </c>
      <c r="AI249" s="171">
        <f t="shared" si="21"/>
        <v>3.54</v>
      </c>
      <c r="AJ249" s="171">
        <f t="shared" si="21"/>
        <v>3.54</v>
      </c>
      <c r="AK249" s="171">
        <f t="shared" si="21"/>
        <v>3.54</v>
      </c>
      <c r="AL249" s="171">
        <f t="shared" si="21"/>
        <v>3.54</v>
      </c>
      <c r="AM249" s="171">
        <f t="shared" si="21"/>
        <v>3.54</v>
      </c>
      <c r="AN249" s="171">
        <f t="shared" si="21"/>
        <v>3.54</v>
      </c>
      <c r="AO249" s="171">
        <f t="shared" si="21"/>
        <v>3.54</v>
      </c>
      <c r="AP249" s="171">
        <f t="shared" si="21"/>
        <v>3.54</v>
      </c>
      <c r="AQ249" s="171">
        <f t="shared" si="21"/>
        <v>3.54</v>
      </c>
      <c r="AR249" s="171">
        <f t="shared" si="21"/>
        <v>3.54</v>
      </c>
      <c r="AS249" s="171">
        <f t="shared" si="21"/>
        <v>3.54</v>
      </c>
      <c r="AT249" s="171">
        <f t="shared" si="21"/>
        <v>3.54</v>
      </c>
      <c r="AU249" s="171">
        <f t="shared" si="21"/>
        <v>3.54</v>
      </c>
      <c r="AV249" s="171">
        <f t="shared" si="21"/>
        <v>3.54</v>
      </c>
      <c r="AW249" s="171">
        <f t="shared" si="21"/>
        <v>3.54</v>
      </c>
      <c r="AX249" s="171">
        <f t="shared" si="21"/>
        <v>3.54</v>
      </c>
    </row>
    <row r="250" spans="1:50" x14ac:dyDescent="0.25">
      <c r="A250" s="164" t="s">
        <v>261</v>
      </c>
      <c r="B250" s="16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A251" s="164" t="s">
        <v>262</v>
      </c>
      <c r="B251" s="16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A252" s="164" t="s">
        <v>263</v>
      </c>
      <c r="B252" s="16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A253" s="164" t="s">
        <v>264</v>
      </c>
      <c r="B253" s="172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A254" s="164" t="s">
        <v>265</v>
      </c>
      <c r="B254" s="16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A270" s="173" t="s">
        <v>250</v>
      </c>
      <c r="B270" s="174">
        <f t="shared" ref="B270:AE270" si="22">C234</f>
        <v>0.64</v>
      </c>
      <c r="C270" s="174">
        <f t="shared" si="22"/>
        <v>0.64</v>
      </c>
      <c r="D270" s="174">
        <f t="shared" si="22"/>
        <v>0.64</v>
      </c>
      <c r="E270" s="174">
        <f t="shared" si="22"/>
        <v>0.64</v>
      </c>
      <c r="F270" s="174">
        <f t="shared" si="22"/>
        <v>0.64</v>
      </c>
      <c r="G270" s="174">
        <f t="shared" si="22"/>
        <v>0.64</v>
      </c>
      <c r="H270" s="174">
        <f t="shared" si="22"/>
        <v>0.64</v>
      </c>
      <c r="I270" s="174">
        <f t="shared" si="22"/>
        <v>0.64</v>
      </c>
      <c r="J270" s="174">
        <f t="shared" si="22"/>
        <v>0.64</v>
      </c>
      <c r="K270" s="174">
        <f t="shared" si="22"/>
        <v>0.64</v>
      </c>
      <c r="L270" s="174">
        <f t="shared" si="22"/>
        <v>0.64</v>
      </c>
      <c r="M270" s="174">
        <f t="shared" si="22"/>
        <v>0.64</v>
      </c>
      <c r="N270" s="174">
        <f t="shared" si="22"/>
        <v>0.64</v>
      </c>
      <c r="O270" s="174">
        <f t="shared" si="22"/>
        <v>0.64</v>
      </c>
      <c r="P270" s="174">
        <f t="shared" si="22"/>
        <v>0</v>
      </c>
      <c r="Q270" s="174">
        <f t="shared" si="22"/>
        <v>0</v>
      </c>
      <c r="R270" s="174">
        <f t="shared" si="22"/>
        <v>0</v>
      </c>
      <c r="S270" s="174">
        <f t="shared" si="22"/>
        <v>0</v>
      </c>
      <c r="T270" s="174">
        <f t="shared" si="22"/>
        <v>0</v>
      </c>
      <c r="U270" s="174">
        <f t="shared" si="22"/>
        <v>0</v>
      </c>
      <c r="V270" s="174">
        <f t="shared" si="22"/>
        <v>0</v>
      </c>
      <c r="W270" s="174">
        <f t="shared" si="22"/>
        <v>0</v>
      </c>
      <c r="X270" s="174">
        <f t="shared" si="22"/>
        <v>0</v>
      </c>
      <c r="Y270" s="174">
        <f t="shared" si="22"/>
        <v>0</v>
      </c>
      <c r="Z270" s="174">
        <f t="shared" si="22"/>
        <v>0</v>
      </c>
      <c r="AA270" s="174">
        <f t="shared" si="22"/>
        <v>0</v>
      </c>
      <c r="AB270" s="174">
        <f t="shared" si="22"/>
        <v>0</v>
      </c>
      <c r="AC270" s="174">
        <f t="shared" si="22"/>
        <v>0</v>
      </c>
      <c r="AD270" s="174">
        <f t="shared" si="22"/>
        <v>0</v>
      </c>
      <c r="AE270" s="174">
        <f t="shared" si="22"/>
        <v>0</v>
      </c>
      <c r="AF270" s="174">
        <f>B234</f>
        <v>0</v>
      </c>
      <c r="AG270" s="43"/>
      <c r="AH270" s="43"/>
    </row>
    <row r="271" spans="1:34" x14ac:dyDescent="0.25">
      <c r="A271" s="175" t="str">
        <f>A238</f>
        <v>KGA</v>
      </c>
      <c r="B271" s="175" t="str">
        <f t="shared" ref="B271:AF271" si="23">IF(B238&lt;100,"",B238-520)</f>
        <v/>
      </c>
      <c r="C271" s="175" t="str">
        <f t="shared" si="23"/>
        <v/>
      </c>
      <c r="D271" s="175" t="str">
        <f t="shared" si="23"/>
        <v/>
      </c>
      <c r="E271" s="175" t="str">
        <f t="shared" si="23"/>
        <v/>
      </c>
      <c r="F271" s="175" t="str">
        <f t="shared" si="23"/>
        <v/>
      </c>
      <c r="G271" s="175" t="str">
        <f t="shared" si="23"/>
        <v/>
      </c>
      <c r="H271" s="175" t="str">
        <f t="shared" si="23"/>
        <v/>
      </c>
      <c r="I271" s="175" t="str">
        <f t="shared" si="23"/>
        <v/>
      </c>
      <c r="J271" s="175" t="str">
        <f t="shared" si="23"/>
        <v/>
      </c>
      <c r="K271" s="175" t="str">
        <f t="shared" si="23"/>
        <v/>
      </c>
      <c r="L271" s="175" t="str">
        <f t="shared" si="23"/>
        <v/>
      </c>
      <c r="M271" s="175" t="str">
        <f t="shared" si="23"/>
        <v/>
      </c>
      <c r="N271" s="175" t="str">
        <f t="shared" si="23"/>
        <v/>
      </c>
      <c r="O271" s="175" t="str">
        <f t="shared" si="23"/>
        <v/>
      </c>
      <c r="P271" s="175" t="str">
        <f t="shared" si="23"/>
        <v/>
      </c>
      <c r="Q271" s="175" t="str">
        <f t="shared" si="23"/>
        <v/>
      </c>
      <c r="R271" s="175" t="str">
        <f t="shared" si="23"/>
        <v/>
      </c>
      <c r="S271" s="175" t="str">
        <f t="shared" si="23"/>
        <v/>
      </c>
      <c r="T271" s="175" t="str">
        <f t="shared" si="23"/>
        <v/>
      </c>
      <c r="U271" s="175" t="str">
        <f t="shared" si="23"/>
        <v/>
      </c>
      <c r="V271" s="175" t="str">
        <f t="shared" si="23"/>
        <v/>
      </c>
      <c r="W271" s="175" t="str">
        <f t="shared" si="23"/>
        <v/>
      </c>
      <c r="X271" s="175" t="str">
        <f t="shared" si="23"/>
        <v/>
      </c>
      <c r="Y271" s="175" t="str">
        <f t="shared" si="23"/>
        <v/>
      </c>
      <c r="Z271" s="175" t="str">
        <f t="shared" si="23"/>
        <v/>
      </c>
      <c r="AA271" s="175" t="str">
        <f t="shared" si="23"/>
        <v/>
      </c>
      <c r="AB271" s="175" t="str">
        <f t="shared" si="23"/>
        <v/>
      </c>
      <c r="AC271" s="175" t="str">
        <f t="shared" si="23"/>
        <v/>
      </c>
      <c r="AD271" s="175" t="str">
        <f t="shared" si="23"/>
        <v/>
      </c>
      <c r="AE271" s="175" t="str">
        <f t="shared" si="23"/>
        <v/>
      </c>
      <c r="AF271" s="175" t="str">
        <f t="shared" si="23"/>
        <v/>
      </c>
      <c r="AG271" s="43"/>
      <c r="AH271" s="43"/>
    </row>
    <row r="272" spans="1:34" x14ac:dyDescent="0.25">
      <c r="A272" s="175" t="str">
        <f>A239</f>
        <v>MMRS</v>
      </c>
      <c r="B272" s="175" t="str">
        <f t="shared" ref="B272:AF272" si="24">IF(B239&lt;100,"",B239-620)</f>
        <v/>
      </c>
      <c r="C272" s="175" t="str">
        <f t="shared" si="24"/>
        <v/>
      </c>
      <c r="D272" s="175" t="str">
        <f t="shared" si="24"/>
        <v/>
      </c>
      <c r="E272" s="175" t="str">
        <f t="shared" si="24"/>
        <v/>
      </c>
      <c r="F272" s="175" t="str">
        <f t="shared" si="24"/>
        <v/>
      </c>
      <c r="G272" s="175" t="str">
        <f t="shared" si="24"/>
        <v/>
      </c>
      <c r="H272" s="175" t="str">
        <f t="shared" si="24"/>
        <v/>
      </c>
      <c r="I272" s="175" t="str">
        <f t="shared" si="24"/>
        <v/>
      </c>
      <c r="J272" s="175" t="str">
        <f t="shared" si="24"/>
        <v/>
      </c>
      <c r="K272" s="175" t="str">
        <f t="shared" si="24"/>
        <v/>
      </c>
      <c r="L272" s="175" t="str">
        <f t="shared" si="24"/>
        <v/>
      </c>
      <c r="M272" s="175" t="str">
        <f t="shared" si="24"/>
        <v/>
      </c>
      <c r="N272" s="175" t="str">
        <f t="shared" si="24"/>
        <v/>
      </c>
      <c r="O272" s="175" t="str">
        <f t="shared" si="24"/>
        <v/>
      </c>
      <c r="P272" s="175" t="str">
        <f t="shared" si="24"/>
        <v/>
      </c>
      <c r="Q272" s="175" t="str">
        <f t="shared" si="24"/>
        <v/>
      </c>
      <c r="R272" s="175" t="str">
        <f t="shared" si="24"/>
        <v/>
      </c>
      <c r="S272" s="175" t="str">
        <f t="shared" si="24"/>
        <v/>
      </c>
      <c r="T272" s="175" t="str">
        <f t="shared" si="24"/>
        <v/>
      </c>
      <c r="U272" s="175" t="str">
        <f t="shared" si="24"/>
        <v/>
      </c>
      <c r="V272" s="175" t="str">
        <f t="shared" si="24"/>
        <v/>
      </c>
      <c r="W272" s="175" t="str">
        <f t="shared" si="24"/>
        <v/>
      </c>
      <c r="X272" s="175" t="str">
        <f t="shared" si="24"/>
        <v/>
      </c>
      <c r="Y272" s="175" t="str">
        <f t="shared" si="24"/>
        <v/>
      </c>
      <c r="Z272" s="175" t="str">
        <f t="shared" si="24"/>
        <v/>
      </c>
      <c r="AA272" s="175" t="str">
        <f t="shared" si="24"/>
        <v/>
      </c>
      <c r="AB272" s="175" t="str">
        <f t="shared" si="24"/>
        <v/>
      </c>
      <c r="AC272" s="175" t="str">
        <f t="shared" si="24"/>
        <v/>
      </c>
      <c r="AD272" s="175" t="str">
        <f t="shared" si="24"/>
        <v/>
      </c>
      <c r="AE272" s="175" t="str">
        <f t="shared" si="24"/>
        <v/>
      </c>
      <c r="AF272" s="175" t="str">
        <f t="shared" si="24"/>
        <v/>
      </c>
      <c r="AG272" s="43"/>
      <c r="AH272" s="43"/>
    </row>
    <row r="273" spans="1:34" x14ac:dyDescent="0.25">
      <c r="A273" s="175" t="str">
        <f>A240</f>
        <v>MRS</v>
      </c>
      <c r="B273" s="175" t="str">
        <f t="shared" ref="B273:AF273" si="25">IF(B240&lt;100,"",B240-330)</f>
        <v/>
      </c>
      <c r="C273" s="175" t="str">
        <f t="shared" si="25"/>
        <v/>
      </c>
      <c r="D273" s="175" t="str">
        <f t="shared" si="25"/>
        <v/>
      </c>
      <c r="E273" s="175" t="str">
        <f t="shared" si="25"/>
        <v/>
      </c>
      <c r="F273" s="175" t="str">
        <f t="shared" si="25"/>
        <v/>
      </c>
      <c r="G273" s="175" t="str">
        <f t="shared" si="25"/>
        <v/>
      </c>
      <c r="H273" s="175" t="str">
        <f t="shared" si="25"/>
        <v/>
      </c>
      <c r="I273" s="175" t="str">
        <f t="shared" si="25"/>
        <v/>
      </c>
      <c r="J273" s="175" t="str">
        <f t="shared" si="25"/>
        <v/>
      </c>
      <c r="K273" s="175" t="str">
        <f t="shared" si="25"/>
        <v/>
      </c>
      <c r="L273" s="175" t="str">
        <f t="shared" si="25"/>
        <v/>
      </c>
      <c r="M273" s="175" t="str">
        <f t="shared" si="25"/>
        <v/>
      </c>
      <c r="N273" s="175" t="str">
        <f t="shared" si="25"/>
        <v/>
      </c>
      <c r="O273" s="175" t="str">
        <f t="shared" si="25"/>
        <v/>
      </c>
      <c r="P273" s="175" t="str">
        <f t="shared" si="25"/>
        <v/>
      </c>
      <c r="Q273" s="175" t="str">
        <f t="shared" si="25"/>
        <v/>
      </c>
      <c r="R273" s="175" t="str">
        <f t="shared" si="25"/>
        <v/>
      </c>
      <c r="S273" s="175" t="str">
        <f t="shared" si="25"/>
        <v/>
      </c>
      <c r="T273" s="175" t="str">
        <f t="shared" si="25"/>
        <v/>
      </c>
      <c r="U273" s="175" t="str">
        <f t="shared" si="25"/>
        <v/>
      </c>
      <c r="V273" s="175" t="str">
        <f t="shared" si="25"/>
        <v/>
      </c>
      <c r="W273" s="175" t="str">
        <f t="shared" si="25"/>
        <v/>
      </c>
      <c r="X273" s="175" t="str">
        <f t="shared" si="25"/>
        <v/>
      </c>
      <c r="Y273" s="175" t="str">
        <f t="shared" si="25"/>
        <v/>
      </c>
      <c r="Z273" s="175" t="str">
        <f t="shared" si="25"/>
        <v/>
      </c>
      <c r="AA273" s="175" t="str">
        <f t="shared" si="25"/>
        <v/>
      </c>
      <c r="AB273" s="175" t="str">
        <f t="shared" si="25"/>
        <v/>
      </c>
      <c r="AC273" s="175" t="str">
        <f t="shared" si="25"/>
        <v/>
      </c>
      <c r="AD273" s="175" t="str">
        <f t="shared" si="25"/>
        <v/>
      </c>
      <c r="AE273" s="175" t="str">
        <f t="shared" si="25"/>
        <v/>
      </c>
      <c r="AF273" s="175" t="str">
        <f t="shared" si="25"/>
        <v/>
      </c>
      <c r="AG273" s="43"/>
      <c r="AH273" s="43"/>
    </row>
    <row r="274" spans="1:34" x14ac:dyDescent="0.25">
      <c r="A274" s="175" t="str">
        <f>A241</f>
        <v>KL 1</v>
      </c>
      <c r="B274" s="175" t="str">
        <f t="shared" ref="B274:AF274" si="26">IF(B241&lt;100,"",B241-1500)</f>
        <v/>
      </c>
      <c r="C274" s="175" t="str">
        <f t="shared" si="26"/>
        <v/>
      </c>
      <c r="D274" s="175" t="str">
        <f t="shared" si="26"/>
        <v/>
      </c>
      <c r="E274" s="175" t="str">
        <f t="shared" si="26"/>
        <v/>
      </c>
      <c r="F274" s="175" t="str">
        <f t="shared" si="26"/>
        <v/>
      </c>
      <c r="G274" s="175" t="str">
        <f t="shared" si="26"/>
        <v/>
      </c>
      <c r="H274" s="175" t="str">
        <f t="shared" si="26"/>
        <v/>
      </c>
      <c r="I274" s="175" t="str">
        <f t="shared" si="26"/>
        <v/>
      </c>
      <c r="J274" s="175" t="str">
        <f t="shared" si="26"/>
        <v/>
      </c>
      <c r="K274" s="175" t="str">
        <f t="shared" si="26"/>
        <v/>
      </c>
      <c r="L274" s="175" t="str">
        <f t="shared" si="26"/>
        <v/>
      </c>
      <c r="M274" s="175" t="str">
        <f t="shared" si="26"/>
        <v/>
      </c>
      <c r="N274" s="175" t="str">
        <f t="shared" si="26"/>
        <v/>
      </c>
      <c r="O274" s="175" t="str">
        <f t="shared" si="26"/>
        <v/>
      </c>
      <c r="P274" s="175" t="str">
        <f t="shared" si="26"/>
        <v/>
      </c>
      <c r="Q274" s="175" t="str">
        <f t="shared" si="26"/>
        <v/>
      </c>
      <c r="R274" s="175" t="str">
        <f t="shared" si="26"/>
        <v/>
      </c>
      <c r="S274" s="175" t="str">
        <f t="shared" si="26"/>
        <v/>
      </c>
      <c r="T274" s="175" t="str">
        <f t="shared" si="26"/>
        <v/>
      </c>
      <c r="U274" s="175" t="str">
        <f t="shared" si="26"/>
        <v/>
      </c>
      <c r="V274" s="175" t="str">
        <f t="shared" si="26"/>
        <v/>
      </c>
      <c r="W274" s="175" t="str">
        <f t="shared" si="26"/>
        <v/>
      </c>
      <c r="X274" s="175" t="str">
        <f t="shared" si="26"/>
        <v/>
      </c>
      <c r="Y274" s="175" t="str">
        <f t="shared" si="26"/>
        <v/>
      </c>
      <c r="Z274" s="175" t="str">
        <f t="shared" si="26"/>
        <v/>
      </c>
      <c r="AA274" s="175" t="str">
        <f t="shared" si="26"/>
        <v/>
      </c>
      <c r="AB274" s="175" t="str">
        <f t="shared" si="26"/>
        <v/>
      </c>
      <c r="AC274" s="175" t="str">
        <f t="shared" si="26"/>
        <v/>
      </c>
      <c r="AD274" s="175" t="str">
        <f t="shared" si="26"/>
        <v/>
      </c>
      <c r="AE274" s="175" t="str">
        <f t="shared" si="26"/>
        <v/>
      </c>
      <c r="AF274" s="175" t="str">
        <f t="shared" si="26"/>
        <v/>
      </c>
      <c r="AG274" s="43"/>
      <c r="AH274" s="43"/>
    </row>
    <row r="275" spans="1:34" x14ac:dyDescent="0.25"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</row>
    <row r="276" spans="1:34" x14ac:dyDescent="0.25"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</row>
    <row r="277" spans="1:34" x14ac:dyDescent="0.25"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</row>
    <row r="278" spans="1:34" x14ac:dyDescent="0.25"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</row>
    <row r="279" spans="1:34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</row>
    <row r="280" spans="1:34" x14ac:dyDescent="0.25"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</row>
    <row r="281" spans="1:34" x14ac:dyDescent="0.25"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</row>
  </sheetData>
  <mergeCells count="49">
    <mergeCell ref="AN84:AN85"/>
    <mergeCell ref="A246:B246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40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405">
      <iconSet iconSet="3TrafficLights2" reverse="1">
        <cfvo type="percent" val="0"/>
        <cfvo type="num" val="1"/>
        <cfvo type="num" val="1"/>
      </iconSet>
    </cfRule>
  </conditionalFormatting>
  <conditionalFormatting sqref="D229:AF230 B229:B235 B227:AF227 U248:AF248 B9:AF10 D232:AF235 D231:H231 J231:AF231 D111:AF111 D113:AF119 B14:AF17 B12:AF12">
    <cfRule type="expression" dxfId="3545" priority="401">
      <formula>B$9&gt;=20/24</formula>
    </cfRule>
    <cfRule type="expression" dxfId="3544" priority="402">
      <formula>AND(B$9&gt;=14/24,B$9&lt;20/24)</formula>
    </cfRule>
    <cfRule type="expression" dxfId="3543" priority="403">
      <formula>AND(B$9&gt;=8/24,B$9&lt;14/24)</formula>
    </cfRule>
    <cfRule type="expression" dxfId="3542" priority="404">
      <formula>B$9&lt;8/24</formula>
    </cfRule>
  </conditionalFormatting>
  <conditionalFormatting sqref="AL4:AL6">
    <cfRule type="iconSet" priority="400">
      <iconSet iconSet="3TrafficLights2" reverse="1">
        <cfvo type="percent" val="0"/>
        <cfvo type="num" val="1"/>
        <cfvo type="num" val="1"/>
      </iconSet>
    </cfRule>
  </conditionalFormatting>
  <conditionalFormatting sqref="AG67 B14:AF17 B12:AF12">
    <cfRule type="expression" dxfId="3541" priority="399">
      <formula>B12&gt;$AG12</formula>
    </cfRule>
  </conditionalFormatting>
  <conditionalFormatting sqref="A101:A111 A61:A88 A97:A99 A205:A235 A48:A59 A121:A192 A43:A44 A93:A95 A90:A91 A113:A115 A40:A41 A21:A22 A24:A34 A19 A36:A38 A12:A17">
    <cfRule type="expression" dxfId="3540" priority="398">
      <formula>$AH12=0</formula>
    </cfRule>
  </conditionalFormatting>
  <conditionalFormatting sqref="A116">
    <cfRule type="expression" dxfId="3539" priority="397">
      <formula>$AH116=0</formula>
    </cfRule>
  </conditionalFormatting>
  <conditionalFormatting sqref="AL44">
    <cfRule type="iconSet" priority="396">
      <iconSet iconSet="3TrafficLights2" reverse="1">
        <cfvo type="percent" val="0"/>
        <cfvo type="num" val="1"/>
        <cfvo type="num" val="1"/>
      </iconSet>
    </cfRule>
  </conditionalFormatting>
  <conditionalFormatting sqref="A47">
    <cfRule type="expression" dxfId="3538" priority="395">
      <formula>$AH47=0</formula>
    </cfRule>
  </conditionalFormatting>
  <conditionalFormatting sqref="A100">
    <cfRule type="expression" dxfId="3537" priority="394">
      <formula>$AH100=0</formula>
    </cfRule>
  </conditionalFormatting>
  <conditionalFormatting sqref="A20">
    <cfRule type="expression" dxfId="3536" priority="393">
      <formula>$AH20=0</formula>
    </cfRule>
  </conditionalFormatting>
  <conditionalFormatting sqref="A199:A204">
    <cfRule type="expression" dxfId="3535" priority="392">
      <formula>$AH199=0</formula>
    </cfRule>
  </conditionalFormatting>
  <conditionalFormatting sqref="A193:A198">
    <cfRule type="expression" dxfId="3534" priority="391">
      <formula>$AH193=0</formula>
    </cfRule>
  </conditionalFormatting>
  <conditionalFormatting sqref="A60">
    <cfRule type="expression" dxfId="3533" priority="390">
      <formula>$AH60=0</formula>
    </cfRule>
  </conditionalFormatting>
  <conditionalFormatting sqref="A96">
    <cfRule type="expression" dxfId="3532" priority="389">
      <formula>$AH96=0</formula>
    </cfRule>
  </conditionalFormatting>
  <conditionalFormatting sqref="AD101:AF101 E101:Y101">
    <cfRule type="expression" dxfId="3531" priority="385">
      <formula>E$9&gt;=20/24</formula>
    </cfRule>
    <cfRule type="expression" dxfId="3530" priority="386">
      <formula>AND(E$9&gt;=14/24,E$9&lt;20/24)</formula>
    </cfRule>
    <cfRule type="expression" dxfId="3529" priority="387">
      <formula>AND(E$9&gt;=8/24,E$9&lt;14/24)</formula>
    </cfRule>
    <cfRule type="expression" dxfId="3528" priority="388">
      <formula>E$9&lt;8/24</formula>
    </cfRule>
  </conditionalFormatting>
  <conditionalFormatting sqref="AL45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527" priority="407">
      <formula>C$9&gt;=20/24</formula>
    </cfRule>
    <cfRule type="expression" dxfId="3526" priority="408">
      <formula>AND(C$9&gt;=14/24,C$9&lt;20/24)</formula>
    </cfRule>
    <cfRule type="expression" dxfId="3525" priority="409">
      <formula>AND(C$9&gt;=8/24,C$9&lt;14/24)</formula>
    </cfRule>
    <cfRule type="expression" dxfId="3524" priority="410">
      <formula>C$9&lt;8/24</formula>
    </cfRule>
  </conditionalFormatting>
  <conditionalFormatting sqref="A236">
    <cfRule type="expression" dxfId="3523" priority="411">
      <formula>$AH236=0</formula>
    </cfRule>
  </conditionalFormatting>
  <conditionalFormatting sqref="AG248">
    <cfRule type="expression" dxfId="3522" priority="412">
      <formula>B$9&gt;=20/24</formula>
    </cfRule>
    <cfRule type="expression" dxfId="3521" priority="413">
      <formula>AND(B$9&gt;=14/24,B$9&lt;20/24)</formula>
    </cfRule>
    <cfRule type="expression" dxfId="3520" priority="414">
      <formula>AND(B$9&gt;=8/24,B$9&lt;14/24)</formula>
    </cfRule>
    <cfRule type="expression" dxfId="3519" priority="415">
      <formula>B$9&lt;8/24</formula>
    </cfRule>
  </conditionalFormatting>
  <conditionalFormatting sqref="S8">
    <cfRule type="expression" dxfId="3518" priority="380">
      <formula>U$9&gt;=20/24</formula>
    </cfRule>
    <cfRule type="expression" dxfId="3517" priority="381">
      <formula>AND(U$9&gt;=14/24,U$9&lt;20/24)</formula>
    </cfRule>
    <cfRule type="expression" dxfId="3516" priority="382">
      <formula>AND(U$9&gt;=8/24,U$9&lt;14/24)</formula>
    </cfRule>
    <cfRule type="expression" dxfId="3515" priority="383">
      <formula>U$9&lt;8/24</formula>
    </cfRule>
  </conditionalFormatting>
  <conditionalFormatting sqref="AB8">
    <cfRule type="expression" dxfId="3514" priority="376">
      <formula>AD$9&gt;=20/24</formula>
    </cfRule>
    <cfRule type="expression" dxfId="3513" priority="377">
      <formula>AND(AD$9&gt;=14/24,AD$9&lt;20/24)</formula>
    </cfRule>
    <cfRule type="expression" dxfId="3512" priority="378">
      <formula>AND(AD$9&gt;=8/24,AD$9&lt;14/24)</formula>
    </cfRule>
    <cfRule type="expression" dxfId="3511" priority="379">
      <formula>AD$9&lt;8/24</formula>
    </cfRule>
  </conditionalFormatting>
  <conditionalFormatting sqref="AH248:AX248">
    <cfRule type="expression" dxfId="3510" priority="416">
      <formula>AG$9&gt;=20/24</formula>
    </cfRule>
    <cfRule type="expression" dxfId="3509" priority="417">
      <formula>AND(AG$9&gt;=14/24,AG$9&lt;20/24)</formula>
    </cfRule>
    <cfRule type="expression" dxfId="3508" priority="418">
      <formula>AND(AG$9&gt;=8/24,AG$9&lt;14/24)</formula>
    </cfRule>
    <cfRule type="expression" dxfId="3507" priority="419">
      <formula>AG$9&lt;8/24</formula>
    </cfRule>
  </conditionalFormatting>
  <conditionalFormatting sqref="T248">
    <cfRule type="expression" dxfId="3506" priority="420">
      <formula>AX$9&gt;=20/24</formula>
    </cfRule>
    <cfRule type="expression" dxfId="3505" priority="421">
      <formula>AND(AX$9&gt;=14/24,AX$9&lt;20/24)</formula>
    </cfRule>
    <cfRule type="expression" dxfId="3504" priority="422">
      <formula>AND(AX$9&gt;=8/24,AX$9&lt;14/24)</formula>
    </cfRule>
    <cfRule type="expression" dxfId="3503" priority="423">
      <formula>AX$9&lt;8/24</formula>
    </cfRule>
  </conditionalFormatting>
  <conditionalFormatting sqref="A117:A119">
    <cfRule type="expression" dxfId="3502" priority="375">
      <formula>$AH117=0</formula>
    </cfRule>
  </conditionalFormatting>
  <conditionalFormatting sqref="AD56:AD59 E73:AD73 AF73 M56:R59">
    <cfRule type="expression" dxfId="3501" priority="371">
      <formula>E$9&gt;=20/24</formula>
    </cfRule>
    <cfRule type="expression" dxfId="3500" priority="372">
      <formula>AND(E$9&gt;=14/24,E$9&lt;20/24)</formula>
    </cfRule>
    <cfRule type="expression" dxfId="3499" priority="373">
      <formula>AND(E$9&gt;=8/24,E$9&lt;14/24)</formula>
    </cfRule>
    <cfRule type="expression" dxfId="3498" priority="374">
      <formula>E$9&lt;8/24</formula>
    </cfRule>
  </conditionalFormatting>
  <conditionalFormatting sqref="AD55 M55:R55">
    <cfRule type="expression" dxfId="3497" priority="367">
      <formula>M$9&gt;=20/24</formula>
    </cfRule>
    <cfRule type="expression" dxfId="3496" priority="368">
      <formula>AND(M$9&gt;=14/24,M$9&lt;20/24)</formula>
    </cfRule>
    <cfRule type="expression" dxfId="3495" priority="369">
      <formula>AND(M$9&gt;=8/24,M$9&lt;14/24)</formula>
    </cfRule>
    <cfRule type="expression" dxfId="3494" priority="370">
      <formula>M$9&lt;8/24</formula>
    </cfRule>
  </conditionalFormatting>
  <conditionalFormatting sqref="AD55:AD59 M55:R59">
    <cfRule type="expression" dxfId="3493" priority="366">
      <formula>M55&gt;$AG55</formula>
    </cfRule>
  </conditionalFormatting>
  <conditionalFormatting sqref="D88:AF88 X98:AF98 AE102:AF108 M102:Y108 AD74:AD76 X49:AF49 E74:AC75 AF74:AF75 AA69:AF71">
    <cfRule type="expression" dxfId="3492" priority="362">
      <formula>D$9&gt;=20/24</formula>
    </cfRule>
    <cfRule type="expression" dxfId="3491" priority="363">
      <formula>AND(D$9&gt;=14/24,D$9&lt;20/24)</formula>
    </cfRule>
    <cfRule type="expression" dxfId="3490" priority="364">
      <formula>AND(D$9&gt;=8/24,D$9&lt;14/24)</formula>
    </cfRule>
    <cfRule type="expression" dxfId="3489" priority="365">
      <formula>D$9&lt;8/24</formula>
    </cfRule>
  </conditionalFormatting>
  <conditionalFormatting sqref="X49:AF49 AA69:AF71">
    <cfRule type="expression" dxfId="3488" priority="361">
      <formula>X49&gt;$AG49</formula>
    </cfRule>
  </conditionalFormatting>
  <conditionalFormatting sqref="S55:AC60">
    <cfRule type="expression" dxfId="3487" priority="357">
      <formula>S$9&gt;=20/24</formula>
    </cfRule>
    <cfRule type="expression" dxfId="3486" priority="358">
      <formula>AND(S$9&gt;=14/24,S$9&lt;20/24)</formula>
    </cfRule>
    <cfRule type="expression" dxfId="3485" priority="359">
      <formula>AND(S$9&gt;=8/24,S$9&lt;14/24)</formula>
    </cfRule>
    <cfRule type="expression" dxfId="3484" priority="360">
      <formula>S$9&lt;8/24</formula>
    </cfRule>
  </conditionalFormatting>
  <conditionalFormatting sqref="S55:AC60">
    <cfRule type="expression" dxfId="3483" priority="356">
      <formula>S55&gt;$AG55</formula>
    </cfRule>
  </conditionalFormatting>
  <conditionalFormatting sqref="C99:AF99 D90:AF90">
    <cfRule type="expression" dxfId="3482" priority="352">
      <formula>C$9&gt;=20/24</formula>
    </cfRule>
    <cfRule type="expression" dxfId="3481" priority="353">
      <formula>AND(C$9&gt;=14/24,C$9&lt;20/24)</formula>
    </cfRule>
    <cfRule type="expression" dxfId="3480" priority="354">
      <formula>AND(C$9&gt;=8/24,C$9&lt;14/24)</formula>
    </cfRule>
    <cfRule type="expression" dxfId="3479" priority="355">
      <formula>C$9&lt;8/24</formula>
    </cfRule>
  </conditionalFormatting>
  <conditionalFormatting sqref="T49:W49">
    <cfRule type="expression" dxfId="3478" priority="348">
      <formula>T$9&gt;=20/24</formula>
    </cfRule>
    <cfRule type="expression" dxfId="3477" priority="349">
      <formula>AND(T$9&gt;=14/24,T$9&lt;20/24)</formula>
    </cfRule>
    <cfRule type="expression" dxfId="3476" priority="350">
      <formula>AND(T$9&gt;=8/24,T$9&lt;14/24)</formula>
    </cfRule>
    <cfRule type="expression" dxfId="3475" priority="351">
      <formula>T$9&lt;8/24</formula>
    </cfRule>
  </conditionalFormatting>
  <conditionalFormatting sqref="T49:W49">
    <cfRule type="expression" dxfId="3474" priority="347">
      <formula>T49&gt;$AG49</formula>
    </cfRule>
  </conditionalFormatting>
  <conditionalFormatting sqref="E56:L57">
    <cfRule type="expression" dxfId="3473" priority="343">
      <formula>E$9&gt;=20/24</formula>
    </cfRule>
    <cfRule type="expression" dxfId="3472" priority="344">
      <formula>AND(E$9&gt;=14/24,E$9&lt;20/24)</formula>
    </cfRule>
    <cfRule type="expression" dxfId="3471" priority="345">
      <formula>AND(E$9&gt;=8/24,E$9&lt;14/24)</formula>
    </cfRule>
    <cfRule type="expression" dxfId="3470" priority="346">
      <formula>E$9&lt;8/24</formula>
    </cfRule>
  </conditionalFormatting>
  <conditionalFormatting sqref="E55:L55">
    <cfRule type="expression" dxfId="3469" priority="339">
      <formula>E$9&gt;=20/24</formula>
    </cfRule>
    <cfRule type="expression" dxfId="3468" priority="340">
      <formula>AND(E$9&gt;=14/24,E$9&lt;20/24)</formula>
    </cfRule>
    <cfRule type="expression" dxfId="3467" priority="341">
      <formula>AND(E$9&gt;=8/24,E$9&lt;14/24)</formula>
    </cfRule>
    <cfRule type="expression" dxfId="3466" priority="342">
      <formula>E$9&lt;8/24</formula>
    </cfRule>
  </conditionalFormatting>
  <conditionalFormatting sqref="E55:L57">
    <cfRule type="expression" dxfId="3465" priority="338">
      <formula>E55&gt;$AG55</formula>
    </cfRule>
  </conditionalFormatting>
  <conditionalFormatting sqref="AG72 AG89 E102:L108">
    <cfRule type="expression" dxfId="3464" priority="334">
      <formula>E$9&gt;=20/24</formula>
    </cfRule>
    <cfRule type="expression" dxfId="3463" priority="335">
      <formula>AND(E$9&gt;=14/24,E$9&lt;20/24)</formula>
    </cfRule>
    <cfRule type="expression" dxfId="3462" priority="336">
      <formula>AND(E$9&gt;=8/24,E$9&lt;14/24)</formula>
    </cfRule>
    <cfRule type="expression" dxfId="3461" priority="337">
      <formula>E$9&lt;8/24</formula>
    </cfRule>
  </conditionalFormatting>
  <conditionalFormatting sqref="AG50 AG68 AG72">
    <cfRule type="expression" dxfId="3460" priority="333">
      <formula>AG50&gt;$AG50</formula>
    </cfRule>
  </conditionalFormatting>
  <conditionalFormatting sqref="AD60">
    <cfRule type="expression" dxfId="3459" priority="329">
      <formula>AD$9&gt;=20/24</formula>
    </cfRule>
    <cfRule type="expression" dxfId="3458" priority="330">
      <formula>AND(AD$9&gt;=14/24,AD$9&lt;20/24)</formula>
    </cfRule>
    <cfRule type="expression" dxfId="3457" priority="331">
      <formula>AND(AD$9&gt;=8/24,AD$9&lt;14/24)</formula>
    </cfRule>
    <cfRule type="expression" dxfId="3456" priority="332">
      <formula>AD$9&lt;8/24</formula>
    </cfRule>
  </conditionalFormatting>
  <conditionalFormatting sqref="AD60">
    <cfRule type="expression" dxfId="3455" priority="328">
      <formula>AD60&gt;$AG60</formula>
    </cfRule>
  </conditionalFormatting>
  <conditionalFormatting sqref="A45">
    <cfRule type="expression" dxfId="3454" priority="327">
      <formula>$AH45=0</formula>
    </cfRule>
  </conditionalFormatting>
  <conditionalFormatting sqref="X93:AF97">
    <cfRule type="expression" dxfId="3453" priority="323">
      <formula>X$9&gt;=20/24</formula>
    </cfRule>
    <cfRule type="expression" dxfId="3452" priority="324">
      <formula>AND(X$9&gt;=14/24,X$9&lt;20/24)</formula>
    </cfRule>
    <cfRule type="expression" dxfId="3451" priority="325">
      <formula>AND(X$9&gt;=8/24,X$9&lt;14/24)</formula>
    </cfRule>
    <cfRule type="expression" dxfId="3450" priority="326">
      <formula>X$9&lt;8/24</formula>
    </cfRule>
  </conditionalFormatting>
  <conditionalFormatting sqref="AL47 AL43 AL24:AL34 AL40:AL41 AL19:AL22 AL36:AL38 AL7:AL17">
    <cfRule type="iconSet" priority="424">
      <iconSet iconSet="3TrafficLights2" reverse="1">
        <cfvo type="percent" val="0"/>
        <cfvo type="num" val="1"/>
        <cfvo type="num" val="1"/>
      </iconSet>
    </cfRule>
  </conditionalFormatting>
  <conditionalFormatting sqref="E51:AF53">
    <cfRule type="expression" dxfId="3449" priority="319">
      <formula>E$9&gt;=20/24</formula>
    </cfRule>
    <cfRule type="expression" dxfId="3448" priority="320">
      <formula>AND(E$9&gt;=14/24,E$9&lt;20/24)</formula>
    </cfRule>
    <cfRule type="expression" dxfId="3447" priority="321">
      <formula>AND(E$9&gt;=8/24,E$9&lt;14/24)</formula>
    </cfRule>
    <cfRule type="expression" dxfId="3446" priority="322">
      <formula>E$9&lt;8/24</formula>
    </cfRule>
  </conditionalFormatting>
  <conditionalFormatting sqref="E51:AF53">
    <cfRule type="expression" dxfId="3445" priority="318">
      <formula>E51&gt;$AG51</formula>
    </cfRule>
  </conditionalFormatting>
  <conditionalFormatting sqref="AG54">
    <cfRule type="expression" dxfId="3444" priority="314">
      <formula>AG$9&gt;=20/24</formula>
    </cfRule>
    <cfRule type="expression" dxfId="3443" priority="315">
      <formula>AND(AG$9&gt;=14/24,AG$9&lt;20/24)</formula>
    </cfRule>
    <cfRule type="expression" dxfId="3442" priority="316">
      <formula>AND(AG$9&gt;=8/24,AG$9&lt;14/24)</formula>
    </cfRule>
    <cfRule type="expression" dxfId="3441" priority="317">
      <formula>AG$9&lt;8/24</formula>
    </cfRule>
  </conditionalFormatting>
  <conditionalFormatting sqref="AG54">
    <cfRule type="expression" dxfId="3440" priority="313">
      <formula>AG54&gt;$AG54</formula>
    </cfRule>
  </conditionalFormatting>
  <conditionalFormatting sqref="C109:AF109">
    <cfRule type="expression" dxfId="3439" priority="309">
      <formula>C$9&gt;=20/24</formula>
    </cfRule>
    <cfRule type="expression" dxfId="3438" priority="310">
      <formula>AND(C$9&gt;=14/24,C$9&lt;20/24)</formula>
    </cfRule>
    <cfRule type="expression" dxfId="3437" priority="311">
      <formula>AND(C$9&gt;=8/24,C$9&lt;14/24)</formula>
    </cfRule>
    <cfRule type="expression" dxfId="3436" priority="312">
      <formula>C$9&lt;8/24</formula>
    </cfRule>
  </conditionalFormatting>
  <conditionalFormatting sqref="AL42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42">
    <cfRule type="expression" dxfId="3435" priority="307">
      <formula>$AH42=0</formula>
    </cfRule>
  </conditionalFormatting>
  <conditionalFormatting sqref="A92">
    <cfRule type="expression" dxfId="3434" priority="305">
      <formula>$AH92=0</formula>
    </cfRule>
  </conditionalFormatting>
  <conditionalFormatting sqref="A89">
    <cfRule type="expression" dxfId="3433" priority="306">
      <formula>$AH89=0</formula>
    </cfRule>
  </conditionalFormatting>
  <conditionalFormatting sqref="D112:AF112">
    <cfRule type="expression" dxfId="3432" priority="301">
      <formula>D$9&gt;=20/24</formula>
    </cfRule>
    <cfRule type="expression" dxfId="3431" priority="302">
      <formula>AND(D$9&gt;=14/24,D$9&lt;20/24)</formula>
    </cfRule>
    <cfRule type="expression" dxfId="3430" priority="303">
      <formula>AND(D$9&gt;=8/24,D$9&lt;14/24)</formula>
    </cfRule>
    <cfRule type="expression" dxfId="3429" priority="304">
      <formula>D$9&lt;8/24</formula>
    </cfRule>
  </conditionalFormatting>
  <conditionalFormatting sqref="A112">
    <cfRule type="expression" dxfId="3428" priority="300">
      <formula>$AH112=0</formula>
    </cfRule>
  </conditionalFormatting>
  <conditionalFormatting sqref="A23">
    <cfRule type="expression" dxfId="3427" priority="298">
      <formula>$AH23=0</formula>
    </cfRule>
  </conditionalFormatting>
  <conditionalFormatting sqref="AL23">
    <cfRule type="iconSet" priority="299">
      <iconSet iconSet="3TrafficLights2" reverse="1">
        <cfvo type="percent" val="0"/>
        <cfvo type="num" val="1"/>
        <cfvo type="num" val="1"/>
      </iconSet>
    </cfRule>
  </conditionalFormatting>
  <conditionalFormatting sqref="A39">
    <cfRule type="expression" dxfId="3426" priority="296">
      <formula>$AH39=0</formula>
    </cfRule>
  </conditionalFormatting>
  <conditionalFormatting sqref="AL39">
    <cfRule type="iconSet" priority="297">
      <iconSet iconSet="3TrafficLights2" reverse="1">
        <cfvo type="percent" val="0"/>
        <cfvo type="num" val="1"/>
        <cfvo type="num" val="1"/>
      </iconSet>
    </cfRule>
  </conditionalFormatting>
  <conditionalFormatting sqref="Z101:AC101">
    <cfRule type="expression" dxfId="3425" priority="292">
      <formula>Z$9&gt;=20/24</formula>
    </cfRule>
    <cfRule type="expression" dxfId="3424" priority="293">
      <formula>AND(Z$9&gt;=14/24,Z$9&lt;20/24)</formula>
    </cfRule>
    <cfRule type="expression" dxfId="3423" priority="294">
      <formula>AND(Z$9&gt;=8/24,Z$9&lt;14/24)</formula>
    </cfRule>
    <cfRule type="expression" dxfId="3422" priority="295">
      <formula>Z$9&lt;8/24</formula>
    </cfRule>
  </conditionalFormatting>
  <conditionalFormatting sqref="Z102:AD108">
    <cfRule type="expression" dxfId="3421" priority="288">
      <formula>Z$9&gt;=20/24</formula>
    </cfRule>
    <cfRule type="expression" dxfId="3420" priority="289">
      <formula>AND(Z$9&gt;=14/24,Z$9&lt;20/24)</formula>
    </cfRule>
    <cfRule type="expression" dxfId="3419" priority="290">
      <formula>AND(Z$9&gt;=8/24,Z$9&lt;14/24)</formula>
    </cfRule>
    <cfRule type="expression" dxfId="3418" priority="291">
      <formula>Z$9&lt;8/24</formula>
    </cfRule>
  </conditionalFormatting>
  <conditionalFormatting sqref="C111 C113:C119 Z19:AA28 U19:Y24 U27:Y27 AA29:AA30 AA36:AF45 AB19:AF30 AA32:AF34">
    <cfRule type="expression" dxfId="3417" priority="284">
      <formula>C$9&gt;=20/24</formula>
    </cfRule>
    <cfRule type="expression" dxfId="3416" priority="285">
      <formula>AND(C$9&gt;=14/24,C$9&lt;20/24)</formula>
    </cfRule>
    <cfRule type="expression" dxfId="3415" priority="286">
      <formula>AND(C$9&gt;=8/24,C$9&lt;14/24)</formula>
    </cfRule>
    <cfRule type="expression" dxfId="3414" priority="287">
      <formula>C$9&lt;8/24</formula>
    </cfRule>
  </conditionalFormatting>
  <conditionalFormatting sqref="E49:S49">
    <cfRule type="expression" dxfId="3413" priority="280">
      <formula>E$9&gt;=20/24</formula>
    </cfRule>
    <cfRule type="expression" dxfId="3412" priority="281">
      <formula>AND(E$9&gt;=14/24,E$9&lt;20/24)</formula>
    </cfRule>
    <cfRule type="expression" dxfId="3411" priority="282">
      <formula>AND(E$9&gt;=8/24,E$9&lt;14/24)</formula>
    </cfRule>
    <cfRule type="expression" dxfId="3410" priority="283">
      <formula>E$9&lt;8/24</formula>
    </cfRule>
  </conditionalFormatting>
  <conditionalFormatting sqref="E49:S49 Z19:AA28 U19:Y24 U27:Y27 AA29:AA30 AA36:AF45 AB19:AF30 AA32:AF34">
    <cfRule type="expression" dxfId="3409" priority="279">
      <formula>E19&gt;$AG19</formula>
    </cfRule>
  </conditionalFormatting>
  <conditionalFormatting sqref="C101:D101">
    <cfRule type="expression" dxfId="3408" priority="275">
      <formula>C$9&gt;=20/24</formula>
    </cfRule>
    <cfRule type="expression" dxfId="3407" priority="276">
      <formula>AND(C$9&gt;=14/24,C$9&lt;20/24)</formula>
    </cfRule>
    <cfRule type="expression" dxfId="3406" priority="277">
      <formula>AND(C$9&gt;=8/24,C$9&lt;14/24)</formula>
    </cfRule>
    <cfRule type="expression" dxfId="3405" priority="278">
      <formula>C$9&lt;8/24</formula>
    </cfRule>
  </conditionalFormatting>
  <conditionalFormatting sqref="C88 C98:W98 C85:AF87 D102:D108 AD77:AD78 E69:Z71 E76:AC78">
    <cfRule type="expression" dxfId="3404" priority="271">
      <formula>C$9&gt;=20/24</formula>
    </cfRule>
    <cfRule type="expression" dxfId="3403" priority="272">
      <formula>AND(C$9&gt;=14/24,C$9&lt;20/24)</formula>
    </cfRule>
    <cfRule type="expression" dxfId="3402" priority="273">
      <formula>AND(C$9&gt;=8/24,C$9&lt;14/24)</formula>
    </cfRule>
    <cfRule type="expression" dxfId="3401" priority="274">
      <formula>C$9&lt;8/24</formula>
    </cfRule>
  </conditionalFormatting>
  <conditionalFormatting sqref="E58:L59 E69:Z71">
    <cfRule type="expression" dxfId="3400" priority="270">
      <formula>E58&gt;$AG58</formula>
    </cfRule>
  </conditionalFormatting>
  <conditionalFormatting sqref="C73:D73 D56:D59">
    <cfRule type="expression" dxfId="3399" priority="216">
      <formula>C$9&gt;=20/24</formula>
    </cfRule>
    <cfRule type="expression" dxfId="3398" priority="217">
      <formula>AND(C$9&gt;=14/24,C$9&lt;20/24)</formula>
    </cfRule>
    <cfRule type="expression" dxfId="3397" priority="218">
      <formula>AND(C$9&gt;=8/24,C$9&lt;14/24)</formula>
    </cfRule>
    <cfRule type="expression" dxfId="3396" priority="219">
      <formula>C$9&lt;8/24</formula>
    </cfRule>
  </conditionalFormatting>
  <conditionalFormatting sqref="C89:AF89 C91:AF91 C100:AF100 C72:AF72">
    <cfRule type="expression" dxfId="3395" priority="266">
      <formula>C$9&gt;=20/24</formula>
    </cfRule>
    <cfRule type="expression" dxfId="3394" priority="267">
      <formula>AND(C$9&gt;=14/24,C$9&lt;20/24)</formula>
    </cfRule>
    <cfRule type="expression" dxfId="3393" priority="268">
      <formula>AND(C$9&gt;=8/24,C$9&lt;14/24)</formula>
    </cfRule>
    <cfRule type="expression" dxfId="3392" priority="269">
      <formula>C$9&lt;8/24</formula>
    </cfRule>
  </conditionalFormatting>
  <conditionalFormatting sqref="C72:AF72 D67:AF68">
    <cfRule type="expression" dxfId="3391" priority="265">
      <formula>C67&gt;$AG67</formula>
    </cfRule>
  </conditionalFormatting>
  <conditionalFormatting sqref="C84:AF84">
    <cfRule type="expression" dxfId="3390" priority="261">
      <formula>C$9&gt;=20/24</formula>
    </cfRule>
    <cfRule type="expression" dxfId="3389" priority="262">
      <formula>AND(C$9&gt;=14/24,C$9&lt;20/24)</formula>
    </cfRule>
    <cfRule type="expression" dxfId="3388" priority="263">
      <formula>AND(C$9&gt;=8/24,C$9&lt;14/24)</formula>
    </cfRule>
    <cfRule type="expression" dxfId="3387" priority="264">
      <formula>C$9&lt;8/24</formula>
    </cfRule>
  </conditionalFormatting>
  <conditionalFormatting sqref="C93:W97">
    <cfRule type="expression" dxfId="3386" priority="257">
      <formula>C$9&gt;=20/24</formula>
    </cfRule>
    <cfRule type="expression" dxfId="3385" priority="258">
      <formula>AND(C$9&gt;=14/24,C$9&lt;20/24)</formula>
    </cfRule>
    <cfRule type="expression" dxfId="3384" priority="259">
      <formula>AND(C$9&gt;=8/24,C$9&lt;14/24)</formula>
    </cfRule>
    <cfRule type="expression" dxfId="3383" priority="260">
      <formula>C$9&lt;8/24</formula>
    </cfRule>
  </conditionalFormatting>
  <conditionalFormatting sqref="D54:AF54">
    <cfRule type="expression" dxfId="3382" priority="253">
      <formula>D$9&gt;=20/24</formula>
    </cfRule>
    <cfRule type="expression" dxfId="3381" priority="254">
      <formula>AND(D$9&gt;=14/24,D$9&lt;20/24)</formula>
    </cfRule>
    <cfRule type="expression" dxfId="3380" priority="255">
      <formula>AND(D$9&gt;=8/24,D$9&lt;14/24)</formula>
    </cfRule>
    <cfRule type="expression" dxfId="3379" priority="256">
      <formula>D$9&lt;8/24</formula>
    </cfRule>
  </conditionalFormatting>
  <conditionalFormatting sqref="D54:AF54">
    <cfRule type="expression" dxfId="3378" priority="252">
      <formula>D54&gt;$AG54</formula>
    </cfRule>
  </conditionalFormatting>
  <conditionalFormatting sqref="C112">
    <cfRule type="expression" dxfId="3377" priority="248">
      <formula>C$9&gt;=20/24</formula>
    </cfRule>
    <cfRule type="expression" dxfId="3376" priority="249">
      <formula>AND(C$9&gt;=14/24,C$9&lt;20/24)</formula>
    </cfRule>
    <cfRule type="expression" dxfId="3375" priority="250">
      <formula>AND(C$9&gt;=8/24,C$9&lt;14/24)</formula>
    </cfRule>
    <cfRule type="expression" dxfId="3374" priority="251">
      <formula>C$9&lt;8/24</formula>
    </cfRule>
  </conditionalFormatting>
  <conditionalFormatting sqref="AA61:AD66">
    <cfRule type="expression" dxfId="3373" priority="244">
      <formula>AA$9&gt;=20/24</formula>
    </cfRule>
    <cfRule type="expression" dxfId="3372" priority="245">
      <formula>AND(AA$9&gt;=14/24,AA$9&lt;20/24)</formula>
    </cfRule>
    <cfRule type="expression" dxfId="3371" priority="246">
      <formula>AND(AA$9&gt;=8/24,AA$9&lt;14/24)</formula>
    </cfRule>
    <cfRule type="expression" dxfId="3370" priority="247">
      <formula>AA$9&lt;8/24</formula>
    </cfRule>
  </conditionalFormatting>
  <conditionalFormatting sqref="AA61:AD66">
    <cfRule type="expression" dxfId="3369" priority="243">
      <formula>AA61&gt;$AG61</formula>
    </cfRule>
  </conditionalFormatting>
  <conditionalFormatting sqref="AA47:AF47">
    <cfRule type="expression" dxfId="3368" priority="242">
      <formula>AA47&gt;$AG47</formula>
    </cfRule>
  </conditionalFormatting>
  <conditionalFormatting sqref="U13:AF13">
    <cfRule type="expression" dxfId="3367" priority="238">
      <formula>U$9&gt;=20/24</formula>
    </cfRule>
    <cfRule type="expression" dxfId="3366" priority="239">
      <formula>AND(U$9&gt;=14/24,U$9&lt;20/24)</formula>
    </cfRule>
    <cfRule type="expression" dxfId="3365" priority="240">
      <formula>AND(U$9&gt;=8/24,U$9&lt;14/24)</formula>
    </cfRule>
    <cfRule type="expression" dxfId="3364" priority="241">
      <formula>U$9&lt;8/24</formula>
    </cfRule>
  </conditionalFormatting>
  <conditionalFormatting sqref="U13:AF13">
    <cfRule type="expression" dxfId="3363" priority="237">
      <formula>U13&gt;$AG13</formula>
    </cfRule>
  </conditionalFormatting>
  <conditionalFormatting sqref="AA47:AF47">
    <cfRule type="expression" dxfId="3362" priority="233">
      <formula>AA$9&gt;=20/24</formula>
    </cfRule>
    <cfRule type="expression" dxfId="3361" priority="234">
      <formula>AND(AA$9&gt;=14/24,AA$9&lt;20/24)</formula>
    </cfRule>
    <cfRule type="expression" dxfId="3360" priority="235">
      <formula>AND(AA$9&gt;=8/24,AA$9&lt;14/24)</formula>
    </cfRule>
    <cfRule type="expression" dxfId="3359" priority="236">
      <formula>AA$9&lt;8/24</formula>
    </cfRule>
  </conditionalFormatting>
  <conditionalFormatting sqref="E79:AD83">
    <cfRule type="expression" dxfId="3358" priority="229">
      <formula>E$9&gt;=20/24</formula>
    </cfRule>
    <cfRule type="expression" dxfId="3357" priority="230">
      <formula>AND(E$9&gt;=14/24,E$9&lt;20/24)</formula>
    </cfRule>
    <cfRule type="expression" dxfId="3356" priority="231">
      <formula>AND(E$9&gt;=8/24,E$9&lt;14/24)</formula>
    </cfRule>
    <cfRule type="expression" dxfId="3355" priority="232">
      <formula>E$9&lt;8/24</formula>
    </cfRule>
  </conditionalFormatting>
  <conditionalFormatting sqref="AL80:AN80 AL86:AN86 AN81:AN82">
    <cfRule type="expression" dxfId="3354" priority="225">
      <formula>AL$9&gt;=20/24</formula>
    </cfRule>
    <cfRule type="expression" dxfId="3353" priority="226">
      <formula>AND(AL$9&gt;=14/24,AL$9&lt;20/24)</formula>
    </cfRule>
    <cfRule type="expression" dxfId="3352" priority="227">
      <formula>AND(AL$9&gt;=8/24,AL$9&lt;14/24)</formula>
    </cfRule>
    <cfRule type="expression" dxfId="3351" priority="228">
      <formula>AL$9&lt;8/24</formula>
    </cfRule>
  </conditionalFormatting>
  <conditionalFormatting sqref="AN83:AN84">
    <cfRule type="expression" dxfId="3350" priority="221">
      <formula>AN$9&gt;=20/24</formula>
    </cfRule>
    <cfRule type="expression" dxfId="3349" priority="222">
      <formula>AND(AN$9&gt;=14/24,AN$9&lt;20/24)</formula>
    </cfRule>
    <cfRule type="expression" dxfId="3348" priority="223">
      <formula>AND(AN$9&gt;=8/24,AN$9&lt;14/24)</formula>
    </cfRule>
    <cfRule type="expression" dxfId="3347" priority="224">
      <formula>AN$9&lt;8/24</formula>
    </cfRule>
  </conditionalFormatting>
  <conditionalFormatting sqref="AL81:AM85">
    <cfRule type="expression" dxfId="3346" priority="425">
      <formula>AJ$9&gt;=20/24</formula>
    </cfRule>
    <cfRule type="expression" dxfId="3345" priority="426">
      <formula>AND(AJ$9&gt;=14/24,AJ$9&lt;20/24)</formula>
    </cfRule>
    <cfRule type="expression" dxfId="3344" priority="427">
      <formula>AND(AJ$9&gt;=8/24,AJ$9&lt;14/24)</formula>
    </cfRule>
    <cfRule type="expression" dxfId="3343" priority="428">
      <formula>AJ$9&lt;8/24</formula>
    </cfRule>
  </conditionalFormatting>
  <conditionalFormatting sqref="A120">
    <cfRule type="expression" dxfId="3342" priority="220">
      <formula>$AH120=0</formula>
    </cfRule>
  </conditionalFormatting>
  <conditionalFormatting sqref="D55">
    <cfRule type="expression" dxfId="3341" priority="212">
      <formula>D$9&gt;=20/24</formula>
    </cfRule>
    <cfRule type="expression" dxfId="3340" priority="213">
      <formula>AND(D$9&gt;=14/24,D$9&lt;20/24)</formula>
    </cfRule>
    <cfRule type="expression" dxfId="3339" priority="214">
      <formula>AND(D$9&gt;=8/24,D$9&lt;14/24)</formula>
    </cfRule>
    <cfRule type="expression" dxfId="3338" priority="215">
      <formula>D$9&lt;8/24</formula>
    </cfRule>
  </conditionalFormatting>
  <conditionalFormatting sqref="D55:D59">
    <cfRule type="expression" dxfId="3337" priority="211">
      <formula>D55&gt;$AG55</formula>
    </cfRule>
  </conditionalFormatting>
  <conditionalFormatting sqref="C74:D76 C102:C108 D69:D71 D77:D83">
    <cfRule type="expression" dxfId="3336" priority="207">
      <formula>C$9&gt;=20/24</formula>
    </cfRule>
    <cfRule type="expression" dxfId="3335" priority="208">
      <formula>AND(C$9&gt;=14/24,C$9&lt;20/24)</formula>
    </cfRule>
    <cfRule type="expression" dxfId="3334" priority="209">
      <formula>AND(C$9&gt;=8/24,C$9&lt;14/24)</formula>
    </cfRule>
    <cfRule type="expression" dxfId="3333" priority="210">
      <formula>C$9&lt;8/24</formula>
    </cfRule>
  </conditionalFormatting>
  <conditionalFormatting sqref="D69:D71">
    <cfRule type="expression" dxfId="3332" priority="206">
      <formula>D69&gt;$AG69</formula>
    </cfRule>
  </conditionalFormatting>
  <conditionalFormatting sqref="C90">
    <cfRule type="expression" dxfId="3331" priority="202">
      <formula>C$9&gt;=20/24</formula>
    </cfRule>
    <cfRule type="expression" dxfId="3330" priority="203">
      <formula>AND(C$9&gt;=14/24,C$9&lt;20/24)</formula>
    </cfRule>
    <cfRule type="expression" dxfId="3329" priority="204">
      <formula>AND(C$9&gt;=8/24,C$9&lt;14/24)</formula>
    </cfRule>
    <cfRule type="expression" dxfId="3328" priority="205">
      <formula>C$9&lt;8/24</formula>
    </cfRule>
  </conditionalFormatting>
  <conditionalFormatting sqref="AA48:AF48">
    <cfRule type="expression" dxfId="3327" priority="198">
      <formula>AA$9&gt;=20/24</formula>
    </cfRule>
    <cfRule type="expression" dxfId="3326" priority="199">
      <formula>AND(AA$9&gt;=14/24,AA$9&lt;20/24)</formula>
    </cfRule>
    <cfRule type="expression" dxfId="3325" priority="200">
      <formula>AND(AA$9&gt;=8/24,AA$9&lt;14/24)</formula>
    </cfRule>
    <cfRule type="expression" dxfId="3324" priority="201">
      <formula>AA$9&lt;8/24</formula>
    </cfRule>
  </conditionalFormatting>
  <conditionalFormatting sqref="AA48:AF48">
    <cfRule type="expression" dxfId="3323" priority="197">
      <formula>AA48&gt;$AG48</formula>
    </cfRule>
  </conditionalFormatting>
  <conditionalFormatting sqref="D60:R60">
    <cfRule type="expression" dxfId="3322" priority="193">
      <formula>D$9&gt;=20/24</formula>
    </cfRule>
    <cfRule type="expression" dxfId="3321" priority="194">
      <formula>AND(D$9&gt;=14/24,D$9&lt;20/24)</formula>
    </cfRule>
    <cfRule type="expression" dxfId="3320" priority="195">
      <formula>AND(D$9&gt;=8/24,D$9&lt;14/24)</formula>
    </cfRule>
    <cfRule type="expression" dxfId="3319" priority="196">
      <formula>D$9&lt;8/24</formula>
    </cfRule>
  </conditionalFormatting>
  <conditionalFormatting sqref="D60:R60">
    <cfRule type="expression" dxfId="3318" priority="192">
      <formula>D60&gt;$AG60</formula>
    </cfRule>
  </conditionalFormatting>
  <conditionalFormatting sqref="B88 B98 B102:B108 B74:B76 B69:C71 B49:D49">
    <cfRule type="expression" dxfId="3317" priority="122">
      <formula>B$9&gt;=20/24</formula>
    </cfRule>
    <cfRule type="expression" dxfId="3316" priority="123">
      <formula>AND(B$9&gt;=14/24,B$9&lt;20/24)</formula>
    </cfRule>
    <cfRule type="expression" dxfId="3315" priority="124">
      <formula>AND(B$9&gt;=8/24,B$9&lt;14/24)</formula>
    </cfRule>
    <cfRule type="expression" dxfId="3314" priority="125">
      <formula>B$9&lt;8/24</formula>
    </cfRule>
  </conditionalFormatting>
  <conditionalFormatting sqref="B60:C60">
    <cfRule type="expression" dxfId="3313" priority="113">
      <formula>B$9&gt;=20/24</formula>
    </cfRule>
    <cfRule type="expression" dxfId="3312" priority="114">
      <formula>AND(B$9&gt;=14/24,B$9&lt;20/24)</formula>
    </cfRule>
    <cfRule type="expression" dxfId="3311" priority="115">
      <formula>AND(B$9&gt;=8/24,B$9&lt;14/24)</formula>
    </cfRule>
    <cfRule type="expression" dxfId="3310" priority="116">
      <formula>B$9&lt;8/24</formula>
    </cfRule>
  </conditionalFormatting>
  <conditionalFormatting sqref="C77:C78">
    <cfRule type="expression" dxfId="3309" priority="188">
      <formula>C$9&gt;=20/24</formula>
    </cfRule>
    <cfRule type="expression" dxfId="3308" priority="189">
      <formula>AND(C$9&gt;=14/24,C$9&lt;20/24)</formula>
    </cfRule>
    <cfRule type="expression" dxfId="3307" priority="190">
      <formula>AND(C$9&gt;=8/24,C$9&lt;14/24)</formula>
    </cfRule>
    <cfRule type="expression" dxfId="3306" priority="191">
      <formula>C$9&lt;8/24</formula>
    </cfRule>
  </conditionalFormatting>
  <conditionalFormatting sqref="E50:AF50">
    <cfRule type="expression" dxfId="3305" priority="187">
      <formula>E50&gt;$AG50</formula>
    </cfRule>
  </conditionalFormatting>
  <conditionalFormatting sqref="D61:Z66">
    <cfRule type="expression" dxfId="3304" priority="183">
      <formula>D$9&gt;=20/24</formula>
    </cfRule>
    <cfRule type="expression" dxfId="3303" priority="184">
      <formula>AND(D$9&gt;=14/24,D$9&lt;20/24)</formula>
    </cfRule>
    <cfRule type="expression" dxfId="3302" priority="185">
      <formula>AND(D$9&gt;=8/24,D$9&lt;14/24)</formula>
    </cfRule>
    <cfRule type="expression" dxfId="3301" priority="186">
      <formula>D$9&lt;8/24</formula>
    </cfRule>
  </conditionalFormatting>
  <conditionalFormatting sqref="D61:Z66">
    <cfRule type="expression" dxfId="3300" priority="182">
      <formula>D61&gt;$AG61</formula>
    </cfRule>
  </conditionalFormatting>
  <conditionalFormatting sqref="C79:C83">
    <cfRule type="expression" dxfId="3299" priority="178">
      <formula>C$9&gt;=20/24</formula>
    </cfRule>
    <cfRule type="expression" dxfId="3298" priority="179">
      <formula>AND(C$9&gt;=14/24,C$9&lt;20/24)</formula>
    </cfRule>
    <cfRule type="expression" dxfId="3297" priority="180">
      <formula>AND(C$9&gt;=8/24,C$9&lt;14/24)</formula>
    </cfRule>
    <cfRule type="expression" dxfId="3296" priority="181">
      <formula>C$9&lt;8/24</formula>
    </cfRule>
  </conditionalFormatting>
  <conditionalFormatting sqref="A11">
    <cfRule type="expression" dxfId="3295" priority="177">
      <formula>$AH11=0</formula>
    </cfRule>
  </conditionalFormatting>
  <conditionalFormatting sqref="U11:AF11">
    <cfRule type="expression" dxfId="3294" priority="173">
      <formula>U$9&gt;=20/24</formula>
    </cfRule>
    <cfRule type="expression" dxfId="3293" priority="174">
      <formula>AND(U$9&gt;=14/24,U$9&lt;20/24)</formula>
    </cfRule>
    <cfRule type="expression" dxfId="3292" priority="175">
      <formula>AND(U$9&gt;=8/24,U$9&lt;14/24)</formula>
    </cfRule>
    <cfRule type="expression" dxfId="3291" priority="176">
      <formula>U$9&lt;8/24</formula>
    </cfRule>
  </conditionalFormatting>
  <conditionalFormatting sqref="U11:AF11">
    <cfRule type="expression" dxfId="3290" priority="172">
      <formula>U11&gt;$AG11</formula>
    </cfRule>
  </conditionalFormatting>
  <conditionalFormatting sqref="A18">
    <cfRule type="expression" dxfId="3289" priority="170">
      <formula>$AH18=0</formula>
    </cfRule>
  </conditionalFormatting>
  <conditionalFormatting sqref="AL18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U18:AF18">
    <cfRule type="expression" dxfId="3288" priority="166">
      <formula>U$9&gt;=20/24</formula>
    </cfRule>
    <cfRule type="expression" dxfId="3287" priority="167">
      <formula>AND(U$9&gt;=14/24,U$9&lt;20/24)</formula>
    </cfRule>
    <cfRule type="expression" dxfId="3286" priority="168">
      <formula>AND(U$9&gt;=8/24,U$9&lt;14/24)</formula>
    </cfRule>
    <cfRule type="expression" dxfId="3285" priority="169">
      <formula>U$9&lt;8/24</formula>
    </cfRule>
  </conditionalFormatting>
  <conditionalFormatting sqref="U18:AF18">
    <cfRule type="expression" dxfId="3284" priority="165">
      <formula>U18&gt;$AG18</formula>
    </cfRule>
  </conditionalFormatting>
  <conditionalFormatting sqref="A35">
    <cfRule type="expression" dxfId="3283" priority="163">
      <formula>$AH35=0</formula>
    </cfRule>
  </conditionalFormatting>
  <conditionalFormatting sqref="AL35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A35:AF35">
    <cfRule type="expression" dxfId="3282" priority="159">
      <formula>AA$9&gt;=20/24</formula>
    </cfRule>
    <cfRule type="expression" dxfId="3281" priority="160">
      <formula>AND(AA$9&gt;=14/24,AA$9&lt;20/24)</formula>
    </cfRule>
    <cfRule type="expression" dxfId="3280" priority="161">
      <formula>AND(AA$9&gt;=8/24,AA$9&lt;14/24)</formula>
    </cfRule>
    <cfRule type="expression" dxfId="3279" priority="162">
      <formula>AA$9&lt;8/24</formula>
    </cfRule>
  </conditionalFormatting>
  <conditionalFormatting sqref="AA35:AF35">
    <cfRule type="expression" dxfId="3278" priority="158">
      <formula>AA35&gt;$AG35</formula>
    </cfRule>
  </conditionalFormatting>
  <conditionalFormatting sqref="A46">
    <cfRule type="expression" dxfId="3277" priority="156">
      <formula>$AH46=0</formula>
    </cfRule>
  </conditionalFormatting>
  <conditionalFormatting sqref="AL46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A46:AF46">
    <cfRule type="expression" dxfId="3276" priority="155">
      <formula>AA46&gt;$AG46</formula>
    </cfRule>
  </conditionalFormatting>
  <conditionalFormatting sqref="AA46:AF46">
    <cfRule type="expression" dxfId="3275" priority="151">
      <formula>AA$9&gt;=20/24</formula>
    </cfRule>
    <cfRule type="expression" dxfId="3274" priority="152">
      <formula>AND(AA$9&gt;=14/24,AA$9&lt;20/24)</formula>
    </cfRule>
    <cfRule type="expression" dxfId="3273" priority="153">
      <formula>AND(AA$9&gt;=8/24,AA$9&lt;14/24)</formula>
    </cfRule>
    <cfRule type="expression" dxfId="3272" priority="154">
      <formula>AA$9&lt;8/24</formula>
    </cfRule>
  </conditionalFormatting>
  <conditionalFormatting sqref="B120">
    <cfRule type="expression" dxfId="3271" priority="27">
      <formula>B$9&gt;=20/24</formula>
    </cfRule>
    <cfRule type="expression" dxfId="3270" priority="28">
      <formula>AND(B$9&gt;=14/24,B$9&lt;20/24)</formula>
    </cfRule>
    <cfRule type="expression" dxfId="3269" priority="29">
      <formula>AND(B$9&gt;=8/24,B$9&lt;14/24)</formula>
    </cfRule>
    <cfRule type="expression" dxfId="3268" priority="30">
      <formula>B$9&lt;8/24</formula>
    </cfRule>
  </conditionalFormatting>
  <conditionalFormatting sqref="D120:AF120">
    <cfRule type="expression" dxfId="3267" priority="147">
      <formula>D$9&gt;=20/24</formula>
    </cfRule>
    <cfRule type="expression" dxfId="3266" priority="148">
      <formula>AND(D$9&gt;=14/24,D$9&lt;20/24)</formula>
    </cfRule>
    <cfRule type="expression" dxfId="3265" priority="149">
      <formula>AND(D$9&gt;=8/24,D$9&lt;14/24)</formula>
    </cfRule>
    <cfRule type="expression" dxfId="3264" priority="150">
      <formula>D$9&lt;8/24</formula>
    </cfRule>
  </conditionalFormatting>
  <conditionalFormatting sqref="C120">
    <cfRule type="expression" dxfId="3263" priority="143">
      <formula>C$9&gt;=20/24</formula>
    </cfRule>
    <cfRule type="expression" dxfId="3262" priority="144">
      <formula>AND(C$9&gt;=14/24,C$9&lt;20/24)</formula>
    </cfRule>
    <cfRule type="expression" dxfId="3261" priority="145">
      <formula>AND(C$9&gt;=8/24,C$9&lt;14/24)</formula>
    </cfRule>
    <cfRule type="expression" dxfId="3260" priority="146">
      <formula>C$9&lt;8/24</formula>
    </cfRule>
  </conditionalFormatting>
  <conditionalFormatting sqref="B111 B113:B119">
    <cfRule type="expression" dxfId="3259" priority="139">
      <formula>B$9&gt;=20/24</formula>
    </cfRule>
    <cfRule type="expression" dxfId="3258" priority="140">
      <formula>AND(B$9&gt;=14/24,B$9&lt;20/24)</formula>
    </cfRule>
    <cfRule type="expression" dxfId="3257" priority="141">
      <formula>AND(B$9&gt;=8/24,B$9&lt;14/24)</formula>
    </cfRule>
    <cfRule type="expression" dxfId="3256" priority="142">
      <formula>B$9&lt;8/24</formula>
    </cfRule>
  </conditionalFormatting>
  <conditionalFormatting sqref="B101">
    <cfRule type="expression" dxfId="3255" priority="135">
      <formula>B$9&gt;=20/24</formula>
    </cfRule>
    <cfRule type="expression" dxfId="3254" priority="136">
      <formula>AND(B$9&gt;=14/24,B$9&lt;20/24)</formula>
    </cfRule>
    <cfRule type="expression" dxfId="3253" priority="137">
      <formula>AND(B$9&gt;=8/24,B$9&lt;14/24)</formula>
    </cfRule>
    <cfRule type="expression" dxfId="3252" priority="138">
      <formula>B$9&lt;8/24</formula>
    </cfRule>
  </conditionalFormatting>
  <conditionalFormatting sqref="B73 B56:C59">
    <cfRule type="expression" dxfId="3251" priority="131">
      <formula>B$9&gt;=20/24</formula>
    </cfRule>
    <cfRule type="expression" dxfId="3250" priority="132">
      <formula>AND(B$9&gt;=14/24,B$9&lt;20/24)</formula>
    </cfRule>
    <cfRule type="expression" dxfId="3249" priority="133">
      <formula>AND(B$9&gt;=8/24,B$9&lt;14/24)</formula>
    </cfRule>
    <cfRule type="expression" dxfId="3248" priority="134">
      <formula>B$9&lt;8/24</formula>
    </cfRule>
  </conditionalFormatting>
  <conditionalFormatting sqref="B55:C55">
    <cfRule type="expression" dxfId="3247" priority="127">
      <formula>B$9&gt;=20/24</formula>
    </cfRule>
    <cfRule type="expression" dxfId="3246" priority="128">
      <formula>AND(B$9&gt;=14/24,B$9&lt;20/24)</formula>
    </cfRule>
    <cfRule type="expression" dxfId="3245" priority="129">
      <formula>AND(B$9&gt;=8/24,B$9&lt;14/24)</formula>
    </cfRule>
    <cfRule type="expression" dxfId="3244" priority="130">
      <formula>B$9&lt;8/24</formula>
    </cfRule>
  </conditionalFormatting>
  <conditionalFormatting sqref="B55:C59">
    <cfRule type="expression" dxfId="3243" priority="126">
      <formula>B55&gt;$AG55</formula>
    </cfRule>
  </conditionalFormatting>
  <conditionalFormatting sqref="B69:C71 B49:D49">
    <cfRule type="expression" dxfId="3242" priority="121">
      <formula>B49&gt;$AG49</formula>
    </cfRule>
  </conditionalFormatting>
  <conditionalFormatting sqref="B99 B90">
    <cfRule type="expression" dxfId="3241" priority="117">
      <formula>B$9&gt;=20/24</formula>
    </cfRule>
    <cfRule type="expression" dxfId="3240" priority="118">
      <formula>AND(B$9&gt;=14/24,B$9&lt;20/24)</formula>
    </cfRule>
    <cfRule type="expression" dxfId="3239" priority="119">
      <formula>AND(B$9&gt;=8/24,B$9&lt;14/24)</formula>
    </cfRule>
    <cfRule type="expression" dxfId="3238" priority="120">
      <formula>B$9&lt;8/24</formula>
    </cfRule>
  </conditionalFormatting>
  <conditionalFormatting sqref="B60:C60">
    <cfRule type="expression" dxfId="3237" priority="112">
      <formula>B60&gt;$AG60</formula>
    </cfRule>
  </conditionalFormatting>
  <conditionalFormatting sqref="B93:B97">
    <cfRule type="expression" dxfId="3236" priority="108">
      <formula>B$9&gt;=20/24</formula>
    </cfRule>
    <cfRule type="expression" dxfId="3235" priority="109">
      <formula>AND(B$9&gt;=14/24,B$9&lt;20/24)</formula>
    </cfRule>
    <cfRule type="expression" dxfId="3234" priority="110">
      <formula>AND(B$9&gt;=8/24,B$9&lt;14/24)</formula>
    </cfRule>
    <cfRule type="expression" dxfId="3233" priority="111">
      <formula>B$9&lt;8/24</formula>
    </cfRule>
  </conditionalFormatting>
  <conditionalFormatting sqref="B51:D53">
    <cfRule type="expression" dxfId="3232" priority="104">
      <formula>B$9&gt;=20/24</formula>
    </cfRule>
    <cfRule type="expression" dxfId="3231" priority="105">
      <formula>AND(B$9&gt;=14/24,B$9&lt;20/24)</formula>
    </cfRule>
    <cfRule type="expression" dxfId="3230" priority="106">
      <formula>AND(B$9&gt;=8/24,B$9&lt;14/24)</formula>
    </cfRule>
    <cfRule type="expression" dxfId="3229" priority="107">
      <formula>B$9&lt;8/24</formula>
    </cfRule>
  </conditionalFormatting>
  <conditionalFormatting sqref="B51:D53">
    <cfRule type="expression" dxfId="3228" priority="103">
      <formula>B51&gt;$AG51</formula>
    </cfRule>
  </conditionalFormatting>
  <conditionalFormatting sqref="B109">
    <cfRule type="expression" dxfId="3227" priority="99">
      <formula>B$9&gt;=20/24</formula>
    </cfRule>
    <cfRule type="expression" dxfId="3226" priority="100">
      <formula>AND(B$9&gt;=14/24,B$9&lt;20/24)</formula>
    </cfRule>
    <cfRule type="expression" dxfId="3225" priority="101">
      <formula>AND(B$9&gt;=8/24,B$9&lt;14/24)</formula>
    </cfRule>
    <cfRule type="expression" dxfId="3224" priority="102">
      <formula>B$9&lt;8/24</formula>
    </cfRule>
  </conditionalFormatting>
  <conditionalFormatting sqref="B112">
    <cfRule type="expression" dxfId="3223" priority="95">
      <formula>B$9&gt;=20/24</formula>
    </cfRule>
    <cfRule type="expression" dxfId="3222" priority="96">
      <formula>AND(B$9&gt;=14/24,B$9&lt;20/24)</formula>
    </cfRule>
    <cfRule type="expression" dxfId="3221" priority="97">
      <formula>AND(B$9&gt;=8/24,B$9&lt;14/24)</formula>
    </cfRule>
    <cfRule type="expression" dxfId="3220" priority="98">
      <formula>B$9&lt;8/24</formula>
    </cfRule>
  </conditionalFormatting>
  <conditionalFormatting sqref="B19:T30 U25:Y26 U28:Y30 B36:Z45 Z29:Z30 B32:Z34 B31:AF31">
    <cfRule type="expression" dxfId="3219" priority="91">
      <formula>B$9&gt;=20/24</formula>
    </cfRule>
    <cfRule type="expression" dxfId="3218" priority="92">
      <formula>AND(B$9&gt;=14/24,B$9&lt;20/24)</formula>
    </cfRule>
    <cfRule type="expression" dxfId="3217" priority="93">
      <formula>AND(B$9&gt;=8/24,B$9&lt;14/24)</formula>
    </cfRule>
    <cfRule type="expression" dxfId="3216" priority="94">
      <formula>B$9&lt;8/24</formula>
    </cfRule>
  </conditionalFormatting>
  <conditionalFormatting sqref="B19:T30 U25:Y26 U28:Y30 B36:Z45 Z29:Z30 B32:Z34 B31:AF31">
    <cfRule type="expression" dxfId="3215" priority="90">
      <formula>B19&gt;$AG19</formula>
    </cfRule>
  </conditionalFormatting>
  <conditionalFormatting sqref="B85:B87 B77:B83">
    <cfRule type="expression" dxfId="3214" priority="86">
      <formula>B$9&gt;=20/24</formula>
    </cfRule>
    <cfRule type="expression" dxfId="3213" priority="87">
      <formula>AND(B$9&gt;=14/24,B$9&lt;20/24)</formula>
    </cfRule>
    <cfRule type="expression" dxfId="3212" priority="88">
      <formula>AND(B$9&gt;=8/24,B$9&lt;14/24)</formula>
    </cfRule>
    <cfRule type="expression" dxfId="3211" priority="89">
      <formula>B$9&lt;8/24</formula>
    </cfRule>
  </conditionalFormatting>
  <conditionalFormatting sqref="B89 B91 B100 B72">
    <cfRule type="expression" dxfId="3210" priority="82">
      <formula>B$9&gt;=20/24</formula>
    </cfRule>
    <cfRule type="expression" dxfId="3209" priority="83">
      <formula>AND(B$9&gt;=14/24,B$9&lt;20/24)</formula>
    </cfRule>
    <cfRule type="expression" dxfId="3208" priority="84">
      <formula>AND(B$9&gt;=8/24,B$9&lt;14/24)</formula>
    </cfRule>
    <cfRule type="expression" dxfId="3207" priority="85">
      <formula>B$9&lt;8/24</formula>
    </cfRule>
  </conditionalFormatting>
  <conditionalFormatting sqref="B72 B67:C68">
    <cfRule type="expression" dxfId="3206" priority="81">
      <formula>B67&gt;$AG67</formula>
    </cfRule>
  </conditionalFormatting>
  <conditionalFormatting sqref="B84">
    <cfRule type="expression" dxfId="3205" priority="77">
      <formula>B$9&gt;=20/24</formula>
    </cfRule>
    <cfRule type="expression" dxfId="3204" priority="78">
      <formula>AND(B$9&gt;=14/24,B$9&lt;20/24)</formula>
    </cfRule>
    <cfRule type="expression" dxfId="3203" priority="79">
      <formula>AND(B$9&gt;=8/24,B$9&lt;14/24)</formula>
    </cfRule>
    <cfRule type="expression" dxfId="3202" priority="80">
      <formula>B$9&lt;8/24</formula>
    </cfRule>
  </conditionalFormatting>
  <conditionalFormatting sqref="B54:C54">
    <cfRule type="expression" dxfId="3201" priority="73">
      <formula>B$9&gt;=20/24</formula>
    </cfRule>
    <cfRule type="expression" dxfId="3200" priority="74">
      <formula>AND(B$9&gt;=14/24,B$9&lt;20/24)</formula>
    </cfRule>
    <cfRule type="expression" dxfId="3199" priority="75">
      <formula>AND(B$9&gt;=8/24,B$9&lt;14/24)</formula>
    </cfRule>
    <cfRule type="expression" dxfId="3198" priority="76">
      <formula>B$9&lt;8/24</formula>
    </cfRule>
  </conditionalFormatting>
  <conditionalFormatting sqref="B54:C54">
    <cfRule type="expression" dxfId="3197" priority="72">
      <formula>B54&gt;$AG54</formula>
    </cfRule>
  </conditionalFormatting>
  <conditionalFormatting sqref="B61:C66">
    <cfRule type="expression" dxfId="3196" priority="68">
      <formula>B$9&gt;=20/24</formula>
    </cfRule>
    <cfRule type="expression" dxfId="3195" priority="69">
      <formula>AND(B$9&gt;=14/24,B$9&lt;20/24)</formula>
    </cfRule>
    <cfRule type="expression" dxfId="3194" priority="70">
      <formula>AND(B$9&gt;=8/24,B$9&lt;14/24)</formula>
    </cfRule>
    <cfRule type="expression" dxfId="3193" priority="71">
      <formula>B$9&lt;8/24</formula>
    </cfRule>
  </conditionalFormatting>
  <conditionalFormatting sqref="B61:C66">
    <cfRule type="expression" dxfId="3192" priority="67">
      <formula>B61&gt;$AG61</formula>
    </cfRule>
  </conditionalFormatting>
  <conditionalFormatting sqref="B47:Z47">
    <cfRule type="expression" dxfId="3191" priority="66">
      <formula>B47&gt;$AG47</formula>
    </cfRule>
  </conditionalFormatting>
  <conditionalFormatting sqref="B13:T13">
    <cfRule type="expression" dxfId="3190" priority="62">
      <formula>B$9&gt;=20/24</formula>
    </cfRule>
    <cfRule type="expression" dxfId="3189" priority="63">
      <formula>AND(B$9&gt;=14/24,B$9&lt;20/24)</formula>
    </cfRule>
    <cfRule type="expression" dxfId="3188" priority="64">
      <formula>AND(B$9&gt;=8/24,B$9&lt;14/24)</formula>
    </cfRule>
    <cfRule type="expression" dxfId="3187" priority="65">
      <formula>B$9&lt;8/24</formula>
    </cfRule>
  </conditionalFormatting>
  <conditionalFormatting sqref="B13:T13">
    <cfRule type="expression" dxfId="3186" priority="61">
      <formula>B13&gt;$AG13</formula>
    </cfRule>
  </conditionalFormatting>
  <conditionalFormatting sqref="B47:Z47">
    <cfRule type="expression" dxfId="3185" priority="57">
      <formula>B$9&gt;=20/24</formula>
    </cfRule>
    <cfRule type="expression" dxfId="3184" priority="58">
      <formula>AND(B$9&gt;=14/24,B$9&lt;20/24)</formula>
    </cfRule>
    <cfRule type="expression" dxfId="3183" priority="59">
      <formula>AND(B$9&gt;=8/24,B$9&lt;14/24)</formula>
    </cfRule>
    <cfRule type="expression" dxfId="3182" priority="60">
      <formula>B$9&lt;8/24</formula>
    </cfRule>
  </conditionalFormatting>
  <conditionalFormatting sqref="B48:Z48">
    <cfRule type="expression" dxfId="3181" priority="53">
      <formula>B$9&gt;=20/24</formula>
    </cfRule>
    <cfRule type="expression" dxfId="3180" priority="54">
      <formula>AND(B$9&gt;=14/24,B$9&lt;20/24)</formula>
    </cfRule>
    <cfRule type="expression" dxfId="3179" priority="55">
      <formula>AND(B$9&gt;=8/24,B$9&lt;14/24)</formula>
    </cfRule>
    <cfRule type="expression" dxfId="3178" priority="56">
      <formula>B$9&lt;8/24</formula>
    </cfRule>
  </conditionalFormatting>
  <conditionalFormatting sqref="B48:Z48">
    <cfRule type="expression" dxfId="3177" priority="52">
      <formula>B48&gt;$AG48</formula>
    </cfRule>
  </conditionalFormatting>
  <conditionalFormatting sqref="B50:D50">
    <cfRule type="expression" dxfId="3176" priority="51">
      <formula>B50&gt;$AG50</formula>
    </cfRule>
  </conditionalFormatting>
  <conditionalFormatting sqref="B11:T11">
    <cfRule type="expression" dxfId="3175" priority="47">
      <formula>B$9&gt;=20/24</formula>
    </cfRule>
    <cfRule type="expression" dxfId="3174" priority="48">
      <formula>AND(B$9&gt;=14/24,B$9&lt;20/24)</formula>
    </cfRule>
    <cfRule type="expression" dxfId="3173" priority="49">
      <formula>AND(B$9&gt;=8/24,B$9&lt;14/24)</formula>
    </cfRule>
    <cfRule type="expression" dxfId="3172" priority="50">
      <formula>B$9&lt;8/24</formula>
    </cfRule>
  </conditionalFormatting>
  <conditionalFormatting sqref="B11:T11">
    <cfRule type="expression" dxfId="3171" priority="46">
      <formula>B11&gt;$AG11</formula>
    </cfRule>
  </conditionalFormatting>
  <conditionalFormatting sqref="B18:T18">
    <cfRule type="expression" dxfId="3170" priority="42">
      <formula>B$9&gt;=20/24</formula>
    </cfRule>
    <cfRule type="expression" dxfId="3169" priority="43">
      <formula>AND(B$9&gt;=14/24,B$9&lt;20/24)</formula>
    </cfRule>
    <cfRule type="expression" dxfId="3168" priority="44">
      <formula>AND(B$9&gt;=8/24,B$9&lt;14/24)</formula>
    </cfRule>
    <cfRule type="expression" dxfId="3167" priority="45">
      <formula>B$9&lt;8/24</formula>
    </cfRule>
  </conditionalFormatting>
  <conditionalFormatting sqref="B18:T18">
    <cfRule type="expression" dxfId="3166" priority="41">
      <formula>B18&gt;$AG18</formula>
    </cfRule>
  </conditionalFormatting>
  <conditionalFormatting sqref="B35:Z35">
    <cfRule type="expression" dxfId="3165" priority="37">
      <formula>B$9&gt;=20/24</formula>
    </cfRule>
    <cfRule type="expression" dxfId="3164" priority="38">
      <formula>AND(B$9&gt;=14/24,B$9&lt;20/24)</formula>
    </cfRule>
    <cfRule type="expression" dxfId="3163" priority="39">
      <formula>AND(B$9&gt;=8/24,B$9&lt;14/24)</formula>
    </cfRule>
    <cfRule type="expression" dxfId="3162" priority="40">
      <formula>B$9&lt;8/24</formula>
    </cfRule>
  </conditionalFormatting>
  <conditionalFormatting sqref="B35:Z35">
    <cfRule type="expression" dxfId="3161" priority="36">
      <formula>B35&gt;$AG35</formula>
    </cfRule>
  </conditionalFormatting>
  <conditionalFormatting sqref="B46:Z46">
    <cfRule type="expression" dxfId="3160" priority="35">
      <formula>B46&gt;$AG46</formula>
    </cfRule>
  </conditionalFormatting>
  <conditionalFormatting sqref="B46:Z46">
    <cfRule type="expression" dxfId="3159" priority="31">
      <formula>B$9&gt;=20/24</formula>
    </cfRule>
    <cfRule type="expression" dxfId="3158" priority="32">
      <formula>AND(B$9&gt;=14/24,B$9&lt;20/24)</formula>
    </cfRule>
    <cfRule type="expression" dxfId="3157" priority="33">
      <formula>AND(B$9&gt;=8/24,B$9&lt;14/24)</formula>
    </cfRule>
    <cfRule type="expression" dxfId="3156" priority="34">
      <formula>B$9&lt;8/24</formula>
    </cfRule>
  </conditionalFormatting>
  <conditionalFormatting sqref="AE55:AF60">
    <cfRule type="expression" dxfId="3155" priority="23">
      <formula>AE$9&gt;=20/24</formula>
    </cfRule>
    <cfRule type="expression" dxfId="3154" priority="24">
      <formula>AND(AE$9&gt;=14/24,AE$9&lt;20/24)</formula>
    </cfRule>
    <cfRule type="expression" dxfId="3153" priority="25">
      <formula>AND(AE$9&gt;=8/24,AE$9&lt;14/24)</formula>
    </cfRule>
    <cfRule type="expression" dxfId="3152" priority="26">
      <formula>AE$9&lt;8/24</formula>
    </cfRule>
  </conditionalFormatting>
  <conditionalFormatting sqref="AE55:AF60">
    <cfRule type="expression" dxfId="3151" priority="22">
      <formula>AE55&gt;$AG55</formula>
    </cfRule>
  </conditionalFormatting>
  <conditionalFormatting sqref="AE61:AF66">
    <cfRule type="expression" dxfId="3150" priority="18">
      <formula>AE$9&gt;=20/24</formula>
    </cfRule>
    <cfRule type="expression" dxfId="3149" priority="19">
      <formula>AND(AE$9&gt;=14/24,AE$9&lt;20/24)</formula>
    </cfRule>
    <cfRule type="expression" dxfId="3148" priority="20">
      <formula>AND(AE$9&gt;=8/24,AE$9&lt;14/24)</formula>
    </cfRule>
    <cfRule type="expression" dxfId="3147" priority="21">
      <formula>AE$9&lt;8/24</formula>
    </cfRule>
  </conditionalFormatting>
  <conditionalFormatting sqref="AE61:AF66">
    <cfRule type="expression" dxfId="3146" priority="17">
      <formula>AE61&gt;$AG61</formula>
    </cfRule>
  </conditionalFormatting>
  <conditionalFormatting sqref="AE73">
    <cfRule type="expression" dxfId="3145" priority="13">
      <formula>AE$9&gt;=20/24</formula>
    </cfRule>
    <cfRule type="expression" dxfId="3144" priority="14">
      <formula>AND(AE$9&gt;=14/24,AE$9&lt;20/24)</formula>
    </cfRule>
    <cfRule type="expression" dxfId="3143" priority="15">
      <formula>AND(AE$9&gt;=8/24,AE$9&lt;14/24)</formula>
    </cfRule>
    <cfRule type="expression" dxfId="3142" priority="16">
      <formula>AE$9&lt;8/24</formula>
    </cfRule>
  </conditionalFormatting>
  <conditionalFormatting sqref="AE74:AE75">
    <cfRule type="expression" dxfId="3141" priority="9">
      <formula>AE$9&gt;=20/24</formula>
    </cfRule>
    <cfRule type="expression" dxfId="3140" priority="10">
      <formula>AND(AE$9&gt;=14/24,AE$9&lt;20/24)</formula>
    </cfRule>
    <cfRule type="expression" dxfId="3139" priority="11">
      <formula>AND(AE$9&gt;=8/24,AE$9&lt;14/24)</formula>
    </cfRule>
    <cfRule type="expression" dxfId="3138" priority="12">
      <formula>AE$9&lt;8/24</formula>
    </cfRule>
  </conditionalFormatting>
  <conditionalFormatting sqref="AE76:AF78">
    <cfRule type="expression" dxfId="3137" priority="5">
      <formula>AE$9&gt;=20/24</formula>
    </cfRule>
    <cfRule type="expression" dxfId="3136" priority="6">
      <formula>AND(AE$9&gt;=14/24,AE$9&lt;20/24)</formula>
    </cfRule>
    <cfRule type="expression" dxfId="3135" priority="7">
      <formula>AND(AE$9&gt;=8/24,AE$9&lt;14/24)</formula>
    </cfRule>
    <cfRule type="expression" dxfId="3134" priority="8">
      <formula>AE$9&lt;8/24</formula>
    </cfRule>
  </conditionalFormatting>
  <conditionalFormatting sqref="AE79:AF83">
    <cfRule type="expression" dxfId="3133" priority="1">
      <formula>AE$9&gt;=20/24</formula>
    </cfRule>
    <cfRule type="expression" dxfId="3132" priority="2">
      <formula>AND(AE$9&gt;=14/24,AE$9&lt;20/24)</formula>
    </cfRule>
    <cfRule type="expression" dxfId="3131" priority="3">
      <formula>AND(AE$9&gt;=8/24,AE$9&lt;14/24)</formula>
    </cfRule>
    <cfRule type="expression" dxfId="3130" priority="4">
      <formula>AE$9&lt;8/24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00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Sheet1</vt:lpstr>
      <vt:lpstr>Sheet2</vt:lpstr>
      <vt:lpstr>sample (2)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CRLDC</dc:creator>
  <cp:lastModifiedBy>CRLDC</cp:lastModifiedBy>
  <dcterms:created xsi:type="dcterms:W3CDTF">2023-06-15T19:14:41Z</dcterms:created>
  <dcterms:modified xsi:type="dcterms:W3CDTF">2023-07-29T14:11:27Z</dcterms:modified>
</cp:coreProperties>
</file>